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79\"/>
    </mc:Choice>
  </mc:AlternateContent>
  <xr:revisionPtr revIDLastSave="0" documentId="13_ncr:1_{AECBFDBE-6463-4988-8FF1-86E8ED1BEB7E}" xr6:coauthVersionLast="47" xr6:coauthVersionMax="47" xr10:uidLastSave="{00000000-0000-0000-0000-000000000000}"/>
  <bookViews>
    <workbookView xWindow="-120" yWindow="-120" windowWidth="29040" windowHeight="15720" firstSheet="7" activeTab="28" xr2:uid="{00000000-000D-0000-FFFF-FFFF00000000}"/>
  </bookViews>
  <sheets>
    <sheet name="1" sheetId="1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paush1" sheetId="31" r:id="rId30"/>
    <sheet name="Sample" sheetId="2" r:id="rId31"/>
  </sheets>
  <externalReferences>
    <externalReference r:id="rId32"/>
    <externalReference r:id="rId33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29">#REF!</definedName>
    <definedName name="IPP" localSheetId="30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29">#REF!</definedName>
    <definedName name="ippp" localSheetId="30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29">#REF!</definedName>
    <definedName name="sdasdf" localSheetId="30">#REF!</definedName>
    <definedName name="sdasd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30" l="1"/>
  <c r="M43" i="31"/>
  <c r="L107" i="31"/>
  <c r="L43" i="31"/>
  <c r="K107" i="31"/>
  <c r="K43" i="31"/>
  <c r="J107" i="31"/>
  <c r="J43" i="31"/>
  <c r="I107" i="31"/>
  <c r="I43" i="31"/>
  <c r="H107" i="31"/>
  <c r="G43" i="31"/>
  <c r="G107" i="31" l="1"/>
  <c r="F107" i="31"/>
  <c r="AI43" i="31"/>
  <c r="E107" i="31"/>
  <c r="AF267" i="31"/>
  <c r="AE267" i="31"/>
  <c r="AD267" i="31"/>
  <c r="AC267" i="31"/>
  <c r="AB267" i="31"/>
  <c r="AA267" i="31"/>
  <c r="Z267" i="31"/>
  <c r="Y267" i="31"/>
  <c r="X267" i="31"/>
  <c r="W267" i="31"/>
  <c r="V267" i="31"/>
  <c r="U267" i="31"/>
  <c r="T267" i="31"/>
  <c r="S267" i="31"/>
  <c r="R267" i="31"/>
  <c r="Q267" i="31"/>
  <c r="P267" i="31"/>
  <c r="O267" i="31"/>
  <c r="N267" i="31"/>
  <c r="M267" i="31"/>
  <c r="L267" i="31"/>
  <c r="K267" i="31"/>
  <c r="J267" i="31"/>
  <c r="I267" i="31"/>
  <c r="H267" i="31"/>
  <c r="G267" i="31"/>
  <c r="F267" i="31"/>
  <c r="E267" i="31"/>
  <c r="D267" i="31"/>
  <c r="C267" i="31"/>
  <c r="B267" i="31"/>
  <c r="A267" i="31"/>
  <c r="AF266" i="31"/>
  <c r="AE266" i="31"/>
  <c r="AD266" i="31"/>
  <c r="AC266" i="31"/>
  <c r="AB266" i="31"/>
  <c r="AA266" i="31"/>
  <c r="Z266" i="31"/>
  <c r="Y266" i="31"/>
  <c r="X266" i="31"/>
  <c r="W266" i="31"/>
  <c r="V266" i="31"/>
  <c r="U266" i="31"/>
  <c r="T266" i="31"/>
  <c r="S266" i="31"/>
  <c r="R266" i="31"/>
  <c r="Q266" i="31"/>
  <c r="P266" i="31"/>
  <c r="O266" i="31"/>
  <c r="N266" i="31"/>
  <c r="M266" i="31"/>
  <c r="L266" i="31"/>
  <c r="K266" i="31"/>
  <c r="J266" i="31"/>
  <c r="I266" i="31"/>
  <c r="H266" i="31"/>
  <c r="G266" i="31"/>
  <c r="F266" i="31"/>
  <c r="E266" i="31"/>
  <c r="D266" i="31"/>
  <c r="C266" i="31"/>
  <c r="B266" i="31"/>
  <c r="A266" i="31"/>
  <c r="AF265" i="31"/>
  <c r="AE265" i="31"/>
  <c r="AD265" i="31"/>
  <c r="AC265" i="31"/>
  <c r="AB265" i="31"/>
  <c r="AA265" i="31"/>
  <c r="Z265" i="31"/>
  <c r="Y265" i="31"/>
  <c r="X265" i="31"/>
  <c r="W265" i="31"/>
  <c r="V265" i="31"/>
  <c r="U265" i="31"/>
  <c r="T265" i="31"/>
  <c r="S265" i="31"/>
  <c r="R265" i="31"/>
  <c r="Q265" i="31"/>
  <c r="P265" i="31"/>
  <c r="O265" i="31"/>
  <c r="N265" i="31"/>
  <c r="M265" i="31"/>
  <c r="L265" i="31"/>
  <c r="K265" i="31"/>
  <c r="J265" i="31"/>
  <c r="I265" i="31"/>
  <c r="H265" i="31"/>
  <c r="G265" i="31"/>
  <c r="F265" i="31"/>
  <c r="E265" i="31"/>
  <c r="D265" i="31"/>
  <c r="C265" i="31"/>
  <c r="B265" i="31"/>
  <c r="A265" i="31"/>
  <c r="AF264" i="31"/>
  <c r="AE264" i="31"/>
  <c r="AD264" i="31"/>
  <c r="AC264" i="31"/>
  <c r="AB264" i="31"/>
  <c r="AA264" i="31"/>
  <c r="Z264" i="31"/>
  <c r="Y264" i="31"/>
  <c r="X264" i="31"/>
  <c r="W264" i="31"/>
  <c r="V264" i="31"/>
  <c r="U264" i="31"/>
  <c r="T264" i="31"/>
  <c r="S264" i="31"/>
  <c r="R264" i="31"/>
  <c r="Q264" i="31"/>
  <c r="P264" i="31"/>
  <c r="O264" i="31"/>
  <c r="N264" i="31"/>
  <c r="M264" i="31"/>
  <c r="L264" i="31"/>
  <c r="K264" i="31"/>
  <c r="J264" i="31"/>
  <c r="I264" i="31"/>
  <c r="H264" i="31"/>
  <c r="G264" i="31"/>
  <c r="F264" i="31"/>
  <c r="E264" i="31"/>
  <c r="D264" i="31"/>
  <c r="C264" i="31"/>
  <c r="B264" i="31"/>
  <c r="A264" i="31"/>
  <c r="AE263" i="31"/>
  <c r="AD263" i="31"/>
  <c r="AC263" i="31"/>
  <c r="AB263" i="31"/>
  <c r="AA263" i="31"/>
  <c r="Z263" i="31"/>
  <c r="Y263" i="31"/>
  <c r="X263" i="31"/>
  <c r="W263" i="31"/>
  <c r="V263" i="31"/>
  <c r="U263" i="31"/>
  <c r="T263" i="31"/>
  <c r="S263" i="31"/>
  <c r="R263" i="31"/>
  <c r="Q263" i="31"/>
  <c r="P263" i="31"/>
  <c r="B263" i="31"/>
  <c r="S238" i="31"/>
  <c r="AG228" i="31"/>
  <c r="AG61" i="31" s="1"/>
  <c r="AG62" i="31" s="1"/>
  <c r="AG3" i="31" s="1"/>
  <c r="AF228" i="31"/>
  <c r="AE228" i="31"/>
  <c r="AD228" i="31"/>
  <c r="AC228" i="31"/>
  <c r="AB228" i="31"/>
  <c r="AA228" i="31"/>
  <c r="Z228" i="31"/>
  <c r="Y228" i="31"/>
  <c r="X228" i="31"/>
  <c r="W228" i="31"/>
  <c r="V228" i="31"/>
  <c r="U228" i="31"/>
  <c r="T228" i="31"/>
  <c r="S228" i="31"/>
  <c r="R228" i="31"/>
  <c r="Q228" i="31"/>
  <c r="C228" i="31"/>
  <c r="E227" i="31"/>
  <c r="D263" i="31" s="1"/>
  <c r="D227" i="31"/>
  <c r="C263" i="31" s="1"/>
  <c r="B227" i="31"/>
  <c r="AF263" i="31" s="1"/>
  <c r="D226" i="31"/>
  <c r="E226" i="31" s="1"/>
  <c r="F226" i="31" s="1"/>
  <c r="G226" i="31" s="1"/>
  <c r="H226" i="31" s="1"/>
  <c r="I226" i="31" s="1"/>
  <c r="J226" i="31" s="1"/>
  <c r="K226" i="31" s="1"/>
  <c r="L226" i="31" s="1"/>
  <c r="M226" i="31" s="1"/>
  <c r="N226" i="31" s="1"/>
  <c r="O226" i="31" s="1"/>
  <c r="P226" i="31" s="1"/>
  <c r="B226" i="31"/>
  <c r="D225" i="31"/>
  <c r="B225" i="31"/>
  <c r="D224" i="31"/>
  <c r="E224" i="31" s="1"/>
  <c r="F224" i="31" s="1"/>
  <c r="G224" i="31" s="1"/>
  <c r="H224" i="31" s="1"/>
  <c r="I224" i="31" s="1"/>
  <c r="J224" i="31" s="1"/>
  <c r="K224" i="31" s="1"/>
  <c r="L224" i="31" s="1"/>
  <c r="M224" i="31" s="1"/>
  <c r="N224" i="31" s="1"/>
  <c r="O224" i="31" s="1"/>
  <c r="P224" i="31" s="1"/>
  <c r="B224" i="31"/>
  <c r="D223" i="31"/>
  <c r="E223" i="31" s="1"/>
  <c r="F223" i="31" s="1"/>
  <c r="B223" i="31"/>
  <c r="D222" i="31"/>
  <c r="D104" i="31" s="1"/>
  <c r="B222" i="31"/>
  <c r="B104" i="31" s="1"/>
  <c r="AG220" i="31"/>
  <c r="AF220" i="31"/>
  <c r="AE220" i="31"/>
  <c r="AD220" i="31"/>
  <c r="AC220" i="31"/>
  <c r="AB220" i="31"/>
  <c r="AA220" i="31"/>
  <c r="Z220" i="31"/>
  <c r="Y220" i="31"/>
  <c r="X220" i="31"/>
  <c r="W220" i="31"/>
  <c r="V220" i="31"/>
  <c r="U220" i="31"/>
  <c r="T220" i="31"/>
  <c r="S220" i="31"/>
  <c r="R220" i="31"/>
  <c r="Q220" i="31"/>
  <c r="P220" i="31"/>
  <c r="O220" i="31"/>
  <c r="N220" i="31"/>
  <c r="M220" i="31"/>
  <c r="L220" i="31"/>
  <c r="K220" i="31"/>
  <c r="J220" i="31"/>
  <c r="I220" i="31"/>
  <c r="H220" i="31"/>
  <c r="G220" i="31"/>
  <c r="F220" i="31"/>
  <c r="E220" i="31"/>
  <c r="D220" i="31"/>
  <c r="C220" i="31"/>
  <c r="B220" i="31"/>
  <c r="AI113" i="31"/>
  <c r="AH113" i="31"/>
  <c r="AI112" i="31"/>
  <c r="AH112" i="31"/>
  <c r="AI111" i="31"/>
  <c r="AH111" i="31"/>
  <c r="AI110" i="31"/>
  <c r="AH110" i="31"/>
  <c r="AI109" i="31"/>
  <c r="AH109" i="31"/>
  <c r="AI108" i="31"/>
  <c r="AH108" i="31"/>
  <c r="AI107" i="31"/>
  <c r="AH107" i="31"/>
  <c r="AI106" i="31"/>
  <c r="AH106" i="31"/>
  <c r="AI105" i="31"/>
  <c r="AH105" i="31"/>
  <c r="AF104" i="31"/>
  <c r="AE104" i="31"/>
  <c r="AD104" i="31"/>
  <c r="AC104" i="31"/>
  <c r="AB104" i="31"/>
  <c r="AA104" i="31"/>
  <c r="Z104" i="31"/>
  <c r="Y104" i="31"/>
  <c r="X104" i="31"/>
  <c r="W104" i="31"/>
  <c r="V104" i="31"/>
  <c r="U104" i="31"/>
  <c r="T104" i="31"/>
  <c r="S104" i="31"/>
  <c r="R104" i="31"/>
  <c r="Q104" i="31"/>
  <c r="C104" i="31"/>
  <c r="AI103" i="31"/>
  <c r="AH103" i="31"/>
  <c r="AI102" i="31"/>
  <c r="AH102" i="31"/>
  <c r="AI101" i="31"/>
  <c r="AH101" i="31"/>
  <c r="AI100" i="31"/>
  <c r="AH100" i="31"/>
  <c r="AI99" i="31"/>
  <c r="AH99" i="31"/>
  <c r="AI98" i="31"/>
  <c r="AH98" i="31"/>
  <c r="AI97" i="31"/>
  <c r="AH97" i="31"/>
  <c r="AI96" i="31"/>
  <c r="AH96" i="31"/>
  <c r="AI95" i="31"/>
  <c r="AH95" i="31"/>
  <c r="AI92" i="31"/>
  <c r="AH92" i="31"/>
  <c r="AF91" i="31"/>
  <c r="AE91" i="31"/>
  <c r="AD91" i="31"/>
  <c r="AC91" i="31"/>
  <c r="AC93" i="31" s="1"/>
  <c r="AB91" i="31"/>
  <c r="AA91" i="31"/>
  <c r="Z91" i="31"/>
  <c r="Y91" i="31"/>
  <c r="X91" i="31"/>
  <c r="W91" i="31"/>
  <c r="V91" i="31"/>
  <c r="U91" i="31"/>
  <c r="U93" i="31" s="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AF90" i="31"/>
  <c r="AE90" i="31"/>
  <c r="AD90" i="31"/>
  <c r="AC90" i="31"/>
  <c r="AB90" i="31"/>
  <c r="AA90" i="31"/>
  <c r="Z90" i="31"/>
  <c r="Y90" i="31"/>
  <c r="X90" i="31"/>
  <c r="W90" i="31"/>
  <c r="V90" i="31"/>
  <c r="U90" i="31"/>
  <c r="T90" i="31"/>
  <c r="S90" i="31"/>
  <c r="R90" i="31"/>
  <c r="Q90" i="31"/>
  <c r="P90" i="31"/>
  <c r="O90" i="31"/>
  <c r="N90" i="31"/>
  <c r="M90" i="31"/>
  <c r="L90" i="31"/>
  <c r="K90" i="31"/>
  <c r="J90" i="31"/>
  <c r="I90" i="31"/>
  <c r="H90" i="31"/>
  <c r="G90" i="31"/>
  <c r="F90" i="31"/>
  <c r="E90" i="31"/>
  <c r="D90" i="31"/>
  <c r="C90" i="31"/>
  <c r="B90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AF88" i="31"/>
  <c r="AE88" i="31"/>
  <c r="AE93" i="31" s="1"/>
  <c r="AE94" i="31" s="1"/>
  <c r="AD88" i="31"/>
  <c r="AC88" i="31"/>
  <c r="AB88" i="31"/>
  <c r="AA88" i="31"/>
  <c r="Z88" i="31"/>
  <c r="Y88" i="31"/>
  <c r="X88" i="31"/>
  <c r="W88" i="31"/>
  <c r="W93" i="31" s="1"/>
  <c r="W94" i="31" s="1"/>
  <c r="V88" i="31"/>
  <c r="U88" i="31"/>
  <c r="T88" i="31"/>
  <c r="S88" i="31"/>
  <c r="R88" i="31"/>
  <c r="Q88" i="31"/>
  <c r="P88" i="31"/>
  <c r="O88" i="31"/>
  <c r="O93" i="31" s="1"/>
  <c r="O94" i="31" s="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AF87" i="31"/>
  <c r="AE87" i="31"/>
  <c r="AD87" i="31"/>
  <c r="AD93" i="31" s="1"/>
  <c r="AC87" i="31"/>
  <c r="AB87" i="31"/>
  <c r="AA87" i="31"/>
  <c r="Z87" i="31"/>
  <c r="Y87" i="31"/>
  <c r="X87" i="31"/>
  <c r="W87" i="31"/>
  <c r="V87" i="31"/>
  <c r="V93" i="31" s="1"/>
  <c r="U87" i="31"/>
  <c r="T87" i="31"/>
  <c r="S87" i="31"/>
  <c r="R87" i="31"/>
  <c r="Q87" i="31"/>
  <c r="P87" i="31"/>
  <c r="O87" i="31"/>
  <c r="N87" i="31"/>
  <c r="N93" i="31" s="1"/>
  <c r="M87" i="31"/>
  <c r="L87" i="31"/>
  <c r="K87" i="31"/>
  <c r="J87" i="31"/>
  <c r="I87" i="31"/>
  <c r="H87" i="31"/>
  <c r="G87" i="31"/>
  <c r="F87" i="31"/>
  <c r="F93" i="31" s="1"/>
  <c r="E87" i="31"/>
  <c r="D87" i="31"/>
  <c r="C87" i="31"/>
  <c r="B87" i="31"/>
  <c r="AI84" i="31"/>
  <c r="AH84" i="31"/>
  <c r="AI82" i="31"/>
  <c r="AH82" i="31"/>
  <c r="AG82" i="31"/>
  <c r="AI81" i="31"/>
  <c r="AH81" i="31"/>
  <c r="AI80" i="31"/>
  <c r="AH80" i="31"/>
  <c r="AI79" i="31"/>
  <c r="AH79" i="31"/>
  <c r="AG78" i="31"/>
  <c r="AF78" i="31"/>
  <c r="AE5" i="31" s="1"/>
  <c r="AE78" i="31"/>
  <c r="AD78" i="31"/>
  <c r="AC78" i="31"/>
  <c r="AB78" i="31"/>
  <c r="AA5" i="31" s="1"/>
  <c r="AA78" i="31"/>
  <c r="Z78" i="31"/>
  <c r="Y78" i="31"/>
  <c r="X78" i="31"/>
  <c r="W5" i="31" s="1"/>
  <c r="W78" i="31"/>
  <c r="V78" i="31"/>
  <c r="U78" i="31"/>
  <c r="T78" i="31"/>
  <c r="S5" i="31" s="1"/>
  <c r="S78" i="31"/>
  <c r="R78" i="31"/>
  <c r="Q78" i="31"/>
  <c r="P78" i="31"/>
  <c r="O5" i="31" s="1"/>
  <c r="O78" i="31"/>
  <c r="N78" i="31"/>
  <c r="M78" i="31"/>
  <c r="L78" i="31"/>
  <c r="K5" i="31" s="1"/>
  <c r="K78" i="31"/>
  <c r="J5" i="31" s="1"/>
  <c r="J78" i="31"/>
  <c r="I78" i="31"/>
  <c r="H78" i="31"/>
  <c r="G5" i="31" s="1"/>
  <c r="G78" i="31"/>
  <c r="F5" i="31" s="1"/>
  <c r="F78" i="31"/>
  <c r="E78" i="31"/>
  <c r="D78" i="31"/>
  <c r="C5" i="31" s="1"/>
  <c r="C78" i="31"/>
  <c r="B5" i="31" s="1"/>
  <c r="B78" i="31"/>
  <c r="AF5" i="31" s="1"/>
  <c r="AI77" i="31"/>
  <c r="AH77" i="31"/>
  <c r="AI76" i="31"/>
  <c r="AH76" i="31"/>
  <c r="AI75" i="31"/>
  <c r="AH75" i="31"/>
  <c r="AI74" i="31"/>
  <c r="AH74" i="31"/>
  <c r="AI73" i="31"/>
  <c r="AH73" i="31"/>
  <c r="AI72" i="31"/>
  <c r="AH72" i="31"/>
  <c r="AI71" i="31"/>
  <c r="AH71" i="31"/>
  <c r="AI70" i="31"/>
  <c r="AH70" i="31"/>
  <c r="AI69" i="31"/>
  <c r="AH69" i="31"/>
  <c r="AI68" i="31"/>
  <c r="AH68" i="31"/>
  <c r="AI67" i="31"/>
  <c r="AH67" i="31"/>
  <c r="AG66" i="31"/>
  <c r="AF66" i="31"/>
  <c r="AE66" i="31"/>
  <c r="AD66" i="31"/>
  <c r="AC66" i="31"/>
  <c r="AB66" i="31"/>
  <c r="AA66" i="31"/>
  <c r="Z66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AI65" i="31"/>
  <c r="AH65" i="31"/>
  <c r="AI64" i="31"/>
  <c r="AH64" i="31"/>
  <c r="AI63" i="31"/>
  <c r="AH63" i="31"/>
  <c r="AF62" i="31"/>
  <c r="AE62" i="31"/>
  <c r="AD62" i="31"/>
  <c r="AC62" i="31"/>
  <c r="AB62" i="31"/>
  <c r="AA62" i="31"/>
  <c r="Z62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B48" i="31"/>
  <c r="AI47" i="31"/>
  <c r="AH47" i="31"/>
  <c r="AI46" i="31"/>
  <c r="AH46" i="31"/>
  <c r="AI45" i="31"/>
  <c r="AH45" i="31"/>
  <c r="AG44" i="31"/>
  <c r="AF44" i="31"/>
  <c r="AE44" i="31"/>
  <c r="AD44" i="31"/>
  <c r="AC44" i="31"/>
  <c r="AC83" i="31" s="1"/>
  <c r="AC85" i="31" s="1"/>
  <c r="AB44" i="31"/>
  <c r="AB83" i="31" s="1"/>
  <c r="AB85" i="31" s="1"/>
  <c r="AA44" i="31"/>
  <c r="AA83" i="31" s="1"/>
  <c r="AA85" i="31" s="1"/>
  <c r="Z44" i="31"/>
  <c r="Y44" i="31"/>
  <c r="X44" i="31"/>
  <c r="W44" i="31"/>
  <c r="V44" i="31"/>
  <c r="U44" i="31"/>
  <c r="U83" i="31" s="1"/>
  <c r="U85" i="31" s="1"/>
  <c r="T44" i="31"/>
  <c r="T83" i="31" s="1"/>
  <c r="T85" i="31" s="1"/>
  <c r="S44" i="31"/>
  <c r="S83" i="31" s="1"/>
  <c r="S85" i="31" s="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D5" i="31"/>
  <c r="Z5" i="31"/>
  <c r="V5" i="31"/>
  <c r="R5" i="31"/>
  <c r="P5" i="31"/>
  <c r="N5" i="31"/>
  <c r="AG4" i="31"/>
  <c r="K4" i="31"/>
  <c r="B4" i="31"/>
  <c r="S239" i="31" s="1"/>
  <c r="AC43" i="30"/>
  <c r="AB107" i="30"/>
  <c r="AB43" i="30"/>
  <c r="AA107" i="30"/>
  <c r="AA43" i="30"/>
  <c r="Z107" i="30"/>
  <c r="Z43" i="30"/>
  <c r="Y107" i="30"/>
  <c r="Y43" i="30"/>
  <c r="W107" i="30"/>
  <c r="W43" i="30"/>
  <c r="V107" i="30"/>
  <c r="V43" i="30"/>
  <c r="U107" i="30"/>
  <c r="U43" i="30"/>
  <c r="T107" i="30"/>
  <c r="T43" i="30"/>
  <c r="S107" i="30"/>
  <c r="S43" i="30"/>
  <c r="E4" i="31"/>
  <c r="Q93" i="31" l="1"/>
  <c r="Q94" i="31"/>
  <c r="Z94" i="31"/>
  <c r="Y93" i="31"/>
  <c r="Y94" i="31" s="1"/>
  <c r="N83" i="31"/>
  <c r="N85" i="31" s="1"/>
  <c r="V83" i="31"/>
  <c r="V85" i="31" s="1"/>
  <c r="V7" i="31" s="1"/>
  <c r="AD83" i="31"/>
  <c r="AD85" i="31" s="1"/>
  <c r="H93" i="31"/>
  <c r="P93" i="31"/>
  <c r="P94" i="31" s="1"/>
  <c r="X93" i="31"/>
  <c r="X94" i="31" s="1"/>
  <c r="AF93" i="31"/>
  <c r="AF94" i="31" s="1"/>
  <c r="B228" i="31"/>
  <c r="W83" i="31"/>
  <c r="W85" i="31" s="1"/>
  <c r="P83" i="31"/>
  <c r="P85" i="31" s="1"/>
  <c r="P7" i="31" s="1"/>
  <c r="X83" i="31"/>
  <c r="X85" i="31" s="1"/>
  <c r="AF83" i="31"/>
  <c r="AF85" i="31" s="1"/>
  <c r="U94" i="31"/>
  <c r="AC94" i="31"/>
  <c r="R93" i="31"/>
  <c r="R94" i="31" s="1"/>
  <c r="Z93" i="31"/>
  <c r="E222" i="31"/>
  <c r="G83" i="31"/>
  <c r="G85" i="31" s="1"/>
  <c r="G86" i="31" s="1"/>
  <c r="Q83" i="31"/>
  <c r="Q85" i="31" s="1"/>
  <c r="Y83" i="31"/>
  <c r="Y85" i="31" s="1"/>
  <c r="AG83" i="31"/>
  <c r="S93" i="31"/>
  <c r="S94" i="31" s="1"/>
  <c r="AA93" i="31"/>
  <c r="AA94" i="31" s="1"/>
  <c r="O83" i="31"/>
  <c r="O85" i="31" s="1"/>
  <c r="R83" i="31"/>
  <c r="R85" i="31" s="1"/>
  <c r="Z83" i="31"/>
  <c r="Z85" i="31" s="1"/>
  <c r="AR242" i="31" s="1"/>
  <c r="T93" i="31"/>
  <c r="T94" i="31" s="1"/>
  <c r="AB93" i="31"/>
  <c r="AB94" i="31" s="1"/>
  <c r="D228" i="31"/>
  <c r="X5" i="31"/>
  <c r="AE83" i="31"/>
  <c r="AE85" i="31" s="1"/>
  <c r="AW242" i="31" s="1"/>
  <c r="AG85" i="31"/>
  <c r="E225" i="31"/>
  <c r="F225" i="31" s="1"/>
  <c r="G225" i="31" s="1"/>
  <c r="H225" i="31" s="1"/>
  <c r="I225" i="31" s="1"/>
  <c r="J225" i="31" s="1"/>
  <c r="K225" i="31" s="1"/>
  <c r="L225" i="31" s="1"/>
  <c r="M225" i="31" s="1"/>
  <c r="N225" i="31" s="1"/>
  <c r="O225" i="31" s="1"/>
  <c r="P225" i="31" s="1"/>
  <c r="M93" i="31"/>
  <c r="M94" i="31" s="1"/>
  <c r="M83" i="31"/>
  <c r="M85" i="31" s="1"/>
  <c r="AE242" i="31" s="1"/>
  <c r="L93" i="31"/>
  <c r="L94" i="31" s="1"/>
  <c r="L83" i="31"/>
  <c r="L85" i="31" s="1"/>
  <c r="L86" i="31" s="1"/>
  <c r="K93" i="31"/>
  <c r="K94" i="31" s="1"/>
  <c r="K83" i="31"/>
  <c r="K85" i="31" s="1"/>
  <c r="K7" i="31" s="1"/>
  <c r="J93" i="31"/>
  <c r="J94" i="31" s="1"/>
  <c r="J83" i="31"/>
  <c r="J85" i="31" s="1"/>
  <c r="J7" i="31" s="1"/>
  <c r="I93" i="31"/>
  <c r="I94" i="31"/>
  <c r="H5" i="31"/>
  <c r="I83" i="31"/>
  <c r="I85" i="31" s="1"/>
  <c r="AA242" i="31" s="1"/>
  <c r="H94" i="31"/>
  <c r="H83" i="31"/>
  <c r="H85" i="31" s="1"/>
  <c r="Z242" i="31" s="1"/>
  <c r="AI91" i="31"/>
  <c r="G93" i="31"/>
  <c r="G94" i="31" s="1"/>
  <c r="F83" i="31"/>
  <c r="F85" i="31" s="1"/>
  <c r="X242" i="31" s="1"/>
  <c r="AH43" i="31"/>
  <c r="AI87" i="31"/>
  <c r="E93" i="31"/>
  <c r="E94" i="31" s="1"/>
  <c r="AH90" i="31"/>
  <c r="AI90" i="31"/>
  <c r="AH48" i="31"/>
  <c r="E83" i="31"/>
  <c r="E85" i="31" s="1"/>
  <c r="E7" i="31" s="1"/>
  <c r="D93" i="31"/>
  <c r="D94" i="31" s="1"/>
  <c r="AI89" i="31"/>
  <c r="AI88" i="31"/>
  <c r="C93" i="31"/>
  <c r="C94" i="31" s="1"/>
  <c r="C83" i="31"/>
  <c r="C85" i="31" s="1"/>
  <c r="C7" i="31" s="1"/>
  <c r="AI66" i="31"/>
  <c r="AI62" i="31"/>
  <c r="D83" i="31"/>
  <c r="D85" i="31" s="1"/>
  <c r="D7" i="31" s="1"/>
  <c r="B83" i="31"/>
  <c r="AI48" i="31"/>
  <c r="H4" i="31"/>
  <c r="B85" i="31"/>
  <c r="R7" i="31"/>
  <c r="AJ242" i="31"/>
  <c r="Z86" i="31"/>
  <c r="AA7" i="31"/>
  <c r="AS242" i="31"/>
  <c r="M7" i="31"/>
  <c r="U7" i="31"/>
  <c r="AM242" i="31"/>
  <c r="U86" i="31"/>
  <c r="AC7" i="31"/>
  <c r="AU242" i="31"/>
  <c r="AC86" i="31"/>
  <c r="N7" i="31"/>
  <c r="AF242" i="31"/>
  <c r="N86" i="31"/>
  <c r="AN242" i="31"/>
  <c r="V86" i="31"/>
  <c r="AD7" i="31"/>
  <c r="AV242" i="31"/>
  <c r="AD86" i="31"/>
  <c r="T7" i="31"/>
  <c r="AL242" i="31"/>
  <c r="T86" i="31"/>
  <c r="Y242" i="31"/>
  <c r="AG242" i="31"/>
  <c r="O86" i="31"/>
  <c r="O7" i="31"/>
  <c r="AO242" i="31"/>
  <c r="W86" i="31"/>
  <c r="W7" i="31"/>
  <c r="G223" i="31"/>
  <c r="H223" i="31" s="1"/>
  <c r="I223" i="31" s="1"/>
  <c r="J223" i="31" s="1"/>
  <c r="K223" i="31" s="1"/>
  <c r="L223" i="31" s="1"/>
  <c r="M223" i="31" s="1"/>
  <c r="N223" i="31" s="1"/>
  <c r="O223" i="31" s="1"/>
  <c r="P223" i="31" s="1"/>
  <c r="AB7" i="31"/>
  <c r="AT242" i="31"/>
  <c r="AB86" i="31"/>
  <c r="P86" i="31"/>
  <c r="X7" i="31"/>
  <c r="AP242" i="31"/>
  <c r="AF7" i="31"/>
  <c r="AX242" i="31"/>
  <c r="S7" i="31"/>
  <c r="AK242" i="31"/>
  <c r="Q7" i="31"/>
  <c r="AI242" i="31"/>
  <c r="Q86" i="31"/>
  <c r="Y7" i="31"/>
  <c r="AQ242" i="31"/>
  <c r="Y86" i="31"/>
  <c r="F94" i="31"/>
  <c r="N94" i="31"/>
  <c r="V94" i="31"/>
  <c r="AD94" i="31"/>
  <c r="I5" i="31"/>
  <c r="Q5" i="31"/>
  <c r="Y5" i="31"/>
  <c r="D239" i="31"/>
  <c r="AH62" i="31"/>
  <c r="AH66" i="31"/>
  <c r="AH78" i="31"/>
  <c r="AG2" i="31"/>
  <c r="AG6" i="31" s="1"/>
  <c r="AI78" i="31"/>
  <c r="AH87" i="31"/>
  <c r="B93" i="31"/>
  <c r="B94" i="31" s="1"/>
  <c r="F227" i="31"/>
  <c r="D5" i="31"/>
  <c r="L5" i="31"/>
  <c r="T5" i="31"/>
  <c r="AB5" i="31"/>
  <c r="AH88" i="31"/>
  <c r="E5" i="31"/>
  <c r="M5" i="31"/>
  <c r="U5" i="31"/>
  <c r="AC5" i="31"/>
  <c r="AH44" i="31"/>
  <c r="AH89" i="31"/>
  <c r="AI44" i="31"/>
  <c r="AH91" i="31"/>
  <c r="AE7" i="31" l="1"/>
  <c r="AH242" i="31"/>
  <c r="AE86" i="31"/>
  <c r="G7" i="31"/>
  <c r="AB242" i="31"/>
  <c r="E228" i="31"/>
  <c r="E104" i="31"/>
  <c r="F222" i="31"/>
  <c r="G222" i="31" s="1"/>
  <c r="H222" i="31" s="1"/>
  <c r="I222" i="31" s="1"/>
  <c r="J222" i="31" s="1"/>
  <c r="AA86" i="31"/>
  <c r="AF86" i="31"/>
  <c r="X86" i="31"/>
  <c r="Z7" i="31"/>
  <c r="I86" i="31"/>
  <c r="U242" i="31"/>
  <c r="R86" i="31"/>
  <c r="S86" i="31"/>
  <c r="K86" i="31"/>
  <c r="H7" i="31"/>
  <c r="AC242" i="31"/>
  <c r="M86" i="31"/>
  <c r="AD242" i="31"/>
  <c r="L7" i="31"/>
  <c r="J86" i="31"/>
  <c r="I7" i="31"/>
  <c r="B237" i="31"/>
  <c r="C237" i="31"/>
  <c r="H86" i="31"/>
  <c r="F7" i="31"/>
  <c r="F86" i="31"/>
  <c r="E86" i="31"/>
  <c r="W242" i="31"/>
  <c r="C86" i="31"/>
  <c r="D86" i="31"/>
  <c r="V242" i="31"/>
  <c r="AI83" i="31"/>
  <c r="AH83" i="31"/>
  <c r="E263" i="31"/>
  <c r="G227" i="31"/>
  <c r="F104" i="31"/>
  <c r="AI94" i="31"/>
  <c r="AH94" i="31"/>
  <c r="AI93" i="31"/>
  <c r="AH93" i="31"/>
  <c r="B7" i="31"/>
  <c r="T242" i="31"/>
  <c r="B86" i="31"/>
  <c r="AI85" i="31"/>
  <c r="AH85" i="31"/>
  <c r="F228" i="31" l="1"/>
  <c r="A7" i="31"/>
  <c r="K6" i="31"/>
  <c r="AI86" i="31"/>
  <c r="AH86" i="31"/>
  <c r="F263" i="31"/>
  <c r="H227" i="31"/>
  <c r="G228" i="31"/>
  <c r="G104" i="31"/>
  <c r="K222" i="31"/>
  <c r="G263" i="31" l="1"/>
  <c r="I227" i="31"/>
  <c r="H104" i="31"/>
  <c r="H228" i="31"/>
  <c r="L222" i="31"/>
  <c r="H263" i="31" l="1"/>
  <c r="J227" i="31"/>
  <c r="I104" i="31"/>
  <c r="I228" i="31"/>
  <c r="M222" i="31"/>
  <c r="N222" i="31" l="1"/>
  <c r="K227" i="31"/>
  <c r="I263" i="31"/>
  <c r="J104" i="31"/>
  <c r="J228" i="31"/>
  <c r="J263" i="31" l="1"/>
  <c r="L227" i="31"/>
  <c r="K104" i="31"/>
  <c r="K228" i="31"/>
  <c r="O222" i="31"/>
  <c r="P222" i="31" l="1"/>
  <c r="K263" i="31"/>
  <c r="M227" i="31"/>
  <c r="L228" i="31"/>
  <c r="L104" i="31"/>
  <c r="L263" i="31" l="1"/>
  <c r="N227" i="31"/>
  <c r="M104" i="31"/>
  <c r="M228" i="31"/>
  <c r="M263" i="31" l="1"/>
  <c r="O227" i="31"/>
  <c r="N104" i="31"/>
  <c r="N228" i="31"/>
  <c r="N263" i="31" l="1"/>
  <c r="P227" i="31"/>
  <c r="O104" i="31"/>
  <c r="O228" i="31"/>
  <c r="O263" i="31" l="1"/>
  <c r="P228" i="31"/>
  <c r="P104" i="31"/>
  <c r="AH104" i="31" l="1"/>
  <c r="AI104" i="31"/>
  <c r="R43" i="30" l="1"/>
  <c r="R107" i="30"/>
  <c r="Q107" i="30"/>
  <c r="Q43" i="30"/>
  <c r="P107" i="30"/>
  <c r="P43" i="30"/>
  <c r="O43" i="30"/>
  <c r="N107" i="30"/>
  <c r="AI107" i="30" s="1"/>
  <c r="N66" i="30"/>
  <c r="N43" i="30"/>
  <c r="M107" i="30"/>
  <c r="M43" i="30"/>
  <c r="B91" i="30"/>
  <c r="B90" i="30"/>
  <c r="B89" i="30"/>
  <c r="B88" i="30"/>
  <c r="B87" i="30"/>
  <c r="B78" i="30"/>
  <c r="AF5" i="30" s="1"/>
  <c r="B66" i="30"/>
  <c r="B62" i="30"/>
  <c r="B48" i="30"/>
  <c r="AF267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B267" i="30"/>
  <c r="A267" i="30"/>
  <c r="AF266" i="30"/>
  <c r="AE266" i="30"/>
  <c r="AD266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C266" i="30"/>
  <c r="B266" i="30"/>
  <c r="A266" i="30"/>
  <c r="AF265" i="30"/>
  <c r="AE265" i="30"/>
  <c r="AD265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E265" i="30"/>
  <c r="D265" i="30"/>
  <c r="C265" i="30"/>
  <c r="B265" i="30"/>
  <c r="A265" i="30"/>
  <c r="AF264" i="30"/>
  <c r="AE264" i="30"/>
  <c r="AD264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E264" i="30"/>
  <c r="D264" i="30"/>
  <c r="C264" i="30"/>
  <c r="B264" i="30"/>
  <c r="A264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B263" i="30"/>
  <c r="S238" i="30"/>
  <c r="AG228" i="30"/>
  <c r="AF228" i="30"/>
  <c r="AE228" i="30"/>
  <c r="AD228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C228" i="30"/>
  <c r="D227" i="30"/>
  <c r="C263" i="30" s="1"/>
  <c r="B227" i="30"/>
  <c r="AF263" i="30" s="1"/>
  <c r="D226" i="30"/>
  <c r="E226" i="30" s="1"/>
  <c r="F226" i="30" s="1"/>
  <c r="G226" i="30" s="1"/>
  <c r="H226" i="30" s="1"/>
  <c r="I226" i="30" s="1"/>
  <c r="J226" i="30" s="1"/>
  <c r="K226" i="30" s="1"/>
  <c r="L226" i="30" s="1"/>
  <c r="M226" i="30" s="1"/>
  <c r="N226" i="30" s="1"/>
  <c r="O226" i="30" s="1"/>
  <c r="P226" i="30" s="1"/>
  <c r="B226" i="30"/>
  <c r="D225" i="30"/>
  <c r="E225" i="30" s="1"/>
  <c r="F225" i="30" s="1"/>
  <c r="G225" i="30" s="1"/>
  <c r="H225" i="30" s="1"/>
  <c r="I225" i="30" s="1"/>
  <c r="J225" i="30" s="1"/>
  <c r="K225" i="30" s="1"/>
  <c r="L225" i="30" s="1"/>
  <c r="M225" i="30" s="1"/>
  <c r="N225" i="30" s="1"/>
  <c r="O225" i="30" s="1"/>
  <c r="P225" i="30" s="1"/>
  <c r="B225" i="30"/>
  <c r="D224" i="30"/>
  <c r="E224" i="30" s="1"/>
  <c r="F224" i="30" s="1"/>
  <c r="G224" i="30" s="1"/>
  <c r="H224" i="30" s="1"/>
  <c r="I224" i="30" s="1"/>
  <c r="J224" i="30" s="1"/>
  <c r="K224" i="30" s="1"/>
  <c r="L224" i="30" s="1"/>
  <c r="M224" i="30" s="1"/>
  <c r="N224" i="30" s="1"/>
  <c r="O224" i="30" s="1"/>
  <c r="P224" i="30" s="1"/>
  <c r="B224" i="30"/>
  <c r="D223" i="30"/>
  <c r="E223" i="30" s="1"/>
  <c r="F223" i="30" s="1"/>
  <c r="G223" i="30" s="1"/>
  <c r="H223" i="30" s="1"/>
  <c r="I223" i="30" s="1"/>
  <c r="J223" i="30" s="1"/>
  <c r="K223" i="30" s="1"/>
  <c r="L223" i="30" s="1"/>
  <c r="M223" i="30" s="1"/>
  <c r="N223" i="30" s="1"/>
  <c r="O223" i="30" s="1"/>
  <c r="P223" i="30" s="1"/>
  <c r="B223" i="30"/>
  <c r="D222" i="30"/>
  <c r="B222" i="30"/>
  <c r="B228" i="30" s="1"/>
  <c r="AG220" i="30"/>
  <c r="AF220" i="30"/>
  <c r="AE220" i="30"/>
  <c r="AD220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B220" i="30"/>
  <c r="AI113" i="30"/>
  <c r="AH113" i="30"/>
  <c r="AI112" i="30"/>
  <c r="AH112" i="30"/>
  <c r="AI111" i="30"/>
  <c r="AH111" i="30"/>
  <c r="AI110" i="30"/>
  <c r="AH110" i="30"/>
  <c r="AI109" i="30"/>
  <c r="AH109" i="30"/>
  <c r="AI108" i="30"/>
  <c r="AH108" i="30"/>
  <c r="AI106" i="30"/>
  <c r="AH106" i="30"/>
  <c r="AI105" i="30"/>
  <c r="AH105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C104" i="30"/>
  <c r="AI103" i="30"/>
  <c r="AH103" i="30"/>
  <c r="AI102" i="30"/>
  <c r="AH102" i="30"/>
  <c r="AI101" i="30"/>
  <c r="AH101" i="30"/>
  <c r="AI100" i="30"/>
  <c r="AH100" i="30"/>
  <c r="AI99" i="30"/>
  <c r="AH99" i="30"/>
  <c r="AI98" i="30"/>
  <c r="AH98" i="30"/>
  <c r="AI97" i="30"/>
  <c r="AH97" i="30"/>
  <c r="AI96" i="30"/>
  <c r="AH96" i="30"/>
  <c r="AI95" i="30"/>
  <c r="AH95" i="30"/>
  <c r="AI92" i="30"/>
  <c r="AH92" i="30"/>
  <c r="AF91" i="30"/>
  <c r="AE91" i="30"/>
  <c r="AD91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AF90" i="30"/>
  <c r="AE90" i="30"/>
  <c r="AD90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J90" i="30"/>
  <c r="I90" i="30"/>
  <c r="H90" i="30"/>
  <c r="G90" i="30"/>
  <c r="F90" i="30"/>
  <c r="E90" i="30"/>
  <c r="D90" i="30"/>
  <c r="C90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AF87" i="30"/>
  <c r="AF93" i="30" s="1"/>
  <c r="AE87" i="30"/>
  <c r="AD87" i="30"/>
  <c r="AC87" i="30"/>
  <c r="AB87" i="30"/>
  <c r="AA87" i="30"/>
  <c r="Z87" i="30"/>
  <c r="Y87" i="30"/>
  <c r="X87" i="30"/>
  <c r="X93" i="30" s="1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H93" i="30" s="1"/>
  <c r="G87" i="30"/>
  <c r="F87" i="30"/>
  <c r="E87" i="30"/>
  <c r="D87" i="30"/>
  <c r="C87" i="30"/>
  <c r="AI84" i="30"/>
  <c r="AH84" i="30"/>
  <c r="AI82" i="30"/>
  <c r="AH82" i="30"/>
  <c r="AG82" i="30"/>
  <c r="AI81" i="30"/>
  <c r="AH81" i="30"/>
  <c r="AI80" i="30"/>
  <c r="AH80" i="30"/>
  <c r="AI79" i="30"/>
  <c r="AH79" i="30"/>
  <c r="AG78" i="30"/>
  <c r="AF78" i="30"/>
  <c r="AE78" i="30"/>
  <c r="AD5" i="30" s="1"/>
  <c r="AD78" i="30"/>
  <c r="AC78" i="30"/>
  <c r="AB78" i="30"/>
  <c r="AA5" i="30" s="1"/>
  <c r="AA78" i="30"/>
  <c r="Z78" i="30"/>
  <c r="Y5" i="30" s="1"/>
  <c r="Y78" i="30"/>
  <c r="X5" i="30" s="1"/>
  <c r="X78" i="30"/>
  <c r="W78" i="30"/>
  <c r="V5" i="30" s="1"/>
  <c r="V78" i="30"/>
  <c r="U78" i="30"/>
  <c r="T78" i="30"/>
  <c r="S78" i="30"/>
  <c r="R78" i="30"/>
  <c r="Q78" i="30"/>
  <c r="P78" i="30"/>
  <c r="O5" i="30" s="1"/>
  <c r="O78" i="30"/>
  <c r="N5" i="30" s="1"/>
  <c r="N78" i="30"/>
  <c r="M78" i="30"/>
  <c r="L78" i="30"/>
  <c r="K5" i="30" s="1"/>
  <c r="K78" i="30"/>
  <c r="J5" i="30" s="1"/>
  <c r="J78" i="30"/>
  <c r="I5" i="30" s="1"/>
  <c r="I78" i="30"/>
  <c r="H5" i="30" s="1"/>
  <c r="H78" i="30"/>
  <c r="G78" i="30"/>
  <c r="F78" i="30"/>
  <c r="E5" i="30" s="1"/>
  <c r="E78" i="30"/>
  <c r="D5" i="30" s="1"/>
  <c r="D78" i="30"/>
  <c r="C78" i="30"/>
  <c r="AI77" i="30"/>
  <c r="AH77" i="30"/>
  <c r="AI76" i="30"/>
  <c r="AH76" i="30"/>
  <c r="AI75" i="30"/>
  <c r="AH75" i="30"/>
  <c r="AI74" i="30"/>
  <c r="AH74" i="30"/>
  <c r="AI73" i="30"/>
  <c r="AH73" i="30"/>
  <c r="AI72" i="30"/>
  <c r="AH72" i="30"/>
  <c r="AI71" i="30"/>
  <c r="AH71" i="30"/>
  <c r="AI70" i="30"/>
  <c r="AH70" i="30"/>
  <c r="AI69" i="30"/>
  <c r="AH69" i="30"/>
  <c r="AI68" i="30"/>
  <c r="AH68" i="30"/>
  <c r="AI67" i="30"/>
  <c r="AH67" i="30"/>
  <c r="AG66" i="30"/>
  <c r="AF66" i="30"/>
  <c r="AE66" i="30"/>
  <c r="AD66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M66" i="30"/>
  <c r="L66" i="30"/>
  <c r="K66" i="30"/>
  <c r="J66" i="30"/>
  <c r="I66" i="30"/>
  <c r="H66" i="30"/>
  <c r="G66" i="30"/>
  <c r="F66" i="30"/>
  <c r="E66" i="30"/>
  <c r="D66" i="30"/>
  <c r="C66" i="30"/>
  <c r="AI65" i="30"/>
  <c r="AH65" i="30"/>
  <c r="AI64" i="30"/>
  <c r="AH64" i="30"/>
  <c r="AI63" i="30"/>
  <c r="AH63" i="30"/>
  <c r="AF62" i="30"/>
  <c r="AE62" i="30"/>
  <c r="AD62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AI61" i="30"/>
  <c r="AH61" i="30"/>
  <c r="AG61" i="30"/>
  <c r="AG62" i="30" s="1"/>
  <c r="AG3" i="30" s="1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I47" i="30"/>
  <c r="AH47" i="30"/>
  <c r="AI46" i="30"/>
  <c r="AH46" i="30"/>
  <c r="AI45" i="30"/>
  <c r="AH45" i="30"/>
  <c r="AG44" i="30"/>
  <c r="AG2" i="30" s="1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I83" i="30" s="1"/>
  <c r="I85" i="30" s="1"/>
  <c r="H44" i="30"/>
  <c r="G44" i="30"/>
  <c r="F44" i="30"/>
  <c r="E44" i="30"/>
  <c r="D44" i="30"/>
  <c r="C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E5" i="30"/>
  <c r="W5" i="30"/>
  <c r="L5" i="30"/>
  <c r="G5" i="30"/>
  <c r="F5" i="30"/>
  <c r="AG4" i="30"/>
  <c r="K4" i="30"/>
  <c r="B4" i="30"/>
  <c r="S239" i="30" s="1"/>
  <c r="AA107" i="29"/>
  <c r="AA43" i="29"/>
  <c r="Z107" i="29"/>
  <c r="Z104" i="29" s="1"/>
  <c r="Z43" i="29"/>
  <c r="Y43" i="29"/>
  <c r="Y107" i="29"/>
  <c r="Y104" i="29" s="1"/>
  <c r="X104" i="29"/>
  <c r="X94" i="29"/>
  <c r="X93" i="29"/>
  <c r="X78" i="29"/>
  <c r="W66" i="29"/>
  <c r="X62" i="29"/>
  <c r="X83" i="29" s="1"/>
  <c r="X85" i="29" s="1"/>
  <c r="X48" i="29"/>
  <c r="W107" i="29"/>
  <c r="W43" i="29"/>
  <c r="V107" i="29"/>
  <c r="V43" i="29"/>
  <c r="Q43" i="29"/>
  <c r="P43" i="29"/>
  <c r="O43" i="29"/>
  <c r="N43" i="29"/>
  <c r="M43" i="29"/>
  <c r="K107" i="29"/>
  <c r="L107" i="29"/>
  <c r="L43" i="29"/>
  <c r="K43" i="29"/>
  <c r="J107" i="29"/>
  <c r="H107" i="29"/>
  <c r="J43" i="29"/>
  <c r="I48" i="29"/>
  <c r="I43" i="29"/>
  <c r="H43" i="29"/>
  <c r="G107" i="29"/>
  <c r="F107" i="29"/>
  <c r="F43" i="29"/>
  <c r="AH43" i="29" s="1"/>
  <c r="E107" i="29"/>
  <c r="AI107" i="29" s="1"/>
  <c r="E43" i="29"/>
  <c r="D107" i="29"/>
  <c r="D43" i="29"/>
  <c r="C107" i="29"/>
  <c r="C43" i="29"/>
  <c r="B107" i="29"/>
  <c r="AF267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E267" i="29"/>
  <c r="D267" i="29"/>
  <c r="C267" i="29"/>
  <c r="B267" i="29"/>
  <c r="A267" i="29"/>
  <c r="AF266" i="29"/>
  <c r="AE266" i="29"/>
  <c r="AD266" i="29"/>
  <c r="AC266" i="29"/>
  <c r="AB266" i="29"/>
  <c r="AA266" i="29"/>
  <c r="Z266" i="29"/>
  <c r="Y266" i="29"/>
  <c r="X266" i="29"/>
  <c r="W266" i="29"/>
  <c r="V266" i="29"/>
  <c r="U266" i="29"/>
  <c r="T266" i="29"/>
  <c r="S266" i="29"/>
  <c r="R266" i="29"/>
  <c r="Q266" i="29"/>
  <c r="P266" i="29"/>
  <c r="O266" i="29"/>
  <c r="N266" i="29"/>
  <c r="M266" i="29"/>
  <c r="L266" i="29"/>
  <c r="K266" i="29"/>
  <c r="J266" i="29"/>
  <c r="I266" i="29"/>
  <c r="H266" i="29"/>
  <c r="G266" i="29"/>
  <c r="F266" i="29"/>
  <c r="E266" i="29"/>
  <c r="D266" i="29"/>
  <c r="C266" i="29"/>
  <c r="B266" i="29"/>
  <c r="A266" i="29"/>
  <c r="AF265" i="29"/>
  <c r="AE265" i="29"/>
  <c r="AD265" i="29"/>
  <c r="AC265" i="29"/>
  <c r="AB265" i="29"/>
  <c r="AA265" i="29"/>
  <c r="Z265" i="29"/>
  <c r="Y265" i="29"/>
  <c r="X265" i="29"/>
  <c r="W265" i="29"/>
  <c r="V265" i="29"/>
  <c r="U265" i="29"/>
  <c r="T265" i="29"/>
  <c r="S265" i="29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F265" i="29"/>
  <c r="E265" i="29"/>
  <c r="D265" i="29"/>
  <c r="C265" i="29"/>
  <c r="B265" i="29"/>
  <c r="A265" i="29"/>
  <c r="AF264" i="29"/>
  <c r="AE264" i="29"/>
  <c r="AD264" i="29"/>
  <c r="AC264" i="29"/>
  <c r="AB264" i="29"/>
  <c r="AA264" i="29"/>
  <c r="Z264" i="29"/>
  <c r="Y264" i="29"/>
  <c r="X264" i="29"/>
  <c r="W264" i="29"/>
  <c r="V264" i="29"/>
  <c r="U264" i="29"/>
  <c r="T264" i="29"/>
  <c r="S264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E264" i="29"/>
  <c r="D264" i="29"/>
  <c r="C264" i="29"/>
  <c r="B264" i="29"/>
  <c r="A264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B263" i="29"/>
  <c r="S238" i="29"/>
  <c r="AG228" i="29"/>
  <c r="AG61" i="29" s="1"/>
  <c r="AG62" i="29" s="1"/>
  <c r="AG3" i="29" s="1"/>
  <c r="AF228" i="29"/>
  <c r="AE228" i="29"/>
  <c r="AD228" i="29"/>
  <c r="AC228" i="29"/>
  <c r="AB228" i="29"/>
  <c r="AA228" i="29"/>
  <c r="Z228" i="29"/>
  <c r="Y228" i="29"/>
  <c r="X228" i="29"/>
  <c r="W228" i="29"/>
  <c r="V228" i="29"/>
  <c r="U228" i="29"/>
  <c r="T228" i="29"/>
  <c r="S228" i="29"/>
  <c r="R228" i="29"/>
  <c r="Q228" i="29"/>
  <c r="C228" i="29"/>
  <c r="D227" i="29"/>
  <c r="C263" i="29" s="1"/>
  <c r="B227" i="29"/>
  <c r="AF263" i="29" s="1"/>
  <c r="D226" i="29"/>
  <c r="E226" i="29" s="1"/>
  <c r="F226" i="29" s="1"/>
  <c r="G226" i="29" s="1"/>
  <c r="H226" i="29" s="1"/>
  <c r="I226" i="29" s="1"/>
  <c r="J226" i="29" s="1"/>
  <c r="K226" i="29" s="1"/>
  <c r="L226" i="29" s="1"/>
  <c r="M226" i="29" s="1"/>
  <c r="N226" i="29" s="1"/>
  <c r="O226" i="29" s="1"/>
  <c r="P226" i="29" s="1"/>
  <c r="B226" i="29"/>
  <c r="D225" i="29"/>
  <c r="E225" i="29" s="1"/>
  <c r="F225" i="29" s="1"/>
  <c r="G225" i="29" s="1"/>
  <c r="H225" i="29" s="1"/>
  <c r="I225" i="29" s="1"/>
  <c r="J225" i="29" s="1"/>
  <c r="K225" i="29" s="1"/>
  <c r="L225" i="29" s="1"/>
  <c r="M225" i="29" s="1"/>
  <c r="N225" i="29" s="1"/>
  <c r="O225" i="29" s="1"/>
  <c r="P225" i="29" s="1"/>
  <c r="B225" i="29"/>
  <c r="D224" i="29"/>
  <c r="E224" i="29" s="1"/>
  <c r="F224" i="29" s="1"/>
  <c r="G224" i="29" s="1"/>
  <c r="H224" i="29" s="1"/>
  <c r="I224" i="29" s="1"/>
  <c r="J224" i="29" s="1"/>
  <c r="K224" i="29" s="1"/>
  <c r="L224" i="29" s="1"/>
  <c r="M224" i="29" s="1"/>
  <c r="N224" i="29" s="1"/>
  <c r="O224" i="29" s="1"/>
  <c r="P224" i="29" s="1"/>
  <c r="B224" i="29"/>
  <c r="D223" i="29"/>
  <c r="E223" i="29" s="1"/>
  <c r="F223" i="29" s="1"/>
  <c r="G223" i="29" s="1"/>
  <c r="H223" i="29" s="1"/>
  <c r="I223" i="29" s="1"/>
  <c r="J223" i="29" s="1"/>
  <c r="K223" i="29" s="1"/>
  <c r="L223" i="29" s="1"/>
  <c r="M223" i="29" s="1"/>
  <c r="N223" i="29" s="1"/>
  <c r="O223" i="29" s="1"/>
  <c r="P223" i="29" s="1"/>
  <c r="B223" i="29"/>
  <c r="D222" i="29"/>
  <c r="D228" i="29" s="1"/>
  <c r="B222" i="29"/>
  <c r="AG220" i="29"/>
  <c r="AF220" i="29"/>
  <c r="AE220" i="29"/>
  <c r="AD220" i="29"/>
  <c r="AC220" i="29"/>
  <c r="AB220" i="29"/>
  <c r="AA220" i="29"/>
  <c r="Z220" i="29"/>
  <c r="Y220" i="29"/>
  <c r="X220" i="29"/>
  <c r="W220" i="29"/>
  <c r="V220" i="29"/>
  <c r="U220" i="29"/>
  <c r="T220" i="29"/>
  <c r="S220" i="29"/>
  <c r="R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AI113" i="29"/>
  <c r="AH113" i="29"/>
  <c r="AI112" i="29"/>
  <c r="AH112" i="29"/>
  <c r="AI111" i="29"/>
  <c r="AH111" i="29"/>
  <c r="AI110" i="29"/>
  <c r="AH110" i="29"/>
  <c r="AI109" i="29"/>
  <c r="AH109" i="29"/>
  <c r="AI108" i="29"/>
  <c r="AH108" i="29"/>
  <c r="AI106" i="29"/>
  <c r="AH106" i="29"/>
  <c r="AI105" i="29"/>
  <c r="AH105" i="29"/>
  <c r="AF104" i="29"/>
  <c r="AE104" i="29"/>
  <c r="AD104" i="29"/>
  <c r="AC104" i="29"/>
  <c r="AB104" i="29"/>
  <c r="AA104" i="29"/>
  <c r="W104" i="29"/>
  <c r="V104" i="29"/>
  <c r="U104" i="29"/>
  <c r="T104" i="29"/>
  <c r="S104" i="29"/>
  <c r="R104" i="29"/>
  <c r="Q104" i="29"/>
  <c r="C104" i="29"/>
  <c r="B104" i="29"/>
  <c r="AI103" i="29"/>
  <c r="AH103" i="29"/>
  <c r="AI102" i="29"/>
  <c r="AH102" i="29"/>
  <c r="AI101" i="29"/>
  <c r="AH101" i="29"/>
  <c r="AI100" i="29"/>
  <c r="AH100" i="29"/>
  <c r="AI99" i="29"/>
  <c r="AH99" i="29"/>
  <c r="AI98" i="29"/>
  <c r="AH98" i="29"/>
  <c r="AI97" i="29"/>
  <c r="AH97" i="29"/>
  <c r="AI96" i="29"/>
  <c r="AH96" i="29"/>
  <c r="AI95" i="29"/>
  <c r="AH95" i="29"/>
  <c r="AI92" i="29"/>
  <c r="AH92" i="29"/>
  <c r="AF91" i="29"/>
  <c r="AE91" i="29"/>
  <c r="AD91" i="29"/>
  <c r="AC91" i="29"/>
  <c r="AB91" i="29"/>
  <c r="AA91" i="29"/>
  <c r="Z91" i="29"/>
  <c r="Y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AF90" i="29"/>
  <c r="AE90" i="29"/>
  <c r="AD90" i="29"/>
  <c r="AC90" i="29"/>
  <c r="AB90" i="29"/>
  <c r="AA90" i="29"/>
  <c r="Z90" i="29"/>
  <c r="Y90" i="29"/>
  <c r="W90" i="29"/>
  <c r="V90" i="29"/>
  <c r="U90" i="29"/>
  <c r="T90" i="29"/>
  <c r="S90" i="29"/>
  <c r="R90" i="29"/>
  <c r="Q90" i="29"/>
  <c r="P90" i="29"/>
  <c r="O90" i="29"/>
  <c r="N90" i="29"/>
  <c r="M90" i="29"/>
  <c r="L90" i="29"/>
  <c r="K90" i="29"/>
  <c r="J90" i="29"/>
  <c r="I90" i="29"/>
  <c r="H90" i="29"/>
  <c r="G90" i="29"/>
  <c r="F90" i="29"/>
  <c r="E90" i="29"/>
  <c r="D90" i="29"/>
  <c r="C90" i="29"/>
  <c r="B90" i="29"/>
  <c r="AF89" i="29"/>
  <c r="AE89" i="29"/>
  <c r="AD89" i="29"/>
  <c r="AC89" i="29"/>
  <c r="AB89" i="29"/>
  <c r="AA89" i="29"/>
  <c r="Z89" i="29"/>
  <c r="Y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AF88" i="29"/>
  <c r="AE88" i="29"/>
  <c r="AD88" i="29"/>
  <c r="AC88" i="29"/>
  <c r="AB88" i="29"/>
  <c r="AA88" i="29"/>
  <c r="Z88" i="29"/>
  <c r="Y88" i="29"/>
  <c r="W88" i="29"/>
  <c r="V88" i="29"/>
  <c r="U88" i="29"/>
  <c r="T88" i="29"/>
  <c r="T93" i="29" s="1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AF87" i="29"/>
  <c r="AE87" i="29"/>
  <c r="AD87" i="29"/>
  <c r="AC87" i="29"/>
  <c r="AB87" i="29"/>
  <c r="AA87" i="29"/>
  <c r="AA93" i="29" s="1"/>
  <c r="Z87" i="29"/>
  <c r="Y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J93" i="29" s="1"/>
  <c r="I87" i="29"/>
  <c r="H87" i="29"/>
  <c r="G87" i="29"/>
  <c r="F87" i="29"/>
  <c r="E87" i="29"/>
  <c r="D87" i="29"/>
  <c r="C87" i="29"/>
  <c r="B87" i="29"/>
  <c r="AI84" i="29"/>
  <c r="AH84" i="29"/>
  <c r="AI82" i="29"/>
  <c r="AH82" i="29"/>
  <c r="AG82" i="29"/>
  <c r="AG85" i="29" s="1"/>
  <c r="AI81" i="29"/>
  <c r="AH81" i="29"/>
  <c r="AI80" i="29"/>
  <c r="AH80" i="29"/>
  <c r="AI79" i="29"/>
  <c r="AH79" i="29"/>
  <c r="AG78" i="29"/>
  <c r="AF78" i="29"/>
  <c r="AE5" i="29" s="1"/>
  <c r="AE78" i="29"/>
  <c r="AD5" i="29" s="1"/>
  <c r="AD78" i="29"/>
  <c r="AC5" i="29" s="1"/>
  <c r="AC78" i="29"/>
  <c r="AB78" i="29"/>
  <c r="AA5" i="29" s="1"/>
  <c r="AA78" i="29"/>
  <c r="Z5" i="29" s="1"/>
  <c r="Z78" i="29"/>
  <c r="Y78" i="29"/>
  <c r="W78" i="29"/>
  <c r="V5" i="29" s="1"/>
  <c r="V78" i="29"/>
  <c r="U5" i="29" s="1"/>
  <c r="U78" i="29"/>
  <c r="T78" i="29"/>
  <c r="S5" i="29" s="1"/>
  <c r="S78" i="29"/>
  <c r="R5" i="29" s="1"/>
  <c r="R78" i="29"/>
  <c r="Q78" i="29"/>
  <c r="P78" i="29"/>
  <c r="O78" i="29"/>
  <c r="N5" i="29" s="1"/>
  <c r="N78" i="29"/>
  <c r="M5" i="29" s="1"/>
  <c r="M78" i="29"/>
  <c r="L78" i="29"/>
  <c r="K5" i="29" s="1"/>
  <c r="K78" i="29"/>
  <c r="J78" i="29"/>
  <c r="I78" i="29"/>
  <c r="H78" i="29"/>
  <c r="G5" i="29" s="1"/>
  <c r="G78" i="29"/>
  <c r="F5" i="29" s="1"/>
  <c r="F78" i="29"/>
  <c r="E78" i="29"/>
  <c r="D78" i="29"/>
  <c r="C78" i="29"/>
  <c r="B5" i="29" s="1"/>
  <c r="B78" i="29"/>
  <c r="AF5" i="29" s="1"/>
  <c r="AI77" i="29"/>
  <c r="AH77" i="29"/>
  <c r="AI76" i="29"/>
  <c r="AH76" i="29"/>
  <c r="AI75" i="29"/>
  <c r="AH75" i="29"/>
  <c r="AI74" i="29"/>
  <c r="AH74" i="29"/>
  <c r="AI73" i="29"/>
  <c r="AH73" i="29"/>
  <c r="AI72" i="29"/>
  <c r="AH72" i="29"/>
  <c r="AI71" i="29"/>
  <c r="AH71" i="29"/>
  <c r="AI70" i="29"/>
  <c r="AH70" i="29"/>
  <c r="AI69" i="29"/>
  <c r="AH69" i="29"/>
  <c r="AI68" i="29"/>
  <c r="AH68" i="29"/>
  <c r="AI67" i="29"/>
  <c r="AH67" i="29"/>
  <c r="AG66" i="29"/>
  <c r="AF66" i="29"/>
  <c r="AE66" i="29"/>
  <c r="AD66" i="29"/>
  <c r="AC66" i="29"/>
  <c r="AB66" i="29"/>
  <c r="AA66" i="29"/>
  <c r="Z66" i="29"/>
  <c r="Y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AI65" i="29"/>
  <c r="AH65" i="29"/>
  <c r="AI64" i="29"/>
  <c r="AH64" i="29"/>
  <c r="AI63" i="29"/>
  <c r="AH63" i="29"/>
  <c r="AF62" i="29"/>
  <c r="AE62" i="29"/>
  <c r="AD62" i="29"/>
  <c r="AC62" i="29"/>
  <c r="AB62" i="29"/>
  <c r="AA62" i="29"/>
  <c r="Z62" i="29"/>
  <c r="Y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G48" i="29"/>
  <c r="AF48" i="29"/>
  <c r="AE48" i="29"/>
  <c r="AD48" i="29"/>
  <c r="AC48" i="29"/>
  <c r="AB48" i="29"/>
  <c r="AA48" i="29"/>
  <c r="Z48" i="29"/>
  <c r="Y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H48" i="29"/>
  <c r="G48" i="29"/>
  <c r="F48" i="29"/>
  <c r="E48" i="29"/>
  <c r="D48" i="29"/>
  <c r="C48" i="29"/>
  <c r="B48" i="29"/>
  <c r="AI47" i="29"/>
  <c r="AH47" i="29"/>
  <c r="AI46" i="29"/>
  <c r="AH46" i="29"/>
  <c r="AI45" i="29"/>
  <c r="AH45" i="29"/>
  <c r="AG44" i="29"/>
  <c r="AF44" i="29"/>
  <c r="AE44" i="29"/>
  <c r="AD44" i="29"/>
  <c r="AC44" i="29"/>
  <c r="AB44" i="29"/>
  <c r="AA44" i="29"/>
  <c r="Z44" i="29"/>
  <c r="Z83" i="29" s="1"/>
  <c r="Z85" i="29" s="1"/>
  <c r="Y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AI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Y5" i="29"/>
  <c r="W5" i="29"/>
  <c r="J5" i="29"/>
  <c r="I5" i="29"/>
  <c r="H5" i="29"/>
  <c r="E5" i="29"/>
  <c r="AG4" i="29"/>
  <c r="K4" i="29"/>
  <c r="B4" i="29"/>
  <c r="S239" i="29" s="1"/>
  <c r="AG2" i="29"/>
  <c r="AG6" i="29" s="1"/>
  <c r="AF107" i="28"/>
  <c r="AF43" i="28"/>
  <c r="AE107" i="28"/>
  <c r="AE43" i="28"/>
  <c r="AD107" i="28"/>
  <c r="AD43" i="28"/>
  <c r="AC107" i="28"/>
  <c r="AC43" i="28"/>
  <c r="AB107" i="28"/>
  <c r="AB43" i="28"/>
  <c r="AA107" i="28"/>
  <c r="AA43" i="28"/>
  <c r="Z107" i="28"/>
  <c r="Z43" i="28"/>
  <c r="Y43" i="28"/>
  <c r="W43" i="28"/>
  <c r="V43" i="28"/>
  <c r="U43" i="28"/>
  <c r="T43" i="28"/>
  <c r="S43" i="28"/>
  <c r="R107" i="28"/>
  <c r="R43" i="28"/>
  <c r="Q107" i="28"/>
  <c r="Q43" i="28"/>
  <c r="P107" i="28"/>
  <c r="P43" i="28"/>
  <c r="O107" i="28"/>
  <c r="O43" i="28"/>
  <c r="N107" i="28"/>
  <c r="N43" i="28"/>
  <c r="M107" i="28"/>
  <c r="M43" i="28"/>
  <c r="L43" i="28"/>
  <c r="K43" i="28"/>
  <c r="J107" i="28"/>
  <c r="J43" i="28"/>
  <c r="I107" i="28"/>
  <c r="I43" i="28"/>
  <c r="H107" i="28"/>
  <c r="H43" i="28"/>
  <c r="G107" i="28"/>
  <c r="G43" i="28"/>
  <c r="F107" i="28"/>
  <c r="F43" i="28"/>
  <c r="E107" i="28"/>
  <c r="E43" i="28"/>
  <c r="D107" i="28"/>
  <c r="C107" i="28"/>
  <c r="D43" i="28"/>
  <c r="E4" i="29"/>
  <c r="E4" i="30"/>
  <c r="AH107" i="29" l="1"/>
  <c r="AC93" i="29"/>
  <c r="D228" i="30"/>
  <c r="C93" i="30"/>
  <c r="C94" i="30" s="1"/>
  <c r="AH107" i="30"/>
  <c r="T83" i="29"/>
  <c r="T85" i="29" s="1"/>
  <c r="D93" i="29"/>
  <c r="B104" i="30"/>
  <c r="O93" i="29"/>
  <c r="W93" i="29"/>
  <c r="D104" i="29"/>
  <c r="E227" i="30"/>
  <c r="D263" i="30" s="1"/>
  <c r="AD93" i="29"/>
  <c r="AF83" i="29"/>
  <c r="AF85" i="29" s="1"/>
  <c r="AG6" i="30"/>
  <c r="D104" i="30"/>
  <c r="AG83" i="29"/>
  <c r="I93" i="29"/>
  <c r="I94" i="29" s="1"/>
  <c r="Z93" i="29"/>
  <c r="Z86" i="29" s="1"/>
  <c r="B228" i="29"/>
  <c r="G93" i="30"/>
  <c r="AF83" i="30"/>
  <c r="AF85" i="30" s="1"/>
  <c r="AE93" i="30"/>
  <c r="AE86" i="30" s="1"/>
  <c r="AE83" i="30"/>
  <c r="AE85" i="30" s="1"/>
  <c r="AD93" i="30"/>
  <c r="AD94" i="30" s="1"/>
  <c r="AC5" i="30"/>
  <c r="AD83" i="30"/>
  <c r="AD85" i="30" s="1"/>
  <c r="AD7" i="30" s="1"/>
  <c r="AC93" i="30"/>
  <c r="AC94" i="30" s="1"/>
  <c r="AB5" i="30"/>
  <c r="AC83" i="30"/>
  <c r="AC85" i="30" s="1"/>
  <c r="AB83" i="30"/>
  <c r="AB85" i="30" s="1"/>
  <c r="AB86" i="30" s="1"/>
  <c r="AB93" i="30"/>
  <c r="AB94" i="30" s="1"/>
  <c r="Z5" i="30"/>
  <c r="AA93" i="30"/>
  <c r="AA94" i="30" s="1"/>
  <c r="AA83" i="30"/>
  <c r="AA85" i="30" s="1"/>
  <c r="AS242" i="30" s="1"/>
  <c r="Z93" i="30"/>
  <c r="Z94" i="30" s="1"/>
  <c r="Z83" i="30"/>
  <c r="Z85" i="30" s="1"/>
  <c r="Y93" i="30"/>
  <c r="Y94" i="30" s="1"/>
  <c r="AI87" i="30"/>
  <c r="Y83" i="30"/>
  <c r="Y85" i="30" s="1"/>
  <c r="X83" i="30"/>
  <c r="X85" i="30" s="1"/>
  <c r="W93" i="30"/>
  <c r="W83" i="30"/>
  <c r="W85" i="30" s="1"/>
  <c r="AO242" i="30" s="1"/>
  <c r="V93" i="30"/>
  <c r="V94" i="30" s="1"/>
  <c r="U5" i="30"/>
  <c r="V83" i="30"/>
  <c r="V85" i="30" s="1"/>
  <c r="T5" i="30"/>
  <c r="U93" i="30"/>
  <c r="U94" i="30" s="1"/>
  <c r="U83" i="30"/>
  <c r="U85" i="30" s="1"/>
  <c r="T93" i="30"/>
  <c r="T94" i="30" s="1"/>
  <c r="S5" i="30"/>
  <c r="T83" i="30"/>
  <c r="T85" i="30" s="1"/>
  <c r="T7" i="30" s="1"/>
  <c r="R5" i="30"/>
  <c r="S93" i="30"/>
  <c r="S94" i="30" s="1"/>
  <c r="S83" i="30"/>
  <c r="S85" i="30" s="1"/>
  <c r="AK242" i="30" s="1"/>
  <c r="AI89" i="30"/>
  <c r="R93" i="30"/>
  <c r="R94" i="30" s="1"/>
  <c r="Q5" i="30"/>
  <c r="R83" i="30"/>
  <c r="R85" i="30" s="1"/>
  <c r="R86" i="30" s="1"/>
  <c r="Q93" i="30"/>
  <c r="Q94" i="30" s="1"/>
  <c r="P5" i="30"/>
  <c r="Q83" i="30"/>
  <c r="Q85" i="30" s="1"/>
  <c r="P93" i="30"/>
  <c r="P86" i="30" s="1"/>
  <c r="AI88" i="30"/>
  <c r="P83" i="30"/>
  <c r="P85" i="30" s="1"/>
  <c r="AB93" i="29"/>
  <c r="O93" i="30"/>
  <c r="O83" i="30"/>
  <c r="O85" i="30" s="1"/>
  <c r="O86" i="30" s="1"/>
  <c r="N93" i="30"/>
  <c r="N94" i="30" s="1"/>
  <c r="M5" i="30"/>
  <c r="N83" i="30"/>
  <c r="N85" i="30" s="1"/>
  <c r="N86" i="30" s="1"/>
  <c r="M93" i="30"/>
  <c r="M94" i="30" s="1"/>
  <c r="M83" i="30"/>
  <c r="M85" i="30" s="1"/>
  <c r="AE242" i="30" s="1"/>
  <c r="L93" i="30"/>
  <c r="L94" i="30" s="1"/>
  <c r="L83" i="30"/>
  <c r="L85" i="30" s="1"/>
  <c r="AD242" i="30" s="1"/>
  <c r="K93" i="30"/>
  <c r="K94" i="30" s="1"/>
  <c r="K83" i="30"/>
  <c r="K85" i="30" s="1"/>
  <c r="K7" i="30" s="1"/>
  <c r="J93" i="30"/>
  <c r="J94" i="30" s="1"/>
  <c r="J83" i="30"/>
  <c r="J85" i="30" s="1"/>
  <c r="J7" i="30" s="1"/>
  <c r="I93" i="30"/>
  <c r="I94" i="30" s="1"/>
  <c r="AI66" i="30"/>
  <c r="H83" i="30"/>
  <c r="H85" i="30" s="1"/>
  <c r="Z242" i="30" s="1"/>
  <c r="G83" i="30"/>
  <c r="G85" i="30" s="1"/>
  <c r="Y242" i="30" s="1"/>
  <c r="AI90" i="30"/>
  <c r="AI91" i="30"/>
  <c r="F93" i="30"/>
  <c r="F94" i="30" s="1"/>
  <c r="F83" i="30"/>
  <c r="F85" i="30" s="1"/>
  <c r="AH91" i="30"/>
  <c r="E93" i="30"/>
  <c r="E94" i="30" s="1"/>
  <c r="E83" i="30"/>
  <c r="E85" i="30" s="1"/>
  <c r="W242" i="30" s="1"/>
  <c r="AI62" i="30"/>
  <c r="D93" i="30"/>
  <c r="D94" i="30" s="1"/>
  <c r="C5" i="30"/>
  <c r="D83" i="30"/>
  <c r="D85" i="30" s="1"/>
  <c r="V242" i="30" s="1"/>
  <c r="AI44" i="30"/>
  <c r="B5" i="30"/>
  <c r="C83" i="30"/>
  <c r="C85" i="30" s="1"/>
  <c r="AI48" i="30"/>
  <c r="B93" i="30"/>
  <c r="B94" i="30" s="1"/>
  <c r="B83" i="30"/>
  <c r="B85" i="30" s="1"/>
  <c r="H4" i="30"/>
  <c r="V7" i="30"/>
  <c r="AN242" i="30"/>
  <c r="O7" i="30"/>
  <c r="AW242" i="30"/>
  <c r="AE7" i="30"/>
  <c r="N7" i="30"/>
  <c r="AF242" i="30"/>
  <c r="H7" i="30"/>
  <c r="H86" i="30"/>
  <c r="P7" i="30"/>
  <c r="AH242" i="30"/>
  <c r="X7" i="30"/>
  <c r="AP242" i="30"/>
  <c r="X86" i="30"/>
  <c r="AF7" i="30"/>
  <c r="AX242" i="30"/>
  <c r="AF86" i="30"/>
  <c r="AD86" i="30"/>
  <c r="I7" i="30"/>
  <c r="AA242" i="30"/>
  <c r="I86" i="30"/>
  <c r="Q7" i="30"/>
  <c r="AI242" i="30"/>
  <c r="Y7" i="30"/>
  <c r="AQ242" i="30"/>
  <c r="Y86" i="30"/>
  <c r="AG83" i="30"/>
  <c r="Z7" i="30"/>
  <c r="AR242" i="30"/>
  <c r="S7" i="30"/>
  <c r="G94" i="30"/>
  <c r="O94" i="30"/>
  <c r="W94" i="30"/>
  <c r="D7" i="30"/>
  <c r="AB7" i="30"/>
  <c r="AT242" i="30"/>
  <c r="H94" i="30"/>
  <c r="P94" i="30"/>
  <c r="X94" i="30"/>
  <c r="AF94" i="30"/>
  <c r="AG85" i="30"/>
  <c r="U7" i="30"/>
  <c r="AM242" i="30"/>
  <c r="U86" i="30"/>
  <c r="AC7" i="30"/>
  <c r="AU242" i="30"/>
  <c r="D239" i="30"/>
  <c r="AH62" i="30"/>
  <c r="AH66" i="30"/>
  <c r="AH78" i="30"/>
  <c r="AI78" i="30"/>
  <c r="AH87" i="30"/>
  <c r="AH88" i="30"/>
  <c r="E222" i="30"/>
  <c r="AH44" i="30"/>
  <c r="AH48" i="30"/>
  <c r="AH89" i="30"/>
  <c r="AH90" i="30"/>
  <c r="AF93" i="29"/>
  <c r="AF94" i="29" s="1"/>
  <c r="AE93" i="29"/>
  <c r="AE94" i="29" s="1"/>
  <c r="AE83" i="29"/>
  <c r="AE85" i="29" s="1"/>
  <c r="AD83" i="29"/>
  <c r="AD85" i="29" s="1"/>
  <c r="AC83" i="29"/>
  <c r="AC85" i="29" s="1"/>
  <c r="AB94" i="29"/>
  <c r="AB83" i="29"/>
  <c r="AB85" i="29" s="1"/>
  <c r="AB7" i="29" s="1"/>
  <c r="AA94" i="29"/>
  <c r="AA83" i="29"/>
  <c r="AA85" i="29" s="1"/>
  <c r="AS242" i="29" s="1"/>
  <c r="Y93" i="29"/>
  <c r="Y94" i="29" s="1"/>
  <c r="X5" i="29"/>
  <c r="Y83" i="29"/>
  <c r="Y85" i="29" s="1"/>
  <c r="W83" i="29"/>
  <c r="W85" i="29" s="1"/>
  <c r="AO242" i="29" s="1"/>
  <c r="V93" i="29"/>
  <c r="V94" i="29" s="1"/>
  <c r="V83" i="29"/>
  <c r="V85" i="29" s="1"/>
  <c r="U93" i="29"/>
  <c r="U83" i="29"/>
  <c r="U85" i="29" s="1"/>
  <c r="U7" i="29" s="1"/>
  <c r="T94" i="29"/>
  <c r="S93" i="29"/>
  <c r="S94" i="29" s="1"/>
  <c r="S83" i="29"/>
  <c r="S85" i="29" s="1"/>
  <c r="R93" i="29"/>
  <c r="R94" i="29" s="1"/>
  <c r="Q5" i="29"/>
  <c r="R83" i="29"/>
  <c r="R85" i="29" s="1"/>
  <c r="Q93" i="29"/>
  <c r="Q94" i="29"/>
  <c r="P5" i="29"/>
  <c r="Q83" i="29"/>
  <c r="Q85" i="29" s="1"/>
  <c r="P93" i="29"/>
  <c r="P94" i="29" s="1"/>
  <c r="O5" i="29"/>
  <c r="P83" i="29"/>
  <c r="P85" i="29" s="1"/>
  <c r="AH242" i="29" s="1"/>
  <c r="O83" i="29"/>
  <c r="O85" i="29" s="1"/>
  <c r="N93" i="29"/>
  <c r="N83" i="29"/>
  <c r="N85" i="29" s="1"/>
  <c r="AF242" i="29" s="1"/>
  <c r="M93" i="29"/>
  <c r="M83" i="29"/>
  <c r="M85" i="29" s="1"/>
  <c r="L93" i="29"/>
  <c r="L94" i="29" s="1"/>
  <c r="L83" i="29"/>
  <c r="L85" i="29" s="1"/>
  <c r="L86" i="29" s="1"/>
  <c r="K93" i="29"/>
  <c r="K94" i="29" s="1"/>
  <c r="K83" i="29"/>
  <c r="K85" i="29" s="1"/>
  <c r="K7" i="29" s="1"/>
  <c r="J94" i="29"/>
  <c r="J83" i="29"/>
  <c r="J85" i="29" s="1"/>
  <c r="J7" i="29" s="1"/>
  <c r="I83" i="29"/>
  <c r="I85" i="29" s="1"/>
  <c r="H93" i="29"/>
  <c r="H94" i="29" s="1"/>
  <c r="H83" i="29"/>
  <c r="H85" i="29" s="1"/>
  <c r="Z242" i="29" s="1"/>
  <c r="G93" i="29"/>
  <c r="G94" i="29" s="1"/>
  <c r="G83" i="29"/>
  <c r="G85" i="29" s="1"/>
  <c r="Y242" i="29" s="1"/>
  <c r="F93" i="29"/>
  <c r="F83" i="29"/>
  <c r="F85" i="29" s="1"/>
  <c r="F7" i="29" s="1"/>
  <c r="AH89" i="29"/>
  <c r="E93" i="29"/>
  <c r="E83" i="29"/>
  <c r="E85" i="29" s="1"/>
  <c r="E7" i="29" s="1"/>
  <c r="D94" i="29"/>
  <c r="C5" i="29"/>
  <c r="AI66" i="29"/>
  <c r="D83" i="29"/>
  <c r="D85" i="29" s="1"/>
  <c r="D86" i="29" s="1"/>
  <c r="AI89" i="29"/>
  <c r="AI87" i="29"/>
  <c r="AI90" i="29"/>
  <c r="C93" i="29"/>
  <c r="C94" i="29" s="1"/>
  <c r="AH88" i="29"/>
  <c r="AI91" i="29"/>
  <c r="AI62" i="29"/>
  <c r="AI48" i="29"/>
  <c r="C83" i="29"/>
  <c r="C85" i="29" s="1"/>
  <c r="U242" i="29" s="1"/>
  <c r="B83" i="29"/>
  <c r="B85" i="29" s="1"/>
  <c r="H4" i="29"/>
  <c r="W242" i="29"/>
  <c r="S7" i="29"/>
  <c r="AK242" i="29"/>
  <c r="S86" i="29"/>
  <c r="AA7" i="29"/>
  <c r="N7" i="29"/>
  <c r="V7" i="29"/>
  <c r="AN242" i="29"/>
  <c r="AD7" i="29"/>
  <c r="AV242" i="29"/>
  <c r="AD86" i="29"/>
  <c r="AG242" i="29"/>
  <c r="O86" i="29"/>
  <c r="O7" i="29"/>
  <c r="W86" i="29"/>
  <c r="W7" i="29"/>
  <c r="AW242" i="29"/>
  <c r="AE7" i="29"/>
  <c r="H7" i="29"/>
  <c r="P7" i="29"/>
  <c r="X7" i="29"/>
  <c r="AP242" i="29"/>
  <c r="AF7" i="29"/>
  <c r="AX242" i="29"/>
  <c r="AF86" i="29"/>
  <c r="E94" i="29"/>
  <c r="M94" i="29"/>
  <c r="U94" i="29"/>
  <c r="AC94" i="29"/>
  <c r="D7" i="29"/>
  <c r="V242" i="29"/>
  <c r="M7" i="29"/>
  <c r="AE242" i="29"/>
  <c r="M86" i="29"/>
  <c r="I7" i="29"/>
  <c r="AA242" i="29"/>
  <c r="I86" i="29"/>
  <c r="Q7" i="29"/>
  <c r="AI242" i="29"/>
  <c r="Q86" i="29"/>
  <c r="Y7" i="29"/>
  <c r="AQ242" i="29"/>
  <c r="Y86" i="29"/>
  <c r="F94" i="29"/>
  <c r="N94" i="29"/>
  <c r="AD94" i="29"/>
  <c r="T86" i="29"/>
  <c r="T7" i="29"/>
  <c r="AL242" i="29"/>
  <c r="AC7" i="29"/>
  <c r="AU242" i="29"/>
  <c r="AC86" i="29"/>
  <c r="R7" i="29"/>
  <c r="AJ242" i="29"/>
  <c r="R86" i="29"/>
  <c r="Z7" i="29"/>
  <c r="AR242" i="29"/>
  <c r="O94" i="29"/>
  <c r="W94" i="29"/>
  <c r="D239" i="29"/>
  <c r="AH48" i="29"/>
  <c r="AI88" i="29"/>
  <c r="AH62" i="29"/>
  <c r="AH66" i="29"/>
  <c r="AH78" i="29"/>
  <c r="E227" i="29"/>
  <c r="AH44" i="29"/>
  <c r="AI78" i="29"/>
  <c r="AH87" i="29"/>
  <c r="B93" i="29"/>
  <c r="B94" i="29" s="1"/>
  <c r="D5" i="29"/>
  <c r="L5" i="29"/>
  <c r="T5" i="29"/>
  <c r="AB5" i="29"/>
  <c r="E222" i="29"/>
  <c r="AI44" i="29"/>
  <c r="AH90" i="29"/>
  <c r="AH91" i="29"/>
  <c r="C43" i="28"/>
  <c r="B44" i="28"/>
  <c r="B107" i="28"/>
  <c r="B104" i="28" s="1"/>
  <c r="B91" i="28"/>
  <c r="B90" i="28"/>
  <c r="B89" i="28"/>
  <c r="B88" i="28"/>
  <c r="B87" i="28"/>
  <c r="B78" i="28"/>
  <c r="B66" i="28"/>
  <c r="B62" i="28"/>
  <c r="B48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E267" i="28"/>
  <c r="D267" i="28"/>
  <c r="C267" i="28"/>
  <c r="B267" i="28"/>
  <c r="A267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E266" i="28"/>
  <c r="D266" i="28"/>
  <c r="C266" i="28"/>
  <c r="B266" i="28"/>
  <c r="A266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E265" i="28"/>
  <c r="D265" i="28"/>
  <c r="C265" i="28"/>
  <c r="B265" i="28"/>
  <c r="A265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E264" i="28"/>
  <c r="D264" i="28"/>
  <c r="C264" i="28"/>
  <c r="B264" i="28"/>
  <c r="A264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B263" i="28"/>
  <c r="S238" i="28"/>
  <c r="AG228" i="28"/>
  <c r="AG61" i="28" s="1"/>
  <c r="AG62" i="28" s="1"/>
  <c r="AG3" i="28" s="1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C228" i="28"/>
  <c r="D227" i="28"/>
  <c r="C263" i="28" s="1"/>
  <c r="B227" i="28"/>
  <c r="AF263" i="28" s="1"/>
  <c r="D226" i="28"/>
  <c r="E226" i="28" s="1"/>
  <c r="F226" i="28" s="1"/>
  <c r="G226" i="28" s="1"/>
  <c r="H226" i="28" s="1"/>
  <c r="I226" i="28" s="1"/>
  <c r="J226" i="28" s="1"/>
  <c r="K226" i="28" s="1"/>
  <c r="L226" i="28" s="1"/>
  <c r="M226" i="28" s="1"/>
  <c r="N226" i="28" s="1"/>
  <c r="O226" i="28" s="1"/>
  <c r="P226" i="28" s="1"/>
  <c r="B226" i="28"/>
  <c r="D225" i="28"/>
  <c r="E225" i="28" s="1"/>
  <c r="F225" i="28" s="1"/>
  <c r="G225" i="28" s="1"/>
  <c r="H225" i="28" s="1"/>
  <c r="I225" i="28" s="1"/>
  <c r="J225" i="28" s="1"/>
  <c r="K225" i="28" s="1"/>
  <c r="L225" i="28" s="1"/>
  <c r="M225" i="28" s="1"/>
  <c r="N225" i="28" s="1"/>
  <c r="O225" i="28" s="1"/>
  <c r="P225" i="28" s="1"/>
  <c r="B225" i="28"/>
  <c r="D224" i="28"/>
  <c r="E224" i="28" s="1"/>
  <c r="F224" i="28" s="1"/>
  <c r="G224" i="28" s="1"/>
  <c r="H224" i="28" s="1"/>
  <c r="I224" i="28" s="1"/>
  <c r="J224" i="28" s="1"/>
  <c r="K224" i="28" s="1"/>
  <c r="L224" i="28" s="1"/>
  <c r="M224" i="28" s="1"/>
  <c r="N224" i="28" s="1"/>
  <c r="O224" i="28" s="1"/>
  <c r="P224" i="28" s="1"/>
  <c r="B224" i="28"/>
  <c r="E223" i="28"/>
  <c r="F223" i="28" s="1"/>
  <c r="G223" i="28" s="1"/>
  <c r="H223" i="28" s="1"/>
  <c r="I223" i="28" s="1"/>
  <c r="J223" i="28" s="1"/>
  <c r="K223" i="28" s="1"/>
  <c r="L223" i="28" s="1"/>
  <c r="M223" i="28" s="1"/>
  <c r="N223" i="28" s="1"/>
  <c r="O223" i="28" s="1"/>
  <c r="P223" i="28" s="1"/>
  <c r="D223" i="28"/>
  <c r="B223" i="28"/>
  <c r="F222" i="28"/>
  <c r="E222" i="28"/>
  <c r="D222" i="28"/>
  <c r="B222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E220" i="28"/>
  <c r="D220" i="28"/>
  <c r="C220" i="28"/>
  <c r="B220" i="28"/>
  <c r="AI113" i="28"/>
  <c r="AH113" i="28"/>
  <c r="AI112" i="28"/>
  <c r="AH112" i="28"/>
  <c r="AI111" i="28"/>
  <c r="AH111" i="28"/>
  <c r="AI110" i="28"/>
  <c r="AH110" i="28"/>
  <c r="AI109" i="28"/>
  <c r="AH109" i="28"/>
  <c r="AI108" i="28"/>
  <c r="AH108" i="28"/>
  <c r="AI107" i="28"/>
  <c r="AH107" i="28"/>
  <c r="AI106" i="28"/>
  <c r="AH106" i="28"/>
  <c r="AI105" i="28"/>
  <c r="AH105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C104" i="28"/>
  <c r="AI103" i="28"/>
  <c r="AH103" i="28"/>
  <c r="AI102" i="28"/>
  <c r="AH102" i="28"/>
  <c r="AI101" i="28"/>
  <c r="AH101" i="28"/>
  <c r="AI100" i="28"/>
  <c r="AH100" i="28"/>
  <c r="AI99" i="28"/>
  <c r="AH99" i="28"/>
  <c r="AI98" i="28"/>
  <c r="AH98" i="28"/>
  <c r="AI97" i="28"/>
  <c r="AH97" i="28"/>
  <c r="AI96" i="28"/>
  <c r="AH96" i="28"/>
  <c r="AI95" i="28"/>
  <c r="AH95" i="28"/>
  <c r="AI92" i="28"/>
  <c r="AH92" i="28"/>
  <c r="AF91" i="28"/>
  <c r="AE91" i="28"/>
  <c r="AD91" i="28"/>
  <c r="AC91" i="28"/>
  <c r="AB91" i="28"/>
  <c r="AA91" i="28"/>
  <c r="Z91" i="28"/>
  <c r="Y91" i="28"/>
  <c r="X91" i="28"/>
  <c r="W91" i="28"/>
  <c r="V91" i="28"/>
  <c r="U91" i="28"/>
  <c r="T91" i="28"/>
  <c r="S91" i="28"/>
  <c r="R91" i="28"/>
  <c r="Q91" i="28"/>
  <c r="P91" i="28"/>
  <c r="O91" i="28"/>
  <c r="N91" i="28"/>
  <c r="M91" i="28"/>
  <c r="L91" i="28"/>
  <c r="K91" i="28"/>
  <c r="J91" i="28"/>
  <c r="I91" i="28"/>
  <c r="H91" i="28"/>
  <c r="G91" i="28"/>
  <c r="F91" i="28"/>
  <c r="E91" i="28"/>
  <c r="D91" i="28"/>
  <c r="C91" i="28"/>
  <c r="AF90" i="28"/>
  <c r="AE90" i="28"/>
  <c r="AD90" i="28"/>
  <c r="AC90" i="28"/>
  <c r="AB90" i="28"/>
  <c r="AA90" i="28"/>
  <c r="Z90" i="28"/>
  <c r="Y90" i="28"/>
  <c r="X90" i="28"/>
  <c r="W90" i="28"/>
  <c r="V90" i="28"/>
  <c r="U90" i="28"/>
  <c r="T90" i="28"/>
  <c r="S90" i="28"/>
  <c r="R90" i="28"/>
  <c r="Q90" i="28"/>
  <c r="P90" i="28"/>
  <c r="O90" i="28"/>
  <c r="N90" i="28"/>
  <c r="M90" i="28"/>
  <c r="L90" i="28"/>
  <c r="K90" i="28"/>
  <c r="J90" i="28"/>
  <c r="I90" i="28"/>
  <c r="H90" i="28"/>
  <c r="G90" i="28"/>
  <c r="F90" i="28"/>
  <c r="E90" i="28"/>
  <c r="D90" i="28"/>
  <c r="C90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O93" i="28" s="1"/>
  <c r="N87" i="28"/>
  <c r="M87" i="28"/>
  <c r="L87" i="28"/>
  <c r="K87" i="28"/>
  <c r="J87" i="28"/>
  <c r="I87" i="28"/>
  <c r="H87" i="28"/>
  <c r="G87" i="28"/>
  <c r="F87" i="28"/>
  <c r="E87" i="28"/>
  <c r="D87" i="28"/>
  <c r="C87" i="28"/>
  <c r="AI84" i="28"/>
  <c r="AH84" i="28"/>
  <c r="AI82" i="28"/>
  <c r="AH82" i="28"/>
  <c r="AG82" i="28"/>
  <c r="AG85" i="28" s="1"/>
  <c r="AI81" i="28"/>
  <c r="AH81" i="28"/>
  <c r="AI80" i="28"/>
  <c r="AH80" i="28"/>
  <c r="AI79" i="28"/>
  <c r="AH79" i="28"/>
  <c r="AG78" i="28"/>
  <c r="AF78" i="28"/>
  <c r="AE5" i="28" s="1"/>
  <c r="AE78" i="28"/>
  <c r="AD78" i="28"/>
  <c r="AC5" i="28" s="1"/>
  <c r="AC78" i="28"/>
  <c r="AB5" i="28" s="1"/>
  <c r="AB78" i="28"/>
  <c r="AA78" i="28"/>
  <c r="Z5" i="28" s="1"/>
  <c r="Z78" i="28"/>
  <c r="Y5" i="28" s="1"/>
  <c r="Y78" i="28"/>
  <c r="X5" i="28" s="1"/>
  <c r="X78" i="28"/>
  <c r="W78" i="28"/>
  <c r="V78" i="28"/>
  <c r="U5" i="28" s="1"/>
  <c r="U78" i="28"/>
  <c r="T78" i="28"/>
  <c r="S78" i="28"/>
  <c r="R5" i="28" s="1"/>
  <c r="R78" i="28"/>
  <c r="Q5" i="28" s="1"/>
  <c r="Q78" i="28"/>
  <c r="P5" i="28" s="1"/>
  <c r="P78" i="28"/>
  <c r="O5" i="28" s="1"/>
  <c r="O78" i="28"/>
  <c r="N5" i="28" s="1"/>
  <c r="N78" i="28"/>
  <c r="M5" i="28" s="1"/>
  <c r="M78" i="28"/>
  <c r="L78" i="28"/>
  <c r="K78" i="28"/>
  <c r="J5" i="28" s="1"/>
  <c r="J78" i="28"/>
  <c r="I5" i="28" s="1"/>
  <c r="I78" i="28"/>
  <c r="H5" i="28" s="1"/>
  <c r="H78" i="28"/>
  <c r="G5" i="28" s="1"/>
  <c r="G78" i="28"/>
  <c r="F5" i="28" s="1"/>
  <c r="F78" i="28"/>
  <c r="E5" i="28" s="1"/>
  <c r="E78" i="28"/>
  <c r="D5" i="28" s="1"/>
  <c r="D78" i="28"/>
  <c r="C78" i="28"/>
  <c r="AI77" i="28"/>
  <c r="AH77" i="28"/>
  <c r="AI76" i="28"/>
  <c r="AH76" i="28"/>
  <c r="AI75" i="28"/>
  <c r="AH75" i="28"/>
  <c r="AI74" i="28"/>
  <c r="AH74" i="28"/>
  <c r="AI73" i="28"/>
  <c r="AH73" i="28"/>
  <c r="AI72" i="28"/>
  <c r="AH72" i="28"/>
  <c r="AI71" i="28"/>
  <c r="AH71" i="28"/>
  <c r="AI70" i="28"/>
  <c r="AH70" i="28"/>
  <c r="AI69" i="28"/>
  <c r="AH69" i="28"/>
  <c r="AI68" i="28"/>
  <c r="AH68" i="28"/>
  <c r="AI67" i="28"/>
  <c r="AH67" i="28"/>
  <c r="AG66" i="28"/>
  <c r="AF66" i="28"/>
  <c r="AE66" i="28"/>
  <c r="AD66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AI65" i="28"/>
  <c r="AH65" i="28"/>
  <c r="AI64" i="28"/>
  <c r="AH64" i="28"/>
  <c r="AI63" i="28"/>
  <c r="AH63" i="28"/>
  <c r="AF62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G48" i="28"/>
  <c r="AF48" i="28"/>
  <c r="AE48" i="28"/>
  <c r="AD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AI47" i="28"/>
  <c r="AH47" i="28"/>
  <c r="AI46" i="28"/>
  <c r="AH46" i="28"/>
  <c r="AI45" i="28"/>
  <c r="AH45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G4" i="28"/>
  <c r="K4" i="28"/>
  <c r="B4" i="28"/>
  <c r="S239" i="28" s="1"/>
  <c r="AF107" i="27"/>
  <c r="AF43" i="27"/>
  <c r="AE107" i="27"/>
  <c r="AE43" i="27"/>
  <c r="AD107" i="27"/>
  <c r="AD43" i="27"/>
  <c r="AC107" i="27"/>
  <c r="AC43" i="27"/>
  <c r="AB107" i="27"/>
  <c r="AB43" i="27"/>
  <c r="AA107" i="27"/>
  <c r="AA43" i="27"/>
  <c r="Z107" i="27"/>
  <c r="Z43" i="27"/>
  <c r="Y43" i="27"/>
  <c r="W43" i="27"/>
  <c r="W107" i="27"/>
  <c r="V107" i="27"/>
  <c r="V43" i="27"/>
  <c r="U107" i="27"/>
  <c r="U43" i="27"/>
  <c r="T107" i="27"/>
  <c r="T106" i="27"/>
  <c r="T43" i="27"/>
  <c r="S107" i="27"/>
  <c r="S43" i="27"/>
  <c r="R107" i="27"/>
  <c r="Q107" i="27"/>
  <c r="R43" i="27"/>
  <c r="Q43" i="27"/>
  <c r="P107" i="27"/>
  <c r="P87" i="27"/>
  <c r="P93" i="27" s="1"/>
  <c r="P88" i="27"/>
  <c r="P89" i="27"/>
  <c r="P90" i="27"/>
  <c r="P91" i="27"/>
  <c r="P78" i="27"/>
  <c r="P66" i="27"/>
  <c r="P62" i="27"/>
  <c r="P48" i="27"/>
  <c r="Q48" i="27"/>
  <c r="P44" i="27"/>
  <c r="P43" i="27"/>
  <c r="O107" i="27"/>
  <c r="O43" i="27"/>
  <c r="N107" i="27"/>
  <c r="N43" i="27"/>
  <c r="M43" i="27"/>
  <c r="L43" i="27"/>
  <c r="K43" i="27"/>
  <c r="I43" i="27"/>
  <c r="H43" i="27"/>
  <c r="G43" i="27"/>
  <c r="F43" i="27"/>
  <c r="E43" i="27"/>
  <c r="E4" i="28"/>
  <c r="K93" i="28" l="1"/>
  <c r="U93" i="28"/>
  <c r="Z94" i="29"/>
  <c r="AI94" i="29" s="1"/>
  <c r="F227" i="30"/>
  <c r="AA7" i="30"/>
  <c r="W7" i="30"/>
  <c r="L93" i="28"/>
  <c r="P86" i="29"/>
  <c r="AE86" i="29"/>
  <c r="G86" i="29"/>
  <c r="N86" i="29"/>
  <c r="S86" i="30"/>
  <c r="R7" i="30"/>
  <c r="W86" i="30"/>
  <c r="P94" i="27"/>
  <c r="L7" i="30"/>
  <c r="AJ242" i="30"/>
  <c r="AC93" i="28"/>
  <c r="AC94" i="28" s="1"/>
  <c r="E227" i="28"/>
  <c r="B93" i="28"/>
  <c r="E86" i="29"/>
  <c r="AE94" i="30"/>
  <c r="Z86" i="30"/>
  <c r="AG83" i="28"/>
  <c r="U86" i="29"/>
  <c r="AA86" i="29"/>
  <c r="AB86" i="29"/>
  <c r="T86" i="30"/>
  <c r="AV242" i="30"/>
  <c r="AG242" i="30"/>
  <c r="C86" i="30"/>
  <c r="AT242" i="29"/>
  <c r="J83" i="28"/>
  <c r="J85" i="28" s="1"/>
  <c r="I93" i="28"/>
  <c r="I94" i="28" s="1"/>
  <c r="D228" i="28"/>
  <c r="AM242" i="29"/>
  <c r="V86" i="29"/>
  <c r="AL242" i="30"/>
  <c r="AA86" i="30"/>
  <c r="Q86" i="30"/>
  <c r="V86" i="30"/>
  <c r="B228" i="28"/>
  <c r="AC86" i="30"/>
  <c r="D86" i="30"/>
  <c r="F86" i="30"/>
  <c r="B86" i="30"/>
  <c r="M7" i="30"/>
  <c r="M86" i="30"/>
  <c r="L86" i="30"/>
  <c r="K86" i="30"/>
  <c r="AC242" i="30"/>
  <c r="J86" i="30"/>
  <c r="AB242" i="30"/>
  <c r="G7" i="30"/>
  <c r="B237" i="30"/>
  <c r="C237" i="30"/>
  <c r="G86" i="30"/>
  <c r="X242" i="30"/>
  <c r="F7" i="30"/>
  <c r="E7" i="30"/>
  <c r="E86" i="30"/>
  <c r="U242" i="30"/>
  <c r="C7" i="30"/>
  <c r="AI93" i="30"/>
  <c r="AH93" i="30"/>
  <c r="AI83" i="30"/>
  <c r="AH83" i="30"/>
  <c r="F222" i="30"/>
  <c r="E104" i="30"/>
  <c r="E228" i="30"/>
  <c r="E263" i="30"/>
  <c r="G227" i="30"/>
  <c r="L7" i="29"/>
  <c r="AD242" i="29"/>
  <c r="K86" i="29"/>
  <c r="AC242" i="29"/>
  <c r="J86" i="29"/>
  <c r="AB242" i="29"/>
  <c r="C237" i="29"/>
  <c r="B237" i="29"/>
  <c r="H86" i="29"/>
  <c r="G7" i="29"/>
  <c r="F86" i="29"/>
  <c r="X242" i="29"/>
  <c r="AI83" i="29"/>
  <c r="AH83" i="29"/>
  <c r="C7" i="29"/>
  <c r="C86" i="29"/>
  <c r="AH94" i="29"/>
  <c r="F222" i="29"/>
  <c r="E104" i="29"/>
  <c r="E228" i="29"/>
  <c r="D263" i="29"/>
  <c r="F227" i="29"/>
  <c r="AI93" i="29"/>
  <c r="AH93" i="29"/>
  <c r="B7" i="29"/>
  <c r="T242" i="29"/>
  <c r="B86" i="29"/>
  <c r="AI85" i="29"/>
  <c r="AH85" i="29"/>
  <c r="AF93" i="28"/>
  <c r="AF94" i="28" s="1"/>
  <c r="AF83" i="28"/>
  <c r="AF85" i="28" s="1"/>
  <c r="AX242" i="28" s="1"/>
  <c r="AD5" i="28"/>
  <c r="AE93" i="28"/>
  <c r="AE94" i="28" s="1"/>
  <c r="AE83" i="28"/>
  <c r="AE85" i="28" s="1"/>
  <c r="AE7" i="28" s="1"/>
  <c r="AD93" i="28"/>
  <c r="AD83" i="28"/>
  <c r="AD85" i="28" s="1"/>
  <c r="AD7" i="28" s="1"/>
  <c r="AC83" i="28"/>
  <c r="AC85" i="28" s="1"/>
  <c r="AU242" i="28" s="1"/>
  <c r="AB93" i="28"/>
  <c r="AB94" i="28"/>
  <c r="AB83" i="28"/>
  <c r="AB85" i="28" s="1"/>
  <c r="AT242" i="28" s="1"/>
  <c r="AA93" i="28"/>
  <c r="AA94" i="28" s="1"/>
  <c r="AA83" i="28"/>
  <c r="AA85" i="28" s="1"/>
  <c r="AA7" i="28" s="1"/>
  <c r="Z93" i="28"/>
  <c r="Z94" i="28" s="1"/>
  <c r="Z83" i="28"/>
  <c r="Z85" i="28" s="1"/>
  <c r="AR242" i="28" s="1"/>
  <c r="Y93" i="28"/>
  <c r="Y94" i="28" s="1"/>
  <c r="Y83" i="28"/>
  <c r="Y85" i="28" s="1"/>
  <c r="AQ242" i="28" s="1"/>
  <c r="X93" i="28"/>
  <c r="X94" i="28" s="1"/>
  <c r="W5" i="28"/>
  <c r="X83" i="28"/>
  <c r="X85" i="28" s="1"/>
  <c r="X7" i="28" s="1"/>
  <c r="W93" i="28"/>
  <c r="W94" i="28" s="1"/>
  <c r="V5" i="28"/>
  <c r="W83" i="28"/>
  <c r="W85" i="28" s="1"/>
  <c r="AO242" i="28" s="1"/>
  <c r="V93" i="28"/>
  <c r="V83" i="28"/>
  <c r="V85" i="28" s="1"/>
  <c r="AN242" i="28" s="1"/>
  <c r="U94" i="28"/>
  <c r="T5" i="28"/>
  <c r="U83" i="28"/>
  <c r="U85" i="28" s="1"/>
  <c r="U86" i="28" s="1"/>
  <c r="T93" i="28"/>
  <c r="T94" i="28" s="1"/>
  <c r="T83" i="28"/>
  <c r="T85" i="28" s="1"/>
  <c r="AL242" i="28" s="1"/>
  <c r="S93" i="28"/>
  <c r="S94" i="28" s="1"/>
  <c r="S83" i="28"/>
  <c r="S85" i="28" s="1"/>
  <c r="AK242" i="28" s="1"/>
  <c r="R93" i="28"/>
  <c r="R94" i="28" s="1"/>
  <c r="R83" i="28"/>
  <c r="R85" i="28" s="1"/>
  <c r="R7" i="28" s="1"/>
  <c r="Q93" i="28"/>
  <c r="Q86" i="28" s="1"/>
  <c r="Q83" i="28"/>
  <c r="Q85" i="28" s="1"/>
  <c r="P93" i="28"/>
  <c r="P94" i="28" s="1"/>
  <c r="P83" i="28"/>
  <c r="P85" i="28" s="1"/>
  <c r="P7" i="28" s="1"/>
  <c r="O94" i="28"/>
  <c r="O83" i="28"/>
  <c r="O85" i="28" s="1"/>
  <c r="O86" i="28" s="1"/>
  <c r="N93" i="28"/>
  <c r="N94" i="28" s="1"/>
  <c r="N83" i="28"/>
  <c r="N85" i="28" s="1"/>
  <c r="N7" i="28" s="1"/>
  <c r="M93" i="28"/>
  <c r="M94" i="28"/>
  <c r="L5" i="28"/>
  <c r="M83" i="28"/>
  <c r="M85" i="28" s="1"/>
  <c r="M86" i="28" s="1"/>
  <c r="L94" i="28"/>
  <c r="L83" i="28"/>
  <c r="L85" i="28" s="1"/>
  <c r="L86" i="28" s="1"/>
  <c r="K94" i="28"/>
  <c r="K83" i="28"/>
  <c r="K85" i="28" s="1"/>
  <c r="AC242" i="28" s="1"/>
  <c r="J93" i="28"/>
  <c r="J94" i="28"/>
  <c r="I83" i="28"/>
  <c r="I85" i="28" s="1"/>
  <c r="I7" i="28" s="1"/>
  <c r="H93" i="28"/>
  <c r="H94" i="28" s="1"/>
  <c r="H83" i="28"/>
  <c r="H85" i="28" s="1"/>
  <c r="H7" i="28" s="1"/>
  <c r="G93" i="28"/>
  <c r="G94" i="28" s="1"/>
  <c r="G83" i="28"/>
  <c r="G85" i="28" s="1"/>
  <c r="Y242" i="28" s="1"/>
  <c r="AI48" i="28"/>
  <c r="AH88" i="28"/>
  <c r="F93" i="28"/>
  <c r="F94" i="28" s="1"/>
  <c r="F83" i="28"/>
  <c r="F85" i="28" s="1"/>
  <c r="F7" i="28" s="1"/>
  <c r="AI89" i="28"/>
  <c r="E93" i="28"/>
  <c r="E94" i="28"/>
  <c r="AI91" i="28"/>
  <c r="AH66" i="28"/>
  <c r="AH62" i="28"/>
  <c r="E83" i="28"/>
  <c r="E85" i="28" s="1"/>
  <c r="E7" i="28" s="1"/>
  <c r="D93" i="28"/>
  <c r="D94" i="28" s="1"/>
  <c r="AI87" i="28"/>
  <c r="AH89" i="28"/>
  <c r="AI90" i="28"/>
  <c r="AI66" i="28"/>
  <c r="D83" i="28"/>
  <c r="D85" i="28" s="1"/>
  <c r="V242" i="28" s="1"/>
  <c r="AI62" i="28"/>
  <c r="C83" i="28"/>
  <c r="C85" i="28" s="1"/>
  <c r="C7" i="28" s="1"/>
  <c r="AH90" i="28"/>
  <c r="C93" i="28"/>
  <c r="C94" i="28" s="1"/>
  <c r="AH78" i="28"/>
  <c r="AH48" i="28"/>
  <c r="AI44" i="28"/>
  <c r="AF5" i="28"/>
  <c r="B83" i="28"/>
  <c r="B85" i="28" s="1"/>
  <c r="B86" i="28" s="1"/>
  <c r="B94" i="28"/>
  <c r="AI78" i="28"/>
  <c r="H4" i="28"/>
  <c r="U242" i="28"/>
  <c r="C86" i="28"/>
  <c r="AS242" i="28"/>
  <c r="AA86" i="28"/>
  <c r="AC7" i="28"/>
  <c r="AF242" i="28"/>
  <c r="V7" i="28"/>
  <c r="V86" i="28"/>
  <c r="AG242" i="28"/>
  <c r="AJ242" i="28"/>
  <c r="AF7" i="28"/>
  <c r="J7" i="28"/>
  <c r="AB242" i="28"/>
  <c r="J86" i="28"/>
  <c r="Q7" i="28"/>
  <c r="AI242" i="28"/>
  <c r="Y7" i="28"/>
  <c r="Y86" i="28"/>
  <c r="V94" i="28"/>
  <c r="AD94" i="28"/>
  <c r="AI88" i="28"/>
  <c r="G222" i="28"/>
  <c r="D104" i="28"/>
  <c r="E228" i="28"/>
  <c r="D239" i="28"/>
  <c r="AH44" i="28"/>
  <c r="B5" i="28"/>
  <c r="AG2" i="28"/>
  <c r="AG6" i="28" s="1"/>
  <c r="C5" i="28"/>
  <c r="K5" i="28"/>
  <c r="S5" i="28"/>
  <c r="AA5" i="28"/>
  <c r="AH87" i="28"/>
  <c r="AH91" i="28"/>
  <c r="P83" i="27"/>
  <c r="P85" i="27" s="1"/>
  <c r="P86" i="27" s="1"/>
  <c r="D107" i="27"/>
  <c r="D43" i="27"/>
  <c r="C107" i="27"/>
  <c r="C43" i="27"/>
  <c r="AB7" i="28" l="1"/>
  <c r="N86" i="28"/>
  <c r="Q94" i="28"/>
  <c r="F227" i="28"/>
  <c r="D263" i="28"/>
  <c r="E104" i="28"/>
  <c r="AB86" i="28"/>
  <c r="I86" i="28"/>
  <c r="G7" i="28"/>
  <c r="K6" i="30"/>
  <c r="G222" i="30"/>
  <c r="F104" i="30"/>
  <c r="F228" i="30"/>
  <c r="AI94" i="30"/>
  <c r="AH94" i="30"/>
  <c r="B7" i="30"/>
  <c r="A7" i="30" s="1"/>
  <c r="T242" i="30"/>
  <c r="AI85" i="30"/>
  <c r="AH85" i="30"/>
  <c r="F263" i="30"/>
  <c r="H227" i="30"/>
  <c r="K6" i="29"/>
  <c r="A7" i="29"/>
  <c r="E263" i="29"/>
  <c r="G227" i="29"/>
  <c r="AI86" i="29"/>
  <c r="AH86" i="29"/>
  <c r="G222" i="29"/>
  <c r="F104" i="29"/>
  <c r="F228" i="29"/>
  <c r="AF86" i="28"/>
  <c r="AE86" i="28"/>
  <c r="AW242" i="28"/>
  <c r="AV242" i="28"/>
  <c r="AD86" i="28"/>
  <c r="AC86" i="28"/>
  <c r="Z7" i="28"/>
  <c r="Z86" i="28"/>
  <c r="AP242" i="28"/>
  <c r="X86" i="28"/>
  <c r="W7" i="28"/>
  <c r="W86" i="28"/>
  <c r="AM242" i="28"/>
  <c r="U7" i="28"/>
  <c r="T86" i="28"/>
  <c r="T7" i="28"/>
  <c r="S7" i="28"/>
  <c r="S86" i="28"/>
  <c r="R86" i="28"/>
  <c r="AH242" i="28"/>
  <c r="P86" i="28"/>
  <c r="O7" i="28"/>
  <c r="AE242" i="28"/>
  <c r="M7" i="28"/>
  <c r="AD242" i="28"/>
  <c r="L7" i="28"/>
  <c r="K7" i="28"/>
  <c r="K86" i="28"/>
  <c r="AA242" i="28"/>
  <c r="B237" i="28"/>
  <c r="H86" i="28"/>
  <c r="Z242" i="28"/>
  <c r="C237" i="28"/>
  <c r="G86" i="28"/>
  <c r="F86" i="28"/>
  <c r="X242" i="28"/>
  <c r="W242" i="28"/>
  <c r="E86" i="28"/>
  <c r="D86" i="28"/>
  <c r="D7" i="28"/>
  <c r="H222" i="28"/>
  <c r="AI83" i="28"/>
  <c r="AH83" i="28"/>
  <c r="AI93" i="28"/>
  <c r="AH93" i="28"/>
  <c r="B107" i="27"/>
  <c r="AH107" i="27" s="1"/>
  <c r="B43" i="27"/>
  <c r="B91" i="27"/>
  <c r="B90" i="27"/>
  <c r="B89" i="27"/>
  <c r="B88" i="27"/>
  <c r="B87" i="27"/>
  <c r="B78" i="27"/>
  <c r="AF5" i="27" s="1"/>
  <c r="B66" i="27"/>
  <c r="B62" i="27"/>
  <c r="B48" i="27"/>
  <c r="B44" i="27"/>
  <c r="AF267" i="27"/>
  <c r="AE267" i="27"/>
  <c r="AD267" i="27"/>
  <c r="AC267" i="27"/>
  <c r="AB267" i="27"/>
  <c r="AA267" i="27"/>
  <c r="Z267" i="27"/>
  <c r="Y267" i="27"/>
  <c r="X267" i="27"/>
  <c r="W267" i="27"/>
  <c r="V267" i="27"/>
  <c r="U267" i="27"/>
  <c r="T267" i="27"/>
  <c r="S267" i="27"/>
  <c r="R267" i="27"/>
  <c r="Q267" i="27"/>
  <c r="P267" i="27"/>
  <c r="O267" i="27"/>
  <c r="N267" i="27"/>
  <c r="M267" i="27"/>
  <c r="L267" i="27"/>
  <c r="K267" i="27"/>
  <c r="J267" i="27"/>
  <c r="I267" i="27"/>
  <c r="H267" i="27"/>
  <c r="G267" i="27"/>
  <c r="F267" i="27"/>
  <c r="E267" i="27"/>
  <c r="D267" i="27"/>
  <c r="C267" i="27"/>
  <c r="B267" i="27"/>
  <c r="A267" i="27"/>
  <c r="AF266" i="27"/>
  <c r="AE266" i="27"/>
  <c r="AD266" i="27"/>
  <c r="AC266" i="27"/>
  <c r="AB266" i="27"/>
  <c r="AA266" i="27"/>
  <c r="Z266" i="27"/>
  <c r="Y266" i="27"/>
  <c r="X266" i="27"/>
  <c r="W266" i="27"/>
  <c r="V266" i="27"/>
  <c r="U266" i="27"/>
  <c r="T266" i="27"/>
  <c r="S266" i="27"/>
  <c r="R266" i="27"/>
  <c r="Q266" i="27"/>
  <c r="P266" i="27"/>
  <c r="O266" i="27"/>
  <c r="N266" i="27"/>
  <c r="M266" i="27"/>
  <c r="L266" i="27"/>
  <c r="K266" i="27"/>
  <c r="J266" i="27"/>
  <c r="I266" i="27"/>
  <c r="H266" i="27"/>
  <c r="G266" i="27"/>
  <c r="F266" i="27"/>
  <c r="E266" i="27"/>
  <c r="D266" i="27"/>
  <c r="C266" i="27"/>
  <c r="B266" i="27"/>
  <c r="A266" i="27"/>
  <c r="AF265" i="27"/>
  <c r="AE265" i="27"/>
  <c r="AD265" i="27"/>
  <c r="AC265" i="27"/>
  <c r="AB265" i="27"/>
  <c r="AA265" i="27"/>
  <c r="Z265" i="27"/>
  <c r="Y265" i="27"/>
  <c r="X265" i="27"/>
  <c r="W265" i="27"/>
  <c r="V265" i="27"/>
  <c r="U265" i="27"/>
  <c r="T265" i="27"/>
  <c r="S265" i="27"/>
  <c r="R265" i="27"/>
  <c r="Q265" i="27"/>
  <c r="P265" i="27"/>
  <c r="O265" i="27"/>
  <c r="N265" i="27"/>
  <c r="M265" i="27"/>
  <c r="L265" i="27"/>
  <c r="K265" i="27"/>
  <c r="J265" i="27"/>
  <c r="I265" i="27"/>
  <c r="H265" i="27"/>
  <c r="G265" i="27"/>
  <c r="F265" i="27"/>
  <c r="E265" i="27"/>
  <c r="D265" i="27"/>
  <c r="C265" i="27"/>
  <c r="B265" i="27"/>
  <c r="A265" i="27"/>
  <c r="AF264" i="27"/>
  <c r="AE264" i="27"/>
  <c r="AD264" i="27"/>
  <c r="AC264" i="27"/>
  <c r="AB264" i="27"/>
  <c r="AA264" i="27"/>
  <c r="Z264" i="27"/>
  <c r="Y264" i="27"/>
  <c r="X264" i="27"/>
  <c r="W264" i="27"/>
  <c r="V264" i="27"/>
  <c r="U264" i="27"/>
  <c r="T264" i="27"/>
  <c r="S264" i="27"/>
  <c r="R264" i="27"/>
  <c r="Q264" i="27"/>
  <c r="P264" i="27"/>
  <c r="O264" i="27"/>
  <c r="N264" i="27"/>
  <c r="M264" i="27"/>
  <c r="L264" i="27"/>
  <c r="K264" i="27"/>
  <c r="J264" i="27"/>
  <c r="I264" i="27"/>
  <c r="H264" i="27"/>
  <c r="G264" i="27"/>
  <c r="F264" i="27"/>
  <c r="E264" i="27"/>
  <c r="D264" i="27"/>
  <c r="C264" i="27"/>
  <c r="B264" i="27"/>
  <c r="A264" i="27"/>
  <c r="AE263" i="27"/>
  <c r="AD263" i="27"/>
  <c r="AC263" i="27"/>
  <c r="AB263" i="27"/>
  <c r="AA263" i="27"/>
  <c r="Z263" i="27"/>
  <c r="Y263" i="27"/>
  <c r="X263" i="27"/>
  <c r="W263" i="27"/>
  <c r="V263" i="27"/>
  <c r="U263" i="27"/>
  <c r="T263" i="27"/>
  <c r="S263" i="27"/>
  <c r="R263" i="27"/>
  <c r="Q263" i="27"/>
  <c r="P263" i="27"/>
  <c r="C263" i="27"/>
  <c r="B263" i="27"/>
  <c r="S238" i="27"/>
  <c r="AG228" i="27"/>
  <c r="AG61" i="27" s="1"/>
  <c r="AG62" i="27" s="1"/>
  <c r="AG3" i="27" s="1"/>
  <c r="AF228" i="27"/>
  <c r="AE228" i="27"/>
  <c r="AD228" i="27"/>
  <c r="AC228" i="27"/>
  <c r="AB228" i="27"/>
  <c r="AA228" i="27"/>
  <c r="Z228" i="27"/>
  <c r="Y228" i="27"/>
  <c r="X228" i="27"/>
  <c r="W228" i="27"/>
  <c r="V228" i="27"/>
  <c r="U228" i="27"/>
  <c r="T228" i="27"/>
  <c r="S228" i="27"/>
  <c r="R228" i="27"/>
  <c r="Q228" i="27"/>
  <c r="C228" i="27"/>
  <c r="D227" i="27"/>
  <c r="E227" i="27" s="1"/>
  <c r="B227" i="27"/>
  <c r="AF263" i="27" s="1"/>
  <c r="D226" i="27"/>
  <c r="E226" i="27" s="1"/>
  <c r="F226" i="27" s="1"/>
  <c r="G226" i="27" s="1"/>
  <c r="H226" i="27" s="1"/>
  <c r="I226" i="27" s="1"/>
  <c r="J226" i="27" s="1"/>
  <c r="K226" i="27" s="1"/>
  <c r="L226" i="27" s="1"/>
  <c r="M226" i="27" s="1"/>
  <c r="N226" i="27" s="1"/>
  <c r="O226" i="27" s="1"/>
  <c r="P226" i="27" s="1"/>
  <c r="B226" i="27"/>
  <c r="E225" i="27"/>
  <c r="F225" i="27" s="1"/>
  <c r="G225" i="27" s="1"/>
  <c r="H225" i="27" s="1"/>
  <c r="I225" i="27" s="1"/>
  <c r="J225" i="27" s="1"/>
  <c r="K225" i="27" s="1"/>
  <c r="L225" i="27" s="1"/>
  <c r="M225" i="27" s="1"/>
  <c r="N225" i="27" s="1"/>
  <c r="O225" i="27" s="1"/>
  <c r="P225" i="27" s="1"/>
  <c r="D225" i="27"/>
  <c r="B225" i="27"/>
  <c r="D224" i="27"/>
  <c r="E224" i="27" s="1"/>
  <c r="F224" i="27" s="1"/>
  <c r="G224" i="27" s="1"/>
  <c r="H224" i="27" s="1"/>
  <c r="I224" i="27" s="1"/>
  <c r="J224" i="27" s="1"/>
  <c r="K224" i="27" s="1"/>
  <c r="L224" i="27" s="1"/>
  <c r="M224" i="27" s="1"/>
  <c r="N224" i="27" s="1"/>
  <c r="O224" i="27" s="1"/>
  <c r="P224" i="27" s="1"/>
  <c r="B224" i="27"/>
  <c r="D223" i="27"/>
  <c r="E223" i="27" s="1"/>
  <c r="F223" i="27" s="1"/>
  <c r="G223" i="27" s="1"/>
  <c r="H223" i="27" s="1"/>
  <c r="I223" i="27" s="1"/>
  <c r="J223" i="27" s="1"/>
  <c r="K223" i="27" s="1"/>
  <c r="L223" i="27" s="1"/>
  <c r="M223" i="27" s="1"/>
  <c r="N223" i="27" s="1"/>
  <c r="O223" i="27" s="1"/>
  <c r="P223" i="27" s="1"/>
  <c r="B223" i="27"/>
  <c r="D222" i="27"/>
  <c r="B222" i="27"/>
  <c r="AG220" i="27"/>
  <c r="AF220" i="27"/>
  <c r="AE220" i="27"/>
  <c r="AD220" i="27"/>
  <c r="AC220" i="27"/>
  <c r="AB220" i="27"/>
  <c r="AA220" i="27"/>
  <c r="Z220" i="27"/>
  <c r="Y220" i="27"/>
  <c r="X220" i="27"/>
  <c r="W220" i="27"/>
  <c r="V220" i="27"/>
  <c r="U220" i="27"/>
  <c r="T220" i="27"/>
  <c r="S220" i="27"/>
  <c r="R220" i="27"/>
  <c r="Q220" i="27"/>
  <c r="P220" i="27"/>
  <c r="O220" i="27"/>
  <c r="N220" i="27"/>
  <c r="M220" i="27"/>
  <c r="L220" i="27"/>
  <c r="K220" i="27"/>
  <c r="J220" i="27"/>
  <c r="I220" i="27"/>
  <c r="H220" i="27"/>
  <c r="G220" i="27"/>
  <c r="F220" i="27"/>
  <c r="E220" i="27"/>
  <c r="D220" i="27"/>
  <c r="C220" i="27"/>
  <c r="B220" i="27"/>
  <c r="AI113" i="27"/>
  <c r="AH113" i="27"/>
  <c r="AI112" i="27"/>
  <c r="AH112" i="27"/>
  <c r="AI111" i="27"/>
  <c r="AH111" i="27"/>
  <c r="AI110" i="27"/>
  <c r="AH110" i="27"/>
  <c r="AI109" i="27"/>
  <c r="AH109" i="27"/>
  <c r="AI108" i="27"/>
  <c r="AH108" i="27"/>
  <c r="AI107" i="27"/>
  <c r="AI106" i="27"/>
  <c r="AH106" i="27"/>
  <c r="AI105" i="27"/>
  <c r="AH105" i="27"/>
  <c r="AF104" i="27"/>
  <c r="AE104" i="27"/>
  <c r="AD104" i="27"/>
  <c r="AC104" i="27"/>
  <c r="AB104" i="27"/>
  <c r="AA104" i="27"/>
  <c r="Z104" i="27"/>
  <c r="Y104" i="27"/>
  <c r="W104" i="27"/>
  <c r="V104" i="27"/>
  <c r="U104" i="27"/>
  <c r="T104" i="27"/>
  <c r="S104" i="27"/>
  <c r="R104" i="27"/>
  <c r="Q104" i="27"/>
  <c r="D104" i="27"/>
  <c r="C104" i="27"/>
  <c r="AI103" i="27"/>
  <c r="AH103" i="27"/>
  <c r="AI102" i="27"/>
  <c r="AH102" i="27"/>
  <c r="AI101" i="27"/>
  <c r="AH101" i="27"/>
  <c r="AI100" i="27"/>
  <c r="AH100" i="27"/>
  <c r="AI99" i="27"/>
  <c r="AH99" i="27"/>
  <c r="AI98" i="27"/>
  <c r="AH98" i="27"/>
  <c r="AI97" i="27"/>
  <c r="AH97" i="27"/>
  <c r="AI96" i="27"/>
  <c r="AH96" i="27"/>
  <c r="AI95" i="27"/>
  <c r="AH95" i="27"/>
  <c r="AI92" i="27"/>
  <c r="AH92" i="27"/>
  <c r="AF91" i="27"/>
  <c r="AE91" i="27"/>
  <c r="AD91" i="27"/>
  <c r="AC91" i="27"/>
  <c r="AB91" i="27"/>
  <c r="AA91" i="27"/>
  <c r="Z91" i="27"/>
  <c r="Y91" i="27"/>
  <c r="W91" i="27"/>
  <c r="V91" i="27"/>
  <c r="U91" i="27"/>
  <c r="T91" i="27"/>
  <c r="S91" i="27"/>
  <c r="R91" i="27"/>
  <c r="Q91" i="27"/>
  <c r="O91" i="27"/>
  <c r="N91" i="27"/>
  <c r="M91" i="27"/>
  <c r="L91" i="27"/>
  <c r="K91" i="27"/>
  <c r="J91" i="27"/>
  <c r="I91" i="27"/>
  <c r="H91" i="27"/>
  <c r="G91" i="27"/>
  <c r="F91" i="27"/>
  <c r="E91" i="27"/>
  <c r="D91" i="27"/>
  <c r="C91" i="27"/>
  <c r="AF90" i="27"/>
  <c r="AE90" i="27"/>
  <c r="AD90" i="27"/>
  <c r="AC90" i="27"/>
  <c r="AB90" i="27"/>
  <c r="AA90" i="27"/>
  <c r="Z90" i="27"/>
  <c r="Y90" i="27"/>
  <c r="W90" i="27"/>
  <c r="V90" i="27"/>
  <c r="U90" i="27"/>
  <c r="T90" i="27"/>
  <c r="S90" i="27"/>
  <c r="R90" i="27"/>
  <c r="Q90" i="27"/>
  <c r="O90" i="27"/>
  <c r="N90" i="27"/>
  <c r="M90" i="27"/>
  <c r="L90" i="27"/>
  <c r="K90" i="27"/>
  <c r="J90" i="27"/>
  <c r="I90" i="27"/>
  <c r="H90" i="27"/>
  <c r="G90" i="27"/>
  <c r="F90" i="27"/>
  <c r="E90" i="27"/>
  <c r="D90" i="27"/>
  <c r="C90" i="27"/>
  <c r="AF89" i="27"/>
  <c r="AE89" i="27"/>
  <c r="AD89" i="27"/>
  <c r="AC89" i="27"/>
  <c r="AB89" i="27"/>
  <c r="AA89" i="27"/>
  <c r="Z89" i="27"/>
  <c r="Y89" i="27"/>
  <c r="W89" i="27"/>
  <c r="V89" i="27"/>
  <c r="U89" i="27"/>
  <c r="T89" i="27"/>
  <c r="S89" i="27"/>
  <c r="R89" i="27"/>
  <c r="Q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AF88" i="27"/>
  <c r="AE88" i="27"/>
  <c r="AD88" i="27"/>
  <c r="AC88" i="27"/>
  <c r="AB88" i="27"/>
  <c r="AA88" i="27"/>
  <c r="Z88" i="27"/>
  <c r="Y88" i="27"/>
  <c r="W88" i="27"/>
  <c r="V88" i="27"/>
  <c r="U88" i="27"/>
  <c r="T88" i="27"/>
  <c r="S88" i="27"/>
  <c r="R88" i="27"/>
  <c r="Q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AF87" i="27"/>
  <c r="AE87" i="27"/>
  <c r="AD87" i="27"/>
  <c r="AD93" i="27" s="1"/>
  <c r="AC87" i="27"/>
  <c r="AB87" i="27"/>
  <c r="AA87" i="27"/>
  <c r="Z87" i="27"/>
  <c r="Y87" i="27"/>
  <c r="W87" i="27"/>
  <c r="V87" i="27"/>
  <c r="U87" i="27"/>
  <c r="T87" i="27"/>
  <c r="S87" i="27"/>
  <c r="R87" i="27"/>
  <c r="Q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AI84" i="27"/>
  <c r="AH84" i="27"/>
  <c r="AI82" i="27"/>
  <c r="AH82" i="27"/>
  <c r="AG82" i="27"/>
  <c r="AI81" i="27"/>
  <c r="AH81" i="27"/>
  <c r="AI80" i="27"/>
  <c r="AH80" i="27"/>
  <c r="AI79" i="27"/>
  <c r="AH79" i="27"/>
  <c r="AG78" i="27"/>
  <c r="AF78" i="27"/>
  <c r="AE5" i="27" s="1"/>
  <c r="AE78" i="27"/>
  <c r="AD5" i="27" s="1"/>
  <c r="AD78" i="27"/>
  <c r="AC5" i="27" s="1"/>
  <c r="AC78" i="27"/>
  <c r="AB5" i="27" s="1"/>
  <c r="AB78" i="27"/>
  <c r="AA78" i="27"/>
  <c r="Z78" i="27"/>
  <c r="Y5" i="27" s="1"/>
  <c r="Y78" i="27"/>
  <c r="X5" i="27" s="1"/>
  <c r="W5" i="27"/>
  <c r="W78" i="27"/>
  <c r="V5" i="27" s="1"/>
  <c r="V78" i="27"/>
  <c r="U5" i="27" s="1"/>
  <c r="U78" i="27"/>
  <c r="T5" i="27" s="1"/>
  <c r="T78" i="27"/>
  <c r="S5" i="27" s="1"/>
  <c r="S78" i="27"/>
  <c r="R78" i="27"/>
  <c r="Q78" i="27"/>
  <c r="P5" i="27" s="1"/>
  <c r="O5" i="27"/>
  <c r="O78" i="27"/>
  <c r="N5" i="27" s="1"/>
  <c r="N78" i="27"/>
  <c r="M5" i="27" s="1"/>
  <c r="M78" i="27"/>
  <c r="L5" i="27" s="1"/>
  <c r="L78" i="27"/>
  <c r="K78" i="27"/>
  <c r="J5" i="27" s="1"/>
  <c r="J78" i="27"/>
  <c r="I5" i="27" s="1"/>
  <c r="I78" i="27"/>
  <c r="H5" i="27" s="1"/>
  <c r="H78" i="27"/>
  <c r="G5" i="27" s="1"/>
  <c r="G78" i="27"/>
  <c r="F5" i="27" s="1"/>
  <c r="F78" i="27"/>
  <c r="E5" i="27" s="1"/>
  <c r="E78" i="27"/>
  <c r="D5" i="27" s="1"/>
  <c r="D78" i="27"/>
  <c r="C5" i="27" s="1"/>
  <c r="C78" i="27"/>
  <c r="B5" i="27" s="1"/>
  <c r="AI77" i="27"/>
  <c r="AH77" i="27"/>
  <c r="AI76" i="27"/>
  <c r="AH76" i="27"/>
  <c r="AI75" i="27"/>
  <c r="AH75" i="27"/>
  <c r="AI74" i="27"/>
  <c r="AH74" i="27"/>
  <c r="AI73" i="27"/>
  <c r="AH73" i="27"/>
  <c r="AI72" i="27"/>
  <c r="AH72" i="27"/>
  <c r="AI71" i="27"/>
  <c r="AH71" i="27"/>
  <c r="AI70" i="27"/>
  <c r="AH70" i="27"/>
  <c r="AI69" i="27"/>
  <c r="AH69" i="27"/>
  <c r="AI68" i="27"/>
  <c r="AH68" i="27"/>
  <c r="AI67" i="27"/>
  <c r="AH67" i="27"/>
  <c r="AG66" i="27"/>
  <c r="AG4" i="27" s="1"/>
  <c r="AG6" i="27" s="1"/>
  <c r="AF66" i="27"/>
  <c r="AE66" i="27"/>
  <c r="AD66" i="27"/>
  <c r="AC66" i="27"/>
  <c r="AB66" i="27"/>
  <c r="AA66" i="27"/>
  <c r="Z66" i="27"/>
  <c r="Y66" i="27"/>
  <c r="W66" i="27"/>
  <c r="V66" i="27"/>
  <c r="U66" i="27"/>
  <c r="T66" i="27"/>
  <c r="S66" i="27"/>
  <c r="R66" i="27"/>
  <c r="Q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AI65" i="27"/>
  <c r="AH65" i="27"/>
  <c r="AI64" i="27"/>
  <c r="AH64" i="27"/>
  <c r="AI63" i="27"/>
  <c r="AH63" i="27"/>
  <c r="AF62" i="27"/>
  <c r="AE62" i="27"/>
  <c r="AD62" i="27"/>
  <c r="AC62" i="27"/>
  <c r="AB62" i="27"/>
  <c r="AA62" i="27"/>
  <c r="Z62" i="27"/>
  <c r="Y62" i="27"/>
  <c r="W62" i="27"/>
  <c r="V62" i="27"/>
  <c r="U62" i="27"/>
  <c r="T62" i="27"/>
  <c r="S62" i="27"/>
  <c r="R62" i="27"/>
  <c r="Q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AI61" i="27"/>
  <c r="AH61" i="27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G48" i="27"/>
  <c r="AF48" i="27"/>
  <c r="AE48" i="27"/>
  <c r="AD48" i="27"/>
  <c r="AC48" i="27"/>
  <c r="AB48" i="27"/>
  <c r="AA48" i="27"/>
  <c r="Z48" i="27"/>
  <c r="Y48" i="27"/>
  <c r="W48" i="27"/>
  <c r="V48" i="27"/>
  <c r="U48" i="27"/>
  <c r="T48" i="27"/>
  <c r="S48" i="27"/>
  <c r="R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AI47" i="27"/>
  <c r="AH47" i="27"/>
  <c r="AI46" i="27"/>
  <c r="AH46" i="27"/>
  <c r="AI45" i="27"/>
  <c r="AH45" i="27"/>
  <c r="AG44" i="27"/>
  <c r="AG2" i="27" s="1"/>
  <c r="AF44" i="27"/>
  <c r="AE44" i="27"/>
  <c r="AD44" i="27"/>
  <c r="AC44" i="27"/>
  <c r="AB44" i="27"/>
  <c r="AA44" i="27"/>
  <c r="Z44" i="27"/>
  <c r="Y44" i="27"/>
  <c r="W44" i="27"/>
  <c r="V44" i="27"/>
  <c r="U44" i="27"/>
  <c r="T44" i="27"/>
  <c r="S44" i="27"/>
  <c r="R44" i="27"/>
  <c r="Q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K4" i="27"/>
  <c r="B4" i="27"/>
  <c r="S239" i="27" s="1"/>
  <c r="AF107" i="26"/>
  <c r="AF43" i="26"/>
  <c r="AE107" i="26"/>
  <c r="AE43" i="26"/>
  <c r="AD107" i="26"/>
  <c r="AD43" i="26"/>
  <c r="AC43" i="26"/>
  <c r="E4" i="27"/>
  <c r="D263" i="27" l="1"/>
  <c r="F227" i="27"/>
  <c r="G227" i="27" s="1"/>
  <c r="AG83" i="27"/>
  <c r="AE93" i="27"/>
  <c r="I93" i="27"/>
  <c r="G227" i="28"/>
  <c r="E263" i="28"/>
  <c r="F228" i="28"/>
  <c r="F104" i="28"/>
  <c r="AG85" i="27"/>
  <c r="F93" i="27"/>
  <c r="S93" i="27"/>
  <c r="S94" i="27" s="1"/>
  <c r="Y93" i="27"/>
  <c r="D228" i="27"/>
  <c r="B104" i="27"/>
  <c r="G263" i="30"/>
  <c r="I227" i="30"/>
  <c r="H222" i="30"/>
  <c r="G104" i="30"/>
  <c r="G228" i="30"/>
  <c r="AI86" i="30"/>
  <c r="AH86" i="30"/>
  <c r="H222" i="29"/>
  <c r="G104" i="29"/>
  <c r="G228" i="29"/>
  <c r="F263" i="29"/>
  <c r="H227" i="29"/>
  <c r="K6" i="28"/>
  <c r="AI94" i="28"/>
  <c r="AH94" i="28"/>
  <c r="I222" i="28"/>
  <c r="B7" i="28"/>
  <c r="A7" i="28" s="1"/>
  <c r="T242" i="28"/>
  <c r="AI85" i="28"/>
  <c r="AH85" i="28"/>
  <c r="AF93" i="27"/>
  <c r="AF94" i="27" s="1"/>
  <c r="AF83" i="27"/>
  <c r="AF85" i="27" s="1"/>
  <c r="AF7" i="27" s="1"/>
  <c r="AE94" i="27"/>
  <c r="AE83" i="27"/>
  <c r="AE85" i="27" s="1"/>
  <c r="AE7" i="27" s="1"/>
  <c r="AD94" i="27"/>
  <c r="AD83" i="27"/>
  <c r="AD85" i="27" s="1"/>
  <c r="AD86" i="27" s="1"/>
  <c r="AC93" i="27"/>
  <c r="AC94" i="27" s="1"/>
  <c r="AC83" i="27"/>
  <c r="AC85" i="27" s="1"/>
  <c r="AC7" i="27" s="1"/>
  <c r="AB93" i="27"/>
  <c r="AB94" i="27" s="1"/>
  <c r="AA5" i="27"/>
  <c r="AB83" i="27"/>
  <c r="AB85" i="27" s="1"/>
  <c r="AT242" i="27" s="1"/>
  <c r="AA93" i="27"/>
  <c r="AA94" i="27" s="1"/>
  <c r="Z93" i="27"/>
  <c r="AA83" i="27"/>
  <c r="AA85" i="27" s="1"/>
  <c r="AA86" i="27" s="1"/>
  <c r="Z5" i="27"/>
  <c r="Z94" i="27"/>
  <c r="Z83" i="27"/>
  <c r="Z85" i="27" s="1"/>
  <c r="Z7" i="27" s="1"/>
  <c r="AP242" i="27"/>
  <c r="Y83" i="27"/>
  <c r="Y85" i="27" s="1"/>
  <c r="W93" i="27"/>
  <c r="W94" i="27" s="1"/>
  <c r="W83" i="27"/>
  <c r="W85" i="27" s="1"/>
  <c r="W7" i="27" s="1"/>
  <c r="V93" i="27"/>
  <c r="V94" i="27" s="1"/>
  <c r="V83" i="27"/>
  <c r="V85" i="27" s="1"/>
  <c r="AN242" i="27" s="1"/>
  <c r="U93" i="27"/>
  <c r="U94" i="27" s="1"/>
  <c r="U83" i="27"/>
  <c r="U85" i="27" s="1"/>
  <c r="AM242" i="27" s="1"/>
  <c r="T93" i="27"/>
  <c r="T94" i="27" s="1"/>
  <c r="T83" i="27"/>
  <c r="T85" i="27" s="1"/>
  <c r="S83" i="27"/>
  <c r="S85" i="27" s="1"/>
  <c r="AK242" i="27" s="1"/>
  <c r="R5" i="27"/>
  <c r="R93" i="27"/>
  <c r="R94" i="27" s="1"/>
  <c r="Q5" i="27"/>
  <c r="R83" i="27"/>
  <c r="R85" i="27" s="1"/>
  <c r="Q93" i="27"/>
  <c r="Q83" i="27"/>
  <c r="Q85" i="27" s="1"/>
  <c r="O93" i="27"/>
  <c r="O83" i="27"/>
  <c r="O85" i="27" s="1"/>
  <c r="O7" i="27" s="1"/>
  <c r="N93" i="27"/>
  <c r="O94" i="27"/>
  <c r="N94" i="27"/>
  <c r="N83" i="27"/>
  <c r="N85" i="27" s="1"/>
  <c r="AF242" i="27" s="1"/>
  <c r="AI89" i="27"/>
  <c r="M93" i="27"/>
  <c r="M94" i="27" s="1"/>
  <c r="M83" i="27"/>
  <c r="M85" i="27" s="1"/>
  <c r="M7" i="27" s="1"/>
  <c r="L93" i="27"/>
  <c r="L94" i="27" s="1"/>
  <c r="K5" i="27"/>
  <c r="L83" i="27"/>
  <c r="L85" i="27" s="1"/>
  <c r="L7" i="27" s="1"/>
  <c r="AI88" i="27"/>
  <c r="K93" i="27"/>
  <c r="K94" i="27"/>
  <c r="K83" i="27"/>
  <c r="K85" i="27" s="1"/>
  <c r="K7" i="27" s="1"/>
  <c r="J93" i="27"/>
  <c r="AI91" i="27"/>
  <c r="J94" i="27"/>
  <c r="AI66" i="27"/>
  <c r="J83" i="27"/>
  <c r="J85" i="27" s="1"/>
  <c r="AB242" i="27" s="1"/>
  <c r="AI48" i="27"/>
  <c r="AI90" i="27"/>
  <c r="I83" i="27"/>
  <c r="I85" i="27" s="1"/>
  <c r="I86" i="27" s="1"/>
  <c r="H93" i="27"/>
  <c r="H94" i="27" s="1"/>
  <c r="H83" i="27"/>
  <c r="H85" i="27" s="1"/>
  <c r="H7" i="27" s="1"/>
  <c r="G93" i="27"/>
  <c r="G94" i="27" s="1"/>
  <c r="AI87" i="27"/>
  <c r="F94" i="27"/>
  <c r="F83" i="27"/>
  <c r="F85" i="27" s="1"/>
  <c r="F7" i="27" s="1"/>
  <c r="G83" i="27"/>
  <c r="G85" i="27" s="1"/>
  <c r="Y242" i="27" s="1"/>
  <c r="E83" i="27"/>
  <c r="E85" i="27" s="1"/>
  <c r="E7" i="27" s="1"/>
  <c r="E93" i="27"/>
  <c r="E94" i="27" s="1"/>
  <c r="D93" i="27"/>
  <c r="D94" i="27" s="1"/>
  <c r="D83" i="27"/>
  <c r="D85" i="27" s="1"/>
  <c r="D7" i="27" s="1"/>
  <c r="C93" i="27"/>
  <c r="C94" i="27" s="1"/>
  <c r="AH88" i="27"/>
  <c r="C83" i="27"/>
  <c r="C85" i="27" s="1"/>
  <c r="C7" i="27" s="1"/>
  <c r="B93" i="27"/>
  <c r="B94" i="27" s="1"/>
  <c r="B83" i="27"/>
  <c r="B85" i="27" s="1"/>
  <c r="B86" i="27" s="1"/>
  <c r="D239" i="27"/>
  <c r="H4" i="27"/>
  <c r="N7" i="27"/>
  <c r="M86" i="27"/>
  <c r="U7" i="27"/>
  <c r="U86" i="27"/>
  <c r="F263" i="27"/>
  <c r="H227" i="27"/>
  <c r="AG242" i="27"/>
  <c r="O86" i="27"/>
  <c r="AW242" i="27"/>
  <c r="X7" i="27"/>
  <c r="Q7" i="27"/>
  <c r="AI242" i="27"/>
  <c r="Q86" i="27"/>
  <c r="Y7" i="27"/>
  <c r="AQ242" i="27"/>
  <c r="Y86" i="27"/>
  <c r="AX242" i="27"/>
  <c r="AF86" i="27"/>
  <c r="AI44" i="27"/>
  <c r="U242" i="27"/>
  <c r="AH62" i="27"/>
  <c r="P7" i="27"/>
  <c r="AH242" i="27"/>
  <c r="T7" i="27"/>
  <c r="AL242" i="27"/>
  <c r="T86" i="27"/>
  <c r="AH78" i="27"/>
  <c r="I94" i="27"/>
  <c r="Y94" i="27"/>
  <c r="AH44" i="27"/>
  <c r="AH48" i="27"/>
  <c r="AH89" i="27"/>
  <c r="E263" i="27"/>
  <c r="E222" i="27"/>
  <c r="AH90" i="27"/>
  <c r="B228" i="27"/>
  <c r="AH66" i="27"/>
  <c r="AI62" i="27"/>
  <c r="AI78" i="27"/>
  <c r="AH91" i="27"/>
  <c r="AH87" i="27"/>
  <c r="Q94" i="27"/>
  <c r="F263" i="28" l="1"/>
  <c r="H227" i="28"/>
  <c r="G228" i="28"/>
  <c r="G104" i="28"/>
  <c r="V7" i="27"/>
  <c r="AS242" i="27"/>
  <c r="AV242" i="27"/>
  <c r="AC86" i="27"/>
  <c r="S86" i="27"/>
  <c r="AD7" i="27"/>
  <c r="S7" i="27"/>
  <c r="AE86" i="27"/>
  <c r="R86" i="27"/>
  <c r="I222" i="30"/>
  <c r="H104" i="30"/>
  <c r="H228" i="30"/>
  <c r="H263" i="30"/>
  <c r="J227" i="30"/>
  <c r="G263" i="29"/>
  <c r="I227" i="29"/>
  <c r="I222" i="29"/>
  <c r="H104" i="29"/>
  <c r="H228" i="29"/>
  <c r="J222" i="28"/>
  <c r="AI86" i="28"/>
  <c r="AH86" i="28"/>
  <c r="AU242" i="27"/>
  <c r="AB86" i="27"/>
  <c r="AB7" i="27"/>
  <c r="AA7" i="27"/>
  <c r="Z86" i="27"/>
  <c r="AR242" i="27"/>
  <c r="W86" i="27"/>
  <c r="AO242" i="27"/>
  <c r="V86" i="27"/>
  <c r="AH93" i="27"/>
  <c r="R7" i="27"/>
  <c r="AJ242" i="27"/>
  <c r="N86" i="27"/>
  <c r="AE242" i="27"/>
  <c r="L86" i="27"/>
  <c r="AD242" i="27"/>
  <c r="AC242" i="27"/>
  <c r="K86" i="27"/>
  <c r="J7" i="27"/>
  <c r="J86" i="27"/>
  <c r="AA242" i="27"/>
  <c r="I7" i="27"/>
  <c r="H86" i="27"/>
  <c r="Z242" i="27"/>
  <c r="C237" i="27"/>
  <c r="G86" i="27"/>
  <c r="G7" i="27"/>
  <c r="B237" i="27"/>
  <c r="F86" i="27"/>
  <c r="X242" i="27"/>
  <c r="E86" i="27"/>
  <c r="W242" i="27"/>
  <c r="AI93" i="27"/>
  <c r="V242" i="27"/>
  <c r="D86" i="27"/>
  <c r="C86" i="27"/>
  <c r="AI83" i="27"/>
  <c r="AH83" i="27"/>
  <c r="G263" i="27"/>
  <c r="I227" i="27"/>
  <c r="F222" i="27"/>
  <c r="E104" i="27"/>
  <c r="E228" i="27"/>
  <c r="AI94" i="27"/>
  <c r="AH94" i="27"/>
  <c r="G263" i="28" l="1"/>
  <c r="I227" i="28"/>
  <c r="H104" i="28"/>
  <c r="H228" i="28"/>
  <c r="K227" i="30"/>
  <c r="I263" i="30"/>
  <c r="I104" i="30"/>
  <c r="I228" i="30"/>
  <c r="J222" i="30"/>
  <c r="I228" i="29"/>
  <c r="J222" i="29"/>
  <c r="H263" i="29"/>
  <c r="J227" i="29"/>
  <c r="K222" i="28"/>
  <c r="K6" i="27"/>
  <c r="F104" i="27"/>
  <c r="G222" i="27"/>
  <c r="F228" i="27"/>
  <c r="H263" i="27"/>
  <c r="J227" i="27"/>
  <c r="B7" i="27"/>
  <c r="A7" i="27" s="1"/>
  <c r="T242" i="27"/>
  <c r="AI85" i="27"/>
  <c r="AH85" i="27"/>
  <c r="H263" i="28" l="1"/>
  <c r="J227" i="28"/>
  <c r="I228" i="28"/>
  <c r="I104" i="28"/>
  <c r="J104" i="30"/>
  <c r="J228" i="30"/>
  <c r="K222" i="30"/>
  <c r="J263" i="30"/>
  <c r="L227" i="30"/>
  <c r="K227" i="29"/>
  <c r="I263" i="29"/>
  <c r="J104" i="29"/>
  <c r="J228" i="29"/>
  <c r="K222" i="29"/>
  <c r="L222" i="28"/>
  <c r="K227" i="27"/>
  <c r="I263" i="27"/>
  <c r="H222" i="27"/>
  <c r="G228" i="27"/>
  <c r="G104" i="27"/>
  <c r="AI86" i="27"/>
  <c r="AH86" i="27"/>
  <c r="I263" i="28" l="1"/>
  <c r="K227" i="28"/>
  <c r="J104" i="28"/>
  <c r="J228" i="28"/>
  <c r="K263" i="30"/>
  <c r="M227" i="30"/>
  <c r="K104" i="30"/>
  <c r="K228" i="30"/>
  <c r="L222" i="30"/>
  <c r="K104" i="29"/>
  <c r="K228" i="29"/>
  <c r="L222" i="29"/>
  <c r="J263" i="29"/>
  <c r="L227" i="29"/>
  <c r="M222" i="28"/>
  <c r="I222" i="27"/>
  <c r="H228" i="27"/>
  <c r="H104" i="27"/>
  <c r="J263" i="27"/>
  <c r="L227" i="27"/>
  <c r="J263" i="28" l="1"/>
  <c r="L227" i="28"/>
  <c r="K228" i="28"/>
  <c r="K104" i="28"/>
  <c r="L228" i="30"/>
  <c r="M222" i="30"/>
  <c r="L104" i="30"/>
  <c r="L263" i="30"/>
  <c r="N227" i="30"/>
  <c r="K263" i="29"/>
  <c r="M227" i="29"/>
  <c r="L228" i="29"/>
  <c r="M222" i="29"/>
  <c r="L104" i="29"/>
  <c r="N222" i="28"/>
  <c r="K263" i="27"/>
  <c r="M227" i="27"/>
  <c r="I104" i="27"/>
  <c r="I228" i="27"/>
  <c r="J222" i="27"/>
  <c r="K263" i="28" l="1"/>
  <c r="M227" i="28"/>
  <c r="L228" i="28"/>
  <c r="L104" i="28"/>
  <c r="M263" i="30"/>
  <c r="O227" i="30"/>
  <c r="N222" i="30"/>
  <c r="M104" i="30"/>
  <c r="M228" i="30"/>
  <c r="N222" i="29"/>
  <c r="M104" i="29"/>
  <c r="M228" i="29"/>
  <c r="L263" i="29"/>
  <c r="N227" i="29"/>
  <c r="O222" i="28"/>
  <c r="J104" i="27"/>
  <c r="J228" i="27"/>
  <c r="K222" i="27"/>
  <c r="L263" i="27"/>
  <c r="N227" i="27"/>
  <c r="N227" i="28" l="1"/>
  <c r="L263" i="28"/>
  <c r="M228" i="28"/>
  <c r="M104" i="28"/>
  <c r="N263" i="30"/>
  <c r="P227" i="30"/>
  <c r="O263" i="30" s="1"/>
  <c r="O222" i="30"/>
  <c r="N104" i="30"/>
  <c r="N228" i="30"/>
  <c r="M263" i="29"/>
  <c r="O227" i="29"/>
  <c r="O222" i="29"/>
  <c r="N104" i="29"/>
  <c r="N228" i="29"/>
  <c r="P222" i="28"/>
  <c r="K104" i="27"/>
  <c r="K228" i="27"/>
  <c r="L222" i="27"/>
  <c r="O227" i="27"/>
  <c r="M263" i="27"/>
  <c r="O227" i="28" l="1"/>
  <c r="M263" i="28"/>
  <c r="N228" i="28"/>
  <c r="N104" i="28"/>
  <c r="P222" i="30"/>
  <c r="O104" i="30"/>
  <c r="O228" i="30"/>
  <c r="P222" i="29"/>
  <c r="O104" i="29"/>
  <c r="O228" i="29"/>
  <c r="N263" i="29"/>
  <c r="P227" i="29"/>
  <c r="O263" i="29" s="1"/>
  <c r="L228" i="27"/>
  <c r="M222" i="27"/>
  <c r="L104" i="27"/>
  <c r="N263" i="27"/>
  <c r="P227" i="27"/>
  <c r="O263" i="27" s="1"/>
  <c r="N263" i="28" l="1"/>
  <c r="P227" i="28"/>
  <c r="O228" i="28"/>
  <c r="O104" i="28"/>
  <c r="P104" i="30"/>
  <c r="P228" i="30"/>
  <c r="P228" i="29"/>
  <c r="P104" i="29"/>
  <c r="N222" i="27"/>
  <c r="M104" i="27"/>
  <c r="M228" i="27"/>
  <c r="O263" i="28" l="1"/>
  <c r="P104" i="28"/>
  <c r="AH104" i="28" s="1"/>
  <c r="P228" i="28"/>
  <c r="AH104" i="30"/>
  <c r="AI104" i="30"/>
  <c r="AH104" i="29"/>
  <c r="AI104" i="29"/>
  <c r="N104" i="27"/>
  <c r="O222" i="27"/>
  <c r="N228" i="27"/>
  <c r="AI104" i="28" l="1"/>
  <c r="P222" i="27"/>
  <c r="P104" i="27" s="1"/>
  <c r="O104" i="27"/>
  <c r="O228" i="27"/>
  <c r="P228" i="27" l="1"/>
  <c r="AH104" i="27" l="1"/>
  <c r="AI104" i="27"/>
  <c r="AB43" i="26" l="1"/>
  <c r="AA107" i="26"/>
  <c r="AA43" i="26"/>
  <c r="AA45" i="26"/>
  <c r="AI45" i="26" s="1"/>
  <c r="Z107" i="26"/>
  <c r="Z104" i="26" s="1"/>
  <c r="Z43" i="26"/>
  <c r="Y107" i="26"/>
  <c r="Y43" i="26"/>
  <c r="X43" i="26"/>
  <c r="W107" i="26"/>
  <c r="W43" i="26"/>
  <c r="V43" i="26"/>
  <c r="U107" i="26"/>
  <c r="U104" i="26" s="1"/>
  <c r="U43" i="26"/>
  <c r="T107" i="26"/>
  <c r="T43" i="26"/>
  <c r="T45" i="26"/>
  <c r="S43" i="26"/>
  <c r="S107" i="26"/>
  <c r="L107" i="26"/>
  <c r="L43" i="26"/>
  <c r="K107" i="26"/>
  <c r="K43" i="26"/>
  <c r="J107" i="26"/>
  <c r="J43" i="26"/>
  <c r="I107" i="26"/>
  <c r="I43" i="26"/>
  <c r="H107" i="26"/>
  <c r="AI107" i="26" s="1"/>
  <c r="H43" i="26"/>
  <c r="G107" i="26"/>
  <c r="F43" i="26"/>
  <c r="G43" i="26"/>
  <c r="F107" i="26"/>
  <c r="E107" i="26"/>
  <c r="E43" i="26"/>
  <c r="AF267" i="26"/>
  <c r="AE267" i="26"/>
  <c r="AD267" i="26"/>
  <c r="AC267" i="26"/>
  <c r="AB267" i="26"/>
  <c r="AA267" i="26"/>
  <c r="Z267" i="26"/>
  <c r="Y267" i="26"/>
  <c r="X267" i="26"/>
  <c r="W267" i="26"/>
  <c r="V267" i="26"/>
  <c r="U267" i="26"/>
  <c r="T267" i="26"/>
  <c r="S267" i="26"/>
  <c r="R267" i="26"/>
  <c r="Q267" i="26"/>
  <c r="P267" i="26"/>
  <c r="O267" i="26"/>
  <c r="N267" i="26"/>
  <c r="M267" i="26"/>
  <c r="L267" i="26"/>
  <c r="K267" i="26"/>
  <c r="J267" i="26"/>
  <c r="I267" i="26"/>
  <c r="H267" i="26"/>
  <c r="G267" i="26"/>
  <c r="F267" i="26"/>
  <c r="E267" i="26"/>
  <c r="D267" i="26"/>
  <c r="C267" i="26"/>
  <c r="B267" i="26"/>
  <c r="A267" i="26"/>
  <c r="AF266" i="26"/>
  <c r="AE266" i="26"/>
  <c r="AD266" i="26"/>
  <c r="AC266" i="26"/>
  <c r="AB266" i="26"/>
  <c r="AA266" i="26"/>
  <c r="Z266" i="26"/>
  <c r="Y266" i="26"/>
  <c r="X266" i="26"/>
  <c r="W266" i="26"/>
  <c r="V266" i="26"/>
  <c r="U266" i="26"/>
  <c r="T266" i="26"/>
  <c r="S266" i="26"/>
  <c r="R266" i="26"/>
  <c r="Q266" i="26"/>
  <c r="P266" i="26"/>
  <c r="O266" i="26"/>
  <c r="N266" i="26"/>
  <c r="M266" i="26"/>
  <c r="L266" i="26"/>
  <c r="K266" i="26"/>
  <c r="J266" i="26"/>
  <c r="I266" i="26"/>
  <c r="H266" i="26"/>
  <c r="G266" i="26"/>
  <c r="F266" i="26"/>
  <c r="E266" i="26"/>
  <c r="D266" i="26"/>
  <c r="C266" i="26"/>
  <c r="B266" i="26"/>
  <c r="A266" i="26"/>
  <c r="AF265" i="26"/>
  <c r="AE265" i="26"/>
  <c r="AD265" i="26"/>
  <c r="AC265" i="26"/>
  <c r="AB265" i="26"/>
  <c r="AA265" i="26"/>
  <c r="Z265" i="26"/>
  <c r="Y265" i="26"/>
  <c r="X265" i="26"/>
  <c r="W265" i="26"/>
  <c r="V265" i="26"/>
  <c r="U265" i="26"/>
  <c r="T265" i="26"/>
  <c r="S265" i="26"/>
  <c r="R265" i="26"/>
  <c r="Q265" i="26"/>
  <c r="P265" i="26"/>
  <c r="O265" i="26"/>
  <c r="N265" i="26"/>
  <c r="M265" i="26"/>
  <c r="L265" i="26"/>
  <c r="K265" i="26"/>
  <c r="J265" i="26"/>
  <c r="I265" i="26"/>
  <c r="H265" i="26"/>
  <c r="G265" i="26"/>
  <c r="F265" i="26"/>
  <c r="E265" i="26"/>
  <c r="D265" i="26"/>
  <c r="C265" i="26"/>
  <c r="B265" i="26"/>
  <c r="A265" i="26"/>
  <c r="AF264" i="26"/>
  <c r="AE264" i="26"/>
  <c r="AD264" i="26"/>
  <c r="AC264" i="26"/>
  <c r="AB264" i="26"/>
  <c r="AA264" i="26"/>
  <c r="Z264" i="26"/>
  <c r="Y264" i="26"/>
  <c r="X264" i="26"/>
  <c r="W264" i="26"/>
  <c r="V264" i="26"/>
  <c r="U264" i="26"/>
  <c r="T264" i="26"/>
  <c r="S264" i="26"/>
  <c r="R264" i="26"/>
  <c r="Q264" i="26"/>
  <c r="P264" i="26"/>
  <c r="O264" i="26"/>
  <c r="N264" i="26"/>
  <c r="M264" i="26"/>
  <c r="L264" i="26"/>
  <c r="K264" i="26"/>
  <c r="J264" i="26"/>
  <c r="I264" i="26"/>
  <c r="H264" i="26"/>
  <c r="G264" i="26"/>
  <c r="F264" i="26"/>
  <c r="E264" i="26"/>
  <c r="D264" i="26"/>
  <c r="C264" i="26"/>
  <c r="B264" i="26"/>
  <c r="A264" i="26"/>
  <c r="AE263" i="26"/>
  <c r="AD263" i="26"/>
  <c r="AC263" i="26"/>
  <c r="AB263" i="26"/>
  <c r="AA263" i="26"/>
  <c r="Z263" i="26"/>
  <c r="Y263" i="26"/>
  <c r="X263" i="26"/>
  <c r="W263" i="26"/>
  <c r="V263" i="26"/>
  <c r="U263" i="26"/>
  <c r="T263" i="26"/>
  <c r="S263" i="26"/>
  <c r="R263" i="26"/>
  <c r="Q263" i="26"/>
  <c r="P263" i="26"/>
  <c r="B263" i="26"/>
  <c r="S238" i="26"/>
  <c r="AG228" i="26"/>
  <c r="AG61" i="26" s="1"/>
  <c r="AG62" i="26" s="1"/>
  <c r="AG3" i="26" s="1"/>
  <c r="AF228" i="26"/>
  <c r="AE228" i="26"/>
  <c r="AD228" i="26"/>
  <c r="AC228" i="26"/>
  <c r="AB228" i="26"/>
  <c r="AA228" i="26"/>
  <c r="Z228" i="26"/>
  <c r="Y228" i="26"/>
  <c r="X228" i="26"/>
  <c r="W228" i="26"/>
  <c r="V228" i="26"/>
  <c r="U228" i="26"/>
  <c r="T228" i="26"/>
  <c r="S228" i="26"/>
  <c r="R228" i="26"/>
  <c r="Q228" i="26"/>
  <c r="C228" i="26"/>
  <c r="D227" i="26"/>
  <c r="E227" i="26" s="1"/>
  <c r="B227" i="26"/>
  <c r="AF263" i="26" s="1"/>
  <c r="E226" i="26"/>
  <c r="F226" i="26" s="1"/>
  <c r="G226" i="26" s="1"/>
  <c r="H226" i="26" s="1"/>
  <c r="I226" i="26" s="1"/>
  <c r="J226" i="26" s="1"/>
  <c r="K226" i="26" s="1"/>
  <c r="L226" i="26" s="1"/>
  <c r="M226" i="26" s="1"/>
  <c r="N226" i="26" s="1"/>
  <c r="O226" i="26" s="1"/>
  <c r="P226" i="26" s="1"/>
  <c r="D226" i="26"/>
  <c r="B226" i="26"/>
  <c r="D225" i="26"/>
  <c r="E225" i="26" s="1"/>
  <c r="F225" i="26" s="1"/>
  <c r="G225" i="26" s="1"/>
  <c r="H225" i="26" s="1"/>
  <c r="I225" i="26" s="1"/>
  <c r="J225" i="26" s="1"/>
  <c r="K225" i="26" s="1"/>
  <c r="L225" i="26" s="1"/>
  <c r="M225" i="26" s="1"/>
  <c r="N225" i="26" s="1"/>
  <c r="O225" i="26" s="1"/>
  <c r="P225" i="26" s="1"/>
  <c r="B225" i="26"/>
  <c r="D224" i="26"/>
  <c r="E224" i="26" s="1"/>
  <c r="F224" i="26" s="1"/>
  <c r="G224" i="26" s="1"/>
  <c r="H224" i="26" s="1"/>
  <c r="I224" i="26" s="1"/>
  <c r="J224" i="26" s="1"/>
  <c r="K224" i="26" s="1"/>
  <c r="L224" i="26" s="1"/>
  <c r="M224" i="26" s="1"/>
  <c r="N224" i="26" s="1"/>
  <c r="O224" i="26" s="1"/>
  <c r="P224" i="26" s="1"/>
  <c r="B224" i="26"/>
  <c r="D223" i="26"/>
  <c r="E223" i="26" s="1"/>
  <c r="F223" i="26" s="1"/>
  <c r="G223" i="26" s="1"/>
  <c r="H223" i="26" s="1"/>
  <c r="I223" i="26" s="1"/>
  <c r="J223" i="26" s="1"/>
  <c r="K223" i="26" s="1"/>
  <c r="L223" i="26" s="1"/>
  <c r="M223" i="26" s="1"/>
  <c r="N223" i="26" s="1"/>
  <c r="O223" i="26" s="1"/>
  <c r="P223" i="26" s="1"/>
  <c r="B223" i="26"/>
  <c r="D222" i="26"/>
  <c r="B222" i="26"/>
  <c r="B104" i="26" s="1"/>
  <c r="AG220" i="26"/>
  <c r="AF220" i="26"/>
  <c r="AE220" i="26"/>
  <c r="AD220" i="26"/>
  <c r="AC220" i="26"/>
  <c r="AB220" i="26"/>
  <c r="AA220" i="26"/>
  <c r="Z220" i="26"/>
  <c r="Y220" i="26"/>
  <c r="X220" i="26"/>
  <c r="W220" i="26"/>
  <c r="V220" i="26"/>
  <c r="U220" i="26"/>
  <c r="T220" i="26"/>
  <c r="S220" i="26"/>
  <c r="R220" i="26"/>
  <c r="Q220" i="26"/>
  <c r="P220" i="26"/>
  <c r="O220" i="26"/>
  <c r="N220" i="26"/>
  <c r="M220" i="26"/>
  <c r="L220" i="26"/>
  <c r="K220" i="26"/>
  <c r="J220" i="26"/>
  <c r="I220" i="26"/>
  <c r="H220" i="26"/>
  <c r="G220" i="26"/>
  <c r="F220" i="26"/>
  <c r="E220" i="26"/>
  <c r="D220" i="26"/>
  <c r="C220" i="26"/>
  <c r="B220" i="26"/>
  <c r="AI113" i="26"/>
  <c r="AH113" i="26"/>
  <c r="AI112" i="26"/>
  <c r="AH112" i="26"/>
  <c r="AI111" i="26"/>
  <c r="AH111" i="26"/>
  <c r="AI110" i="26"/>
  <c r="AH110" i="26"/>
  <c r="AI109" i="26"/>
  <c r="AH109" i="26"/>
  <c r="AI108" i="26"/>
  <c r="AH108" i="26"/>
  <c r="AI106" i="26"/>
  <c r="AH106" i="26"/>
  <c r="AI105" i="26"/>
  <c r="AH105" i="26"/>
  <c r="AF104" i="26"/>
  <c r="AE104" i="26"/>
  <c r="AD104" i="26"/>
  <c r="AC104" i="26"/>
  <c r="AB104" i="26"/>
  <c r="AA104" i="26"/>
  <c r="Y104" i="26"/>
  <c r="X104" i="26"/>
  <c r="W104" i="26"/>
  <c r="V104" i="26"/>
  <c r="T104" i="26"/>
  <c r="S104" i="26"/>
  <c r="R104" i="26"/>
  <c r="Q104" i="26"/>
  <c r="C104" i="26"/>
  <c r="AI103" i="26"/>
  <c r="AH103" i="26"/>
  <c r="AI102" i="26"/>
  <c r="AH102" i="26"/>
  <c r="AI101" i="26"/>
  <c r="AH101" i="26"/>
  <c r="AI100" i="26"/>
  <c r="AH100" i="26"/>
  <c r="AI99" i="26"/>
  <c r="AH99" i="26"/>
  <c r="AI98" i="26"/>
  <c r="AH98" i="26"/>
  <c r="AI97" i="26"/>
  <c r="AH97" i="26"/>
  <c r="AI96" i="26"/>
  <c r="AH96" i="26"/>
  <c r="AI95" i="26"/>
  <c r="AH95" i="26"/>
  <c r="AI92" i="26"/>
  <c r="AH92" i="26"/>
  <c r="AF91" i="26"/>
  <c r="AE91" i="26"/>
  <c r="AD91" i="26"/>
  <c r="AC91" i="26"/>
  <c r="AB91" i="26"/>
  <c r="AA91" i="26"/>
  <c r="Z91" i="26"/>
  <c r="Y91" i="26"/>
  <c r="X91" i="26"/>
  <c r="W91" i="26"/>
  <c r="V91" i="26"/>
  <c r="U91" i="26"/>
  <c r="T91" i="26"/>
  <c r="S91" i="26"/>
  <c r="R91" i="26"/>
  <c r="Q91" i="26"/>
  <c r="P91" i="26"/>
  <c r="O91" i="26"/>
  <c r="N91" i="26"/>
  <c r="M91" i="26"/>
  <c r="L91" i="26"/>
  <c r="K91" i="26"/>
  <c r="J91" i="26"/>
  <c r="I91" i="26"/>
  <c r="H91" i="26"/>
  <c r="G91" i="26"/>
  <c r="F91" i="26"/>
  <c r="E91" i="26"/>
  <c r="D91" i="26"/>
  <c r="C91" i="26"/>
  <c r="B91" i="26"/>
  <c r="AF90" i="26"/>
  <c r="AE90" i="26"/>
  <c r="AD90" i="26"/>
  <c r="AC90" i="26"/>
  <c r="AB90" i="26"/>
  <c r="AA90" i="26"/>
  <c r="Z90" i="26"/>
  <c r="Y90" i="26"/>
  <c r="X90" i="26"/>
  <c r="W90" i="26"/>
  <c r="V90" i="26"/>
  <c r="U90" i="26"/>
  <c r="T90" i="26"/>
  <c r="S90" i="26"/>
  <c r="R90" i="26"/>
  <c r="Q90" i="26"/>
  <c r="P90" i="26"/>
  <c r="O90" i="26"/>
  <c r="N90" i="26"/>
  <c r="M90" i="26"/>
  <c r="L90" i="26"/>
  <c r="K90" i="26"/>
  <c r="J90" i="26"/>
  <c r="I90" i="26"/>
  <c r="H90" i="26"/>
  <c r="G90" i="26"/>
  <c r="F90" i="26"/>
  <c r="E90" i="26"/>
  <c r="D90" i="26"/>
  <c r="C90" i="26"/>
  <c r="B90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AI84" i="26"/>
  <c r="AH84" i="26"/>
  <c r="AI82" i="26"/>
  <c r="AH82" i="26"/>
  <c r="AG82" i="26"/>
  <c r="AI81" i="26"/>
  <c r="AH81" i="26"/>
  <c r="AI80" i="26"/>
  <c r="AH80" i="26"/>
  <c r="AI79" i="26"/>
  <c r="AH79" i="26"/>
  <c r="AG78" i="26"/>
  <c r="AF78" i="26"/>
  <c r="AE5" i="26" s="1"/>
  <c r="AE78" i="26"/>
  <c r="AD5" i="26" s="1"/>
  <c r="AD78" i="26"/>
  <c r="AC78" i="26"/>
  <c r="AB5" i="26" s="1"/>
  <c r="AB78" i="26"/>
  <c r="AA78" i="26"/>
  <c r="Z5" i="26" s="1"/>
  <c r="Z78" i="26"/>
  <c r="Y5" i="26" s="1"/>
  <c r="Y78" i="26"/>
  <c r="X5" i="26" s="1"/>
  <c r="X78" i="26"/>
  <c r="W5" i="26" s="1"/>
  <c r="W78" i="26"/>
  <c r="V5" i="26" s="1"/>
  <c r="V78" i="26"/>
  <c r="U5" i="26" s="1"/>
  <c r="U78" i="26"/>
  <c r="T5" i="26" s="1"/>
  <c r="T78" i="26"/>
  <c r="S5" i="26" s="1"/>
  <c r="S78" i="26"/>
  <c r="R5" i="26" s="1"/>
  <c r="R78" i="26"/>
  <c r="Q5" i="26" s="1"/>
  <c r="Q78" i="26"/>
  <c r="P78" i="26"/>
  <c r="O5" i="26" s="1"/>
  <c r="O78" i="26"/>
  <c r="N5" i="26" s="1"/>
  <c r="N78" i="26"/>
  <c r="M5" i="26" s="1"/>
  <c r="M78" i="26"/>
  <c r="L5" i="26" s="1"/>
  <c r="L78" i="26"/>
  <c r="K5" i="26" s="1"/>
  <c r="K78" i="26"/>
  <c r="J5" i="26" s="1"/>
  <c r="J78" i="26"/>
  <c r="I5" i="26" s="1"/>
  <c r="I78" i="26"/>
  <c r="H5" i="26" s="1"/>
  <c r="H78" i="26"/>
  <c r="G5" i="26" s="1"/>
  <c r="G78" i="26"/>
  <c r="F5" i="26" s="1"/>
  <c r="F78" i="26"/>
  <c r="E5" i="26" s="1"/>
  <c r="E78" i="26"/>
  <c r="D5" i="26" s="1"/>
  <c r="D78" i="26"/>
  <c r="C78" i="26"/>
  <c r="B5" i="26" s="1"/>
  <c r="B78" i="26"/>
  <c r="AF5" i="26" s="1"/>
  <c r="AI77" i="26"/>
  <c r="AH77" i="26"/>
  <c r="AI76" i="26"/>
  <c r="AH76" i="26"/>
  <c r="AI75" i="26"/>
  <c r="AH75" i="26"/>
  <c r="AI74" i="26"/>
  <c r="AH74" i="26"/>
  <c r="AI73" i="26"/>
  <c r="AH73" i="26"/>
  <c r="AI72" i="26"/>
  <c r="AH72" i="26"/>
  <c r="AI71" i="26"/>
  <c r="AH71" i="26"/>
  <c r="AI70" i="26"/>
  <c r="AH70" i="26"/>
  <c r="AI69" i="26"/>
  <c r="AH69" i="26"/>
  <c r="AI68" i="26"/>
  <c r="AH68" i="26"/>
  <c r="AI67" i="26"/>
  <c r="AH67" i="26"/>
  <c r="AG66" i="26"/>
  <c r="AF66" i="26"/>
  <c r="AE66" i="26"/>
  <c r="AD66" i="26"/>
  <c r="AC66" i="26"/>
  <c r="AB66" i="26"/>
  <c r="AA66" i="26"/>
  <c r="Z66" i="26"/>
  <c r="Y66" i="26"/>
  <c r="X66" i="26"/>
  <c r="W66" i="26"/>
  <c r="V66" i="26"/>
  <c r="U66" i="26"/>
  <c r="T66" i="26"/>
  <c r="S66" i="26"/>
  <c r="R66" i="26"/>
  <c r="Q66" i="26"/>
  <c r="P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AI65" i="26"/>
  <c r="AH65" i="26"/>
  <c r="AI64" i="26"/>
  <c r="AH64" i="26"/>
  <c r="AI63" i="26"/>
  <c r="AH63" i="26"/>
  <c r="AF62" i="26"/>
  <c r="AE62" i="26"/>
  <c r="AD62" i="26"/>
  <c r="AC62" i="26"/>
  <c r="AB62" i="26"/>
  <c r="AA62" i="26"/>
  <c r="Z62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G48" i="26"/>
  <c r="AF48" i="26"/>
  <c r="AE48" i="26"/>
  <c r="AD48" i="26"/>
  <c r="AC48" i="26"/>
  <c r="AB48" i="26"/>
  <c r="AA48" i="26"/>
  <c r="Z48" i="26"/>
  <c r="Y48" i="26"/>
  <c r="X48" i="26"/>
  <c r="W48" i="26"/>
  <c r="V48" i="26"/>
  <c r="U48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B48" i="26"/>
  <c r="AI47" i="26"/>
  <c r="AH47" i="26"/>
  <c r="AI46" i="26"/>
  <c r="AH46" i="26"/>
  <c r="AH45" i="26"/>
  <c r="AG44" i="26"/>
  <c r="AG2" i="26" s="1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AI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C5" i="26"/>
  <c r="P5" i="26"/>
  <c r="AG4" i="26"/>
  <c r="K4" i="26"/>
  <c r="B4" i="26"/>
  <c r="S239" i="26" s="1"/>
  <c r="AC107" i="25"/>
  <c r="AC43" i="25"/>
  <c r="AB107" i="25"/>
  <c r="AB43" i="25"/>
  <c r="AA43" i="25"/>
  <c r="Z43" i="25"/>
  <c r="Y43" i="25"/>
  <c r="X43" i="25"/>
  <c r="W43" i="25"/>
  <c r="V107" i="25"/>
  <c r="V43" i="25"/>
  <c r="T107" i="25"/>
  <c r="T43" i="25"/>
  <c r="S43" i="25"/>
  <c r="R107" i="25"/>
  <c r="R43" i="25"/>
  <c r="E4" i="26"/>
  <c r="S93" i="26" l="1"/>
  <c r="S94" i="26" s="1"/>
  <c r="AH107" i="26"/>
  <c r="AA93" i="26"/>
  <c r="AA94" i="26" s="1"/>
  <c r="AF83" i="26"/>
  <c r="AF85" i="26" s="1"/>
  <c r="AB93" i="26"/>
  <c r="AB94" i="26" s="1"/>
  <c r="AA83" i="26"/>
  <c r="AA85" i="26" s="1"/>
  <c r="Y83" i="26"/>
  <c r="Y85" i="26" s="1"/>
  <c r="X83" i="26"/>
  <c r="X85" i="26" s="1"/>
  <c r="X7" i="26" s="1"/>
  <c r="T93" i="26"/>
  <c r="S83" i="26"/>
  <c r="S85" i="26" s="1"/>
  <c r="Q83" i="26"/>
  <c r="Q85" i="26" s="1"/>
  <c r="P83" i="26"/>
  <c r="P85" i="26" s="1"/>
  <c r="R83" i="26"/>
  <c r="R85" i="26" s="1"/>
  <c r="AJ242" i="26" s="1"/>
  <c r="L93" i="26"/>
  <c r="K93" i="26"/>
  <c r="K86" i="26" s="1"/>
  <c r="K94" i="26"/>
  <c r="K83" i="26"/>
  <c r="K85" i="26" s="1"/>
  <c r="K7" i="26" s="1"/>
  <c r="J83" i="26"/>
  <c r="J85" i="26" s="1"/>
  <c r="J7" i="26" s="1"/>
  <c r="I83" i="26"/>
  <c r="I85" i="26" s="1"/>
  <c r="AA242" i="26" s="1"/>
  <c r="H83" i="26"/>
  <c r="H85" i="26" s="1"/>
  <c r="H7" i="26" s="1"/>
  <c r="AH43" i="26"/>
  <c r="F83" i="26"/>
  <c r="F85" i="26" s="1"/>
  <c r="F7" i="26" s="1"/>
  <c r="D93" i="26"/>
  <c r="F227" i="26"/>
  <c r="D263" i="26"/>
  <c r="D228" i="26"/>
  <c r="AG6" i="26"/>
  <c r="AG85" i="26"/>
  <c r="E222" i="26"/>
  <c r="E104" i="26" s="1"/>
  <c r="Z83" i="26"/>
  <c r="Z85" i="26" s="1"/>
  <c r="AR242" i="26" s="1"/>
  <c r="D83" i="26"/>
  <c r="D85" i="26" s="1"/>
  <c r="V242" i="26" s="1"/>
  <c r="L83" i="26"/>
  <c r="L85" i="26" s="1"/>
  <c r="AD242" i="26" s="1"/>
  <c r="T83" i="26"/>
  <c r="T85" i="26" s="1"/>
  <c r="AL242" i="26" s="1"/>
  <c r="AB83" i="26"/>
  <c r="AB85" i="26" s="1"/>
  <c r="AT242" i="26" s="1"/>
  <c r="F93" i="26"/>
  <c r="N93" i="26"/>
  <c r="V93" i="26"/>
  <c r="V94" i="26" s="1"/>
  <c r="AD93" i="26"/>
  <c r="AH89" i="26"/>
  <c r="E83" i="26"/>
  <c r="E85" i="26" s="1"/>
  <c r="W242" i="26" s="1"/>
  <c r="M83" i="26"/>
  <c r="M85" i="26" s="1"/>
  <c r="AE242" i="26" s="1"/>
  <c r="U83" i="26"/>
  <c r="U85" i="26" s="1"/>
  <c r="AM242" i="26" s="1"/>
  <c r="AC83" i="26"/>
  <c r="AC85" i="26" s="1"/>
  <c r="AU242" i="26" s="1"/>
  <c r="G93" i="26"/>
  <c r="G94" i="26" s="1"/>
  <c r="O93" i="26"/>
  <c r="O94" i="26" s="1"/>
  <c r="W93" i="26"/>
  <c r="W94" i="26" s="1"/>
  <c r="AE93" i="26"/>
  <c r="AE94" i="26" s="1"/>
  <c r="AI90" i="26"/>
  <c r="N83" i="26"/>
  <c r="N85" i="26" s="1"/>
  <c r="AF242" i="26" s="1"/>
  <c r="V83" i="26"/>
  <c r="V85" i="26" s="1"/>
  <c r="V7" i="26" s="1"/>
  <c r="AD83" i="26"/>
  <c r="AD85" i="26" s="1"/>
  <c r="AV242" i="26" s="1"/>
  <c r="H93" i="26"/>
  <c r="H94" i="26" s="1"/>
  <c r="P93" i="26"/>
  <c r="P94" i="26" s="1"/>
  <c r="X93" i="26"/>
  <c r="X94" i="26" s="1"/>
  <c r="AF93" i="26"/>
  <c r="AF94" i="26" s="1"/>
  <c r="AH88" i="26"/>
  <c r="AI89" i="26"/>
  <c r="C263" i="26"/>
  <c r="G83" i="26"/>
  <c r="G85" i="26" s="1"/>
  <c r="Y242" i="26" s="1"/>
  <c r="O83" i="26"/>
  <c r="O85" i="26" s="1"/>
  <c r="W83" i="26"/>
  <c r="W85" i="26" s="1"/>
  <c r="AO242" i="26" s="1"/>
  <c r="AE83" i="26"/>
  <c r="AE85" i="26" s="1"/>
  <c r="AH66" i="26"/>
  <c r="D94" i="26"/>
  <c r="I93" i="26"/>
  <c r="I94" i="26" s="1"/>
  <c r="Q93" i="26"/>
  <c r="Q94" i="26" s="1"/>
  <c r="Y93" i="26"/>
  <c r="Y94" i="26" s="1"/>
  <c r="AI88" i="26"/>
  <c r="J93" i="26"/>
  <c r="J94" i="26" s="1"/>
  <c r="R93" i="26"/>
  <c r="R94" i="26" s="1"/>
  <c r="Z93" i="26"/>
  <c r="Z94" i="26" s="1"/>
  <c r="M93" i="26"/>
  <c r="M94" i="26" s="1"/>
  <c r="U93" i="26"/>
  <c r="U94" i="26" s="1"/>
  <c r="AC93" i="26"/>
  <c r="AC94" i="26" s="1"/>
  <c r="AH48" i="26"/>
  <c r="C93" i="26"/>
  <c r="C94" i="26" s="1"/>
  <c r="AI87" i="26"/>
  <c r="C83" i="26"/>
  <c r="C85" i="26" s="1"/>
  <c r="C7" i="26" s="1"/>
  <c r="AI91" i="26"/>
  <c r="AH62" i="26"/>
  <c r="AI44" i="26"/>
  <c r="AH90" i="26"/>
  <c r="AI78" i="26"/>
  <c r="AI66" i="26"/>
  <c r="AI62" i="26"/>
  <c r="H4" i="26"/>
  <c r="AC242" i="26"/>
  <c r="S86" i="26"/>
  <c r="S7" i="26"/>
  <c r="AK242" i="26"/>
  <c r="AS242" i="26"/>
  <c r="AA86" i="26"/>
  <c r="AA7" i="26"/>
  <c r="L7" i="26"/>
  <c r="T7" i="26"/>
  <c r="Z242" i="26"/>
  <c r="H86" i="26"/>
  <c r="P7" i="26"/>
  <c r="AH242" i="26"/>
  <c r="AF7" i="26"/>
  <c r="AX242" i="26"/>
  <c r="AF86" i="26"/>
  <c r="Q7" i="26"/>
  <c r="AI242" i="26"/>
  <c r="Q86" i="26"/>
  <c r="Y7" i="26"/>
  <c r="AQ242" i="26"/>
  <c r="Y86" i="26"/>
  <c r="F94" i="26"/>
  <c r="N94" i="26"/>
  <c r="AD94" i="26"/>
  <c r="I7" i="26"/>
  <c r="AB242" i="26"/>
  <c r="B83" i="26"/>
  <c r="AI48" i="26"/>
  <c r="E93" i="26"/>
  <c r="E94" i="26" s="1"/>
  <c r="L94" i="26"/>
  <c r="T94" i="26"/>
  <c r="B228" i="26"/>
  <c r="D104" i="26"/>
  <c r="E228" i="26"/>
  <c r="D239" i="26"/>
  <c r="AH78" i="26"/>
  <c r="AG83" i="26"/>
  <c r="C5" i="26"/>
  <c r="AA5" i="26"/>
  <c r="AH87" i="26"/>
  <c r="B93" i="26"/>
  <c r="AH44" i="26"/>
  <c r="AH91" i="26"/>
  <c r="Q107" i="25"/>
  <c r="Q104" i="25" s="1"/>
  <c r="Q43" i="25"/>
  <c r="Q44" i="25"/>
  <c r="Q48" i="25"/>
  <c r="Q62" i="25"/>
  <c r="Q66" i="25"/>
  <c r="Q78" i="25"/>
  <c r="P5" i="25" s="1"/>
  <c r="Q87" i="25"/>
  <c r="Q88" i="25"/>
  <c r="Q89" i="25"/>
  <c r="Q90" i="25"/>
  <c r="Q91" i="25"/>
  <c r="O43" i="25"/>
  <c r="P43" i="25"/>
  <c r="O44" i="25"/>
  <c r="P44" i="25"/>
  <c r="O48" i="25"/>
  <c r="P48" i="25"/>
  <c r="O62" i="25"/>
  <c r="P62" i="25"/>
  <c r="O66" i="25"/>
  <c r="P66" i="25"/>
  <c r="O78" i="25"/>
  <c r="P78" i="25"/>
  <c r="O5" i="25" s="1"/>
  <c r="O87" i="25"/>
  <c r="P87" i="25"/>
  <c r="O88" i="25"/>
  <c r="P88" i="25"/>
  <c r="O89" i="25"/>
  <c r="P89" i="25"/>
  <c r="O90" i="25"/>
  <c r="P90" i="25"/>
  <c r="O91" i="25"/>
  <c r="P91" i="25"/>
  <c r="O107" i="25"/>
  <c r="P107" i="25"/>
  <c r="N107" i="25"/>
  <c r="N43" i="25"/>
  <c r="M107" i="25"/>
  <c r="M43" i="25"/>
  <c r="M44" i="25"/>
  <c r="L43" i="25"/>
  <c r="K43" i="25"/>
  <c r="J43" i="25"/>
  <c r="I43" i="25"/>
  <c r="H43" i="25"/>
  <c r="D43" i="25"/>
  <c r="E43" i="25"/>
  <c r="G43" i="25"/>
  <c r="C43" i="25"/>
  <c r="B43" i="25"/>
  <c r="AF267" i="25"/>
  <c r="AE267" i="25"/>
  <c r="AD267" i="25"/>
  <c r="AC267" i="25"/>
  <c r="AB267" i="25"/>
  <c r="AA267" i="25"/>
  <c r="Z267" i="25"/>
  <c r="Y267" i="25"/>
  <c r="X267" i="25"/>
  <c r="W267" i="25"/>
  <c r="V267" i="25"/>
  <c r="U267" i="25"/>
  <c r="T267" i="25"/>
  <c r="S267" i="25"/>
  <c r="R267" i="25"/>
  <c r="Q267" i="25"/>
  <c r="P267" i="25"/>
  <c r="O267" i="25"/>
  <c r="N267" i="25"/>
  <c r="M267" i="25"/>
  <c r="L267" i="25"/>
  <c r="K267" i="25"/>
  <c r="J267" i="25"/>
  <c r="I267" i="25"/>
  <c r="H267" i="25"/>
  <c r="G267" i="25"/>
  <c r="F267" i="25"/>
  <c r="E267" i="25"/>
  <c r="D267" i="25"/>
  <c r="C267" i="25"/>
  <c r="B267" i="25"/>
  <c r="A267" i="25"/>
  <c r="AF266" i="25"/>
  <c r="AE266" i="25"/>
  <c r="AD266" i="25"/>
  <c r="AC266" i="25"/>
  <c r="AB266" i="25"/>
  <c r="AA266" i="25"/>
  <c r="Z266" i="25"/>
  <c r="Y266" i="25"/>
  <c r="X266" i="25"/>
  <c r="W266" i="25"/>
  <c r="V266" i="25"/>
  <c r="U266" i="25"/>
  <c r="T266" i="25"/>
  <c r="S266" i="25"/>
  <c r="R266" i="25"/>
  <c r="Q266" i="25"/>
  <c r="P266" i="25"/>
  <c r="O266" i="25"/>
  <c r="N266" i="25"/>
  <c r="M266" i="25"/>
  <c r="L266" i="25"/>
  <c r="K266" i="25"/>
  <c r="J266" i="25"/>
  <c r="I266" i="25"/>
  <c r="H266" i="25"/>
  <c r="G266" i="25"/>
  <c r="F266" i="25"/>
  <c r="E266" i="25"/>
  <c r="D266" i="25"/>
  <c r="C266" i="25"/>
  <c r="B266" i="25"/>
  <c r="A266" i="25"/>
  <c r="AF265" i="25"/>
  <c r="AE265" i="25"/>
  <c r="AD265" i="25"/>
  <c r="AC265" i="25"/>
  <c r="AB265" i="25"/>
  <c r="AA265" i="25"/>
  <c r="Z265" i="25"/>
  <c r="Y265" i="25"/>
  <c r="X265" i="25"/>
  <c r="W265" i="25"/>
  <c r="V265" i="25"/>
  <c r="U265" i="25"/>
  <c r="T265" i="25"/>
  <c r="S265" i="25"/>
  <c r="R265" i="25"/>
  <c r="Q265" i="25"/>
  <c r="P265" i="25"/>
  <c r="O265" i="25"/>
  <c r="N265" i="25"/>
  <c r="M265" i="25"/>
  <c r="L265" i="25"/>
  <c r="K265" i="25"/>
  <c r="J265" i="25"/>
  <c r="I265" i="25"/>
  <c r="H265" i="25"/>
  <c r="G265" i="25"/>
  <c r="F265" i="25"/>
  <c r="E265" i="25"/>
  <c r="D265" i="25"/>
  <c r="C265" i="25"/>
  <c r="B265" i="25"/>
  <c r="A265" i="25"/>
  <c r="AF264" i="25"/>
  <c r="AE264" i="25"/>
  <c r="AD264" i="25"/>
  <c r="AC264" i="25"/>
  <c r="AB264" i="25"/>
  <c r="AA264" i="25"/>
  <c r="Z264" i="25"/>
  <c r="Y264" i="25"/>
  <c r="X264" i="25"/>
  <c r="W264" i="25"/>
  <c r="V264" i="25"/>
  <c r="U264" i="25"/>
  <c r="T264" i="25"/>
  <c r="S264" i="25"/>
  <c r="R264" i="25"/>
  <c r="Q264" i="25"/>
  <c r="P264" i="25"/>
  <c r="O264" i="25"/>
  <c r="N264" i="25"/>
  <c r="M264" i="25"/>
  <c r="L264" i="25"/>
  <c r="K264" i="25"/>
  <c r="J264" i="25"/>
  <c r="I264" i="25"/>
  <c r="H264" i="25"/>
  <c r="G264" i="25"/>
  <c r="F264" i="25"/>
  <c r="E264" i="25"/>
  <c r="D264" i="25"/>
  <c r="C264" i="25"/>
  <c r="B264" i="25"/>
  <c r="A264" i="25"/>
  <c r="AE263" i="25"/>
  <c r="AD263" i="25"/>
  <c r="AC263" i="25"/>
  <c r="AB263" i="25"/>
  <c r="AA263" i="25"/>
  <c r="Z263" i="25"/>
  <c r="Y263" i="25"/>
  <c r="X263" i="25"/>
  <c r="W263" i="25"/>
  <c r="V263" i="25"/>
  <c r="U263" i="25"/>
  <c r="T263" i="25"/>
  <c r="S263" i="25"/>
  <c r="R263" i="25"/>
  <c r="Q263" i="25"/>
  <c r="P263" i="25"/>
  <c r="B263" i="25"/>
  <c r="S238" i="25"/>
  <c r="AG228" i="25"/>
  <c r="AG61" i="25" s="1"/>
  <c r="AG62" i="25" s="1"/>
  <c r="AG3" i="25" s="1"/>
  <c r="AF228" i="25"/>
  <c r="AE228" i="25"/>
  <c r="AD228" i="25"/>
  <c r="AC228" i="25"/>
  <c r="AB228" i="25"/>
  <c r="AA228" i="25"/>
  <c r="Z228" i="25"/>
  <c r="Y228" i="25"/>
  <c r="X228" i="25"/>
  <c r="W228" i="25"/>
  <c r="V228" i="25"/>
  <c r="U228" i="25"/>
  <c r="T228" i="25"/>
  <c r="S228" i="25"/>
  <c r="R228" i="25"/>
  <c r="Q228" i="25"/>
  <c r="C228" i="25"/>
  <c r="D227" i="25"/>
  <c r="E227" i="25" s="1"/>
  <c r="B227" i="25"/>
  <c r="AF263" i="25" s="1"/>
  <c r="D226" i="25"/>
  <c r="E226" i="25" s="1"/>
  <c r="F226" i="25" s="1"/>
  <c r="G226" i="25" s="1"/>
  <c r="H226" i="25" s="1"/>
  <c r="I226" i="25" s="1"/>
  <c r="J226" i="25" s="1"/>
  <c r="K226" i="25" s="1"/>
  <c r="L226" i="25" s="1"/>
  <c r="M226" i="25" s="1"/>
  <c r="N226" i="25" s="1"/>
  <c r="O226" i="25" s="1"/>
  <c r="P226" i="25" s="1"/>
  <c r="B226" i="25"/>
  <c r="D225" i="25"/>
  <c r="E225" i="25" s="1"/>
  <c r="F225" i="25" s="1"/>
  <c r="G225" i="25" s="1"/>
  <c r="H225" i="25" s="1"/>
  <c r="I225" i="25" s="1"/>
  <c r="J225" i="25" s="1"/>
  <c r="K225" i="25" s="1"/>
  <c r="L225" i="25" s="1"/>
  <c r="M225" i="25" s="1"/>
  <c r="N225" i="25" s="1"/>
  <c r="O225" i="25" s="1"/>
  <c r="P225" i="25" s="1"/>
  <c r="B225" i="25"/>
  <c r="D224" i="25"/>
  <c r="E224" i="25" s="1"/>
  <c r="F224" i="25" s="1"/>
  <c r="G224" i="25" s="1"/>
  <c r="H224" i="25" s="1"/>
  <c r="I224" i="25" s="1"/>
  <c r="J224" i="25" s="1"/>
  <c r="K224" i="25" s="1"/>
  <c r="L224" i="25" s="1"/>
  <c r="M224" i="25" s="1"/>
  <c r="N224" i="25" s="1"/>
  <c r="O224" i="25" s="1"/>
  <c r="P224" i="25" s="1"/>
  <c r="B224" i="25"/>
  <c r="D223" i="25"/>
  <c r="E223" i="25" s="1"/>
  <c r="F223" i="25" s="1"/>
  <c r="G223" i="25" s="1"/>
  <c r="H223" i="25" s="1"/>
  <c r="I223" i="25" s="1"/>
  <c r="J223" i="25" s="1"/>
  <c r="K223" i="25" s="1"/>
  <c r="L223" i="25" s="1"/>
  <c r="M223" i="25" s="1"/>
  <c r="N223" i="25" s="1"/>
  <c r="O223" i="25" s="1"/>
  <c r="P223" i="25" s="1"/>
  <c r="B223" i="25"/>
  <c r="D222" i="25"/>
  <c r="E222" i="25" s="1"/>
  <c r="B222" i="25"/>
  <c r="AG220" i="25"/>
  <c r="AF220" i="25"/>
  <c r="AE220" i="25"/>
  <c r="AD220" i="25"/>
  <c r="AC220" i="25"/>
  <c r="AB220" i="25"/>
  <c r="AA220" i="25"/>
  <c r="Z220" i="25"/>
  <c r="Y220" i="25"/>
  <c r="X220" i="25"/>
  <c r="W220" i="25"/>
  <c r="V220" i="25"/>
  <c r="U220" i="25"/>
  <c r="T220" i="25"/>
  <c r="S220" i="25"/>
  <c r="R220" i="25"/>
  <c r="Q220" i="25"/>
  <c r="P220" i="25"/>
  <c r="O220" i="25"/>
  <c r="N220" i="25"/>
  <c r="M220" i="25"/>
  <c r="L220" i="25"/>
  <c r="K220" i="25"/>
  <c r="J220" i="25"/>
  <c r="I220" i="25"/>
  <c r="H220" i="25"/>
  <c r="G220" i="25"/>
  <c r="F220" i="25"/>
  <c r="E220" i="25"/>
  <c r="D220" i="25"/>
  <c r="C220" i="25"/>
  <c r="B220" i="25"/>
  <c r="AI113" i="25"/>
  <c r="AH113" i="25"/>
  <c r="AI112" i="25"/>
  <c r="AH112" i="25"/>
  <c r="AI111" i="25"/>
  <c r="AH111" i="25"/>
  <c r="AI110" i="25"/>
  <c r="AH110" i="25"/>
  <c r="AI109" i="25"/>
  <c r="AH109" i="25"/>
  <c r="AI108" i="25"/>
  <c r="AH108" i="25"/>
  <c r="AI106" i="25"/>
  <c r="AH106" i="25"/>
  <c r="AI105" i="25"/>
  <c r="AH105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C104" i="25"/>
  <c r="AI103" i="25"/>
  <c r="AH103" i="25"/>
  <c r="AI102" i="25"/>
  <c r="AH102" i="25"/>
  <c r="AI101" i="25"/>
  <c r="AH101" i="25"/>
  <c r="AI100" i="25"/>
  <c r="AH100" i="25"/>
  <c r="AI99" i="25"/>
  <c r="AH99" i="25"/>
  <c r="AI98" i="25"/>
  <c r="AH98" i="25"/>
  <c r="AI97" i="25"/>
  <c r="AH97" i="25"/>
  <c r="AI96" i="25"/>
  <c r="AH96" i="25"/>
  <c r="AI95" i="25"/>
  <c r="AH95" i="25"/>
  <c r="AI92" i="25"/>
  <c r="AH92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B91" i="25"/>
  <c r="AF90" i="25"/>
  <c r="AE90" i="25"/>
  <c r="AD90" i="25"/>
  <c r="AC90" i="25"/>
  <c r="AB90" i="25"/>
  <c r="AA90" i="25"/>
  <c r="Z90" i="25"/>
  <c r="Y90" i="25"/>
  <c r="X90" i="25"/>
  <c r="W90" i="25"/>
  <c r="V90" i="25"/>
  <c r="U90" i="25"/>
  <c r="T90" i="25"/>
  <c r="S90" i="25"/>
  <c r="R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B90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N87" i="25"/>
  <c r="M87" i="25"/>
  <c r="M93" i="25" s="1"/>
  <c r="L87" i="25"/>
  <c r="K87" i="25"/>
  <c r="J87" i="25"/>
  <c r="I87" i="25"/>
  <c r="H87" i="25"/>
  <c r="G87" i="25"/>
  <c r="F87" i="25"/>
  <c r="E87" i="25"/>
  <c r="D87" i="25"/>
  <c r="C87" i="25"/>
  <c r="B87" i="25"/>
  <c r="AI84" i="25"/>
  <c r="AH84" i="25"/>
  <c r="AI82" i="25"/>
  <c r="AH82" i="25"/>
  <c r="AG82" i="25"/>
  <c r="AI81" i="25"/>
  <c r="AH81" i="25"/>
  <c r="AI80" i="25"/>
  <c r="AH80" i="25"/>
  <c r="AI79" i="25"/>
  <c r="AH79" i="25"/>
  <c r="AG78" i="25"/>
  <c r="AF78" i="25"/>
  <c r="AE5" i="25" s="1"/>
  <c r="AE78" i="25"/>
  <c r="AD78" i="25"/>
  <c r="AC5" i="25" s="1"/>
  <c r="AC78" i="25"/>
  <c r="AB78" i="25"/>
  <c r="AA78" i="25"/>
  <c r="Z5" i="25" s="1"/>
  <c r="Z78" i="25"/>
  <c r="Y5" i="25" s="1"/>
  <c r="Y78" i="25"/>
  <c r="X5" i="25" s="1"/>
  <c r="X78" i="25"/>
  <c r="W78" i="25"/>
  <c r="V78" i="25"/>
  <c r="U78" i="25"/>
  <c r="T78" i="25"/>
  <c r="S78" i="25"/>
  <c r="R5" i="25" s="1"/>
  <c r="R78" i="25"/>
  <c r="Q5" i="25" s="1"/>
  <c r="N78" i="25"/>
  <c r="M78" i="25"/>
  <c r="M94" i="25" s="1"/>
  <c r="L78" i="25"/>
  <c r="K5" i="25" s="1"/>
  <c r="K78" i="25"/>
  <c r="J5" i="25" s="1"/>
  <c r="J78" i="25"/>
  <c r="I5" i="25" s="1"/>
  <c r="I78" i="25"/>
  <c r="H5" i="25" s="1"/>
  <c r="H78" i="25"/>
  <c r="G5" i="25" s="1"/>
  <c r="G78" i="25"/>
  <c r="F78" i="25"/>
  <c r="E5" i="25" s="1"/>
  <c r="E78" i="25"/>
  <c r="D5" i="25" s="1"/>
  <c r="D78" i="25"/>
  <c r="C5" i="25" s="1"/>
  <c r="C78" i="25"/>
  <c r="B5" i="25" s="1"/>
  <c r="B78" i="25"/>
  <c r="AF5" i="25" s="1"/>
  <c r="AI77" i="25"/>
  <c r="AH77" i="25"/>
  <c r="AI76" i="25"/>
  <c r="AH76" i="25"/>
  <c r="AI75" i="25"/>
  <c r="AH75" i="25"/>
  <c r="AI74" i="25"/>
  <c r="AH74" i="25"/>
  <c r="AI73" i="25"/>
  <c r="AH73" i="25"/>
  <c r="AI72" i="25"/>
  <c r="AH72" i="25"/>
  <c r="AI71" i="25"/>
  <c r="AH71" i="25"/>
  <c r="AI70" i="25"/>
  <c r="AH70" i="25"/>
  <c r="AI69" i="25"/>
  <c r="AH69" i="25"/>
  <c r="AI68" i="25"/>
  <c r="AH68" i="25"/>
  <c r="AI67" i="25"/>
  <c r="AH67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AI65" i="25"/>
  <c r="AH65" i="25"/>
  <c r="AI64" i="25"/>
  <c r="AH64" i="25"/>
  <c r="AI63" i="25"/>
  <c r="AH63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AI61" i="25"/>
  <c r="AH61" i="25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AI47" i="25"/>
  <c r="AH47" i="25"/>
  <c r="AI46" i="25"/>
  <c r="AH46" i="25"/>
  <c r="AI45" i="25"/>
  <c r="AH45" i="25"/>
  <c r="AG44" i="25"/>
  <c r="AG2" i="25" s="1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N44" i="25"/>
  <c r="L44" i="25"/>
  <c r="K44" i="25"/>
  <c r="J44" i="25"/>
  <c r="I44" i="25"/>
  <c r="H44" i="25"/>
  <c r="G44" i="25"/>
  <c r="F44" i="25"/>
  <c r="E44" i="25"/>
  <c r="D44" i="25"/>
  <c r="C44" i="25"/>
  <c r="B44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V5" i="25"/>
  <c r="N5" i="25"/>
  <c r="M5" i="25"/>
  <c r="AG4" i="25"/>
  <c r="K4" i="25"/>
  <c r="B4" i="25"/>
  <c r="S239" i="25" s="1"/>
  <c r="AF43" i="24"/>
  <c r="AE43" i="24"/>
  <c r="AD43" i="24"/>
  <c r="AC43" i="24"/>
  <c r="AB78" i="24"/>
  <c r="AC78" i="24"/>
  <c r="AD78" i="24"/>
  <c r="AC5" i="24" s="1"/>
  <c r="AB66" i="24"/>
  <c r="AB48" i="24"/>
  <c r="AC48" i="24"/>
  <c r="AD48" i="24"/>
  <c r="AE48" i="24"/>
  <c r="AF48" i="24"/>
  <c r="AG48" i="24"/>
  <c r="AB44" i="24"/>
  <c r="AC44" i="24"/>
  <c r="AD44" i="24"/>
  <c r="AA107" i="24"/>
  <c r="Z107" i="24"/>
  <c r="Z43" i="24"/>
  <c r="Y107" i="24"/>
  <c r="Y43" i="24"/>
  <c r="W107" i="24"/>
  <c r="W104" i="24" s="1"/>
  <c r="W43" i="24"/>
  <c r="V107" i="24"/>
  <c r="V43" i="24"/>
  <c r="U107" i="24"/>
  <c r="U43" i="24"/>
  <c r="T43" i="24"/>
  <c r="T107" i="24"/>
  <c r="S107" i="24"/>
  <c r="S104" i="24" s="1"/>
  <c r="S43" i="24"/>
  <c r="R43" i="24"/>
  <c r="Q107" i="24"/>
  <c r="Q43" i="24"/>
  <c r="P43" i="24"/>
  <c r="O43" i="24"/>
  <c r="N43" i="24"/>
  <c r="M43" i="24"/>
  <c r="L43" i="24"/>
  <c r="J43" i="24"/>
  <c r="I43" i="24"/>
  <c r="H43" i="24"/>
  <c r="G43" i="24"/>
  <c r="AI43" i="24" s="1"/>
  <c r="F43" i="24"/>
  <c r="E43" i="24"/>
  <c r="D44" i="24"/>
  <c r="AF267" i="24"/>
  <c r="AE267" i="24"/>
  <c r="AD267" i="24"/>
  <c r="AC267" i="24"/>
  <c r="AB267" i="24"/>
  <c r="AA267" i="24"/>
  <c r="Z267" i="24"/>
  <c r="Y267" i="24"/>
  <c r="X267" i="24"/>
  <c r="W267" i="24"/>
  <c r="V267" i="24"/>
  <c r="U267" i="24"/>
  <c r="T267" i="24"/>
  <c r="S267" i="24"/>
  <c r="R267" i="24"/>
  <c r="Q267" i="24"/>
  <c r="P267" i="24"/>
  <c r="O267" i="24"/>
  <c r="N267" i="24"/>
  <c r="M267" i="24"/>
  <c r="L267" i="24"/>
  <c r="K267" i="24"/>
  <c r="J267" i="24"/>
  <c r="I267" i="24"/>
  <c r="H267" i="24"/>
  <c r="G267" i="24"/>
  <c r="F267" i="24"/>
  <c r="E267" i="24"/>
  <c r="D267" i="24"/>
  <c r="C267" i="24"/>
  <c r="B267" i="24"/>
  <c r="A267" i="24"/>
  <c r="AF266" i="24"/>
  <c r="AE266" i="24"/>
  <c r="AD266" i="24"/>
  <c r="AC266" i="24"/>
  <c r="AB266" i="24"/>
  <c r="AA266" i="24"/>
  <c r="Z266" i="24"/>
  <c r="Y266" i="24"/>
  <c r="X266" i="24"/>
  <c r="W266" i="24"/>
  <c r="V266" i="24"/>
  <c r="U266" i="24"/>
  <c r="T266" i="24"/>
  <c r="S266" i="24"/>
  <c r="R266" i="24"/>
  <c r="Q266" i="24"/>
  <c r="P266" i="24"/>
  <c r="O266" i="24"/>
  <c r="N266" i="24"/>
  <c r="M266" i="24"/>
  <c r="L266" i="24"/>
  <c r="K266" i="24"/>
  <c r="J266" i="24"/>
  <c r="I266" i="24"/>
  <c r="H266" i="24"/>
  <c r="G266" i="24"/>
  <c r="F266" i="24"/>
  <c r="E266" i="24"/>
  <c r="D266" i="24"/>
  <c r="C266" i="24"/>
  <c r="B266" i="24"/>
  <c r="A266" i="24"/>
  <c r="AF265" i="24"/>
  <c r="AE265" i="24"/>
  <c r="AD265" i="24"/>
  <c r="AC265" i="24"/>
  <c r="AB265" i="24"/>
  <c r="AA265" i="24"/>
  <c r="Z265" i="24"/>
  <c r="Y265" i="24"/>
  <c r="X265" i="24"/>
  <c r="W265" i="24"/>
  <c r="V265" i="24"/>
  <c r="U265" i="24"/>
  <c r="T265" i="24"/>
  <c r="S265" i="24"/>
  <c r="R265" i="24"/>
  <c r="Q265" i="24"/>
  <c r="P265" i="24"/>
  <c r="O265" i="24"/>
  <c r="N265" i="24"/>
  <c r="M265" i="24"/>
  <c r="L265" i="24"/>
  <c r="K265" i="24"/>
  <c r="J265" i="24"/>
  <c r="I265" i="24"/>
  <c r="H265" i="24"/>
  <c r="G265" i="24"/>
  <c r="F265" i="24"/>
  <c r="E265" i="24"/>
  <c r="D265" i="24"/>
  <c r="C265" i="24"/>
  <c r="B265" i="24"/>
  <c r="A265" i="24"/>
  <c r="AF264" i="24"/>
  <c r="AE264" i="24"/>
  <c r="AD264" i="24"/>
  <c r="AC264" i="24"/>
  <c r="AB264" i="24"/>
  <c r="AA264" i="24"/>
  <c r="Z264" i="24"/>
  <c r="Y264" i="24"/>
  <c r="X264" i="24"/>
  <c r="W264" i="24"/>
  <c r="V264" i="24"/>
  <c r="U264" i="24"/>
  <c r="T264" i="24"/>
  <c r="S264" i="24"/>
  <c r="R264" i="24"/>
  <c r="Q264" i="24"/>
  <c r="P264" i="24"/>
  <c r="O264" i="24"/>
  <c r="N264" i="24"/>
  <c r="M264" i="24"/>
  <c r="L264" i="24"/>
  <c r="K264" i="24"/>
  <c r="J264" i="24"/>
  <c r="I264" i="24"/>
  <c r="H264" i="24"/>
  <c r="G264" i="24"/>
  <c r="F264" i="24"/>
  <c r="E264" i="24"/>
  <c r="D264" i="24"/>
  <c r="C264" i="24"/>
  <c r="B264" i="24"/>
  <c r="A264" i="24"/>
  <c r="AE263" i="24"/>
  <c r="AD263" i="24"/>
  <c r="AC263" i="24"/>
  <c r="AB263" i="24"/>
  <c r="AA263" i="24"/>
  <c r="Z263" i="24"/>
  <c r="Y263" i="24"/>
  <c r="X263" i="24"/>
  <c r="W263" i="24"/>
  <c r="V263" i="24"/>
  <c r="U263" i="24"/>
  <c r="T263" i="24"/>
  <c r="S263" i="24"/>
  <c r="R263" i="24"/>
  <c r="Q263" i="24"/>
  <c r="P263" i="24"/>
  <c r="B263" i="24"/>
  <c r="S238" i="24"/>
  <c r="AG228" i="24"/>
  <c r="AF228" i="24"/>
  <c r="AE228" i="24"/>
  <c r="AD228" i="24"/>
  <c r="AC228" i="24"/>
  <c r="AB228" i="24"/>
  <c r="AA228" i="24"/>
  <c r="Z228" i="24"/>
  <c r="Y228" i="24"/>
  <c r="X228" i="24"/>
  <c r="W228" i="24"/>
  <c r="V228" i="24"/>
  <c r="U228" i="24"/>
  <c r="T228" i="24"/>
  <c r="S228" i="24"/>
  <c r="R228" i="24"/>
  <c r="Q228" i="24"/>
  <c r="C228" i="24"/>
  <c r="D227" i="24"/>
  <c r="E227" i="24" s="1"/>
  <c r="B227" i="24"/>
  <c r="AF263" i="24" s="1"/>
  <c r="D226" i="24"/>
  <c r="E226" i="24" s="1"/>
  <c r="F226" i="24" s="1"/>
  <c r="G226" i="24" s="1"/>
  <c r="H226" i="24" s="1"/>
  <c r="I226" i="24" s="1"/>
  <c r="J226" i="24" s="1"/>
  <c r="K226" i="24" s="1"/>
  <c r="L226" i="24" s="1"/>
  <c r="M226" i="24" s="1"/>
  <c r="N226" i="24" s="1"/>
  <c r="O226" i="24" s="1"/>
  <c r="P226" i="24" s="1"/>
  <c r="B226" i="24"/>
  <c r="D225" i="24"/>
  <c r="E225" i="24" s="1"/>
  <c r="F225" i="24" s="1"/>
  <c r="G225" i="24" s="1"/>
  <c r="H225" i="24" s="1"/>
  <c r="I225" i="24" s="1"/>
  <c r="J225" i="24" s="1"/>
  <c r="K225" i="24" s="1"/>
  <c r="L225" i="24" s="1"/>
  <c r="M225" i="24" s="1"/>
  <c r="N225" i="24" s="1"/>
  <c r="O225" i="24" s="1"/>
  <c r="P225" i="24" s="1"/>
  <c r="B225" i="24"/>
  <c r="D224" i="24"/>
  <c r="E224" i="24" s="1"/>
  <c r="F224" i="24" s="1"/>
  <c r="G224" i="24" s="1"/>
  <c r="H224" i="24" s="1"/>
  <c r="I224" i="24" s="1"/>
  <c r="J224" i="24" s="1"/>
  <c r="K224" i="24" s="1"/>
  <c r="L224" i="24" s="1"/>
  <c r="M224" i="24" s="1"/>
  <c r="N224" i="24" s="1"/>
  <c r="O224" i="24" s="1"/>
  <c r="P224" i="24" s="1"/>
  <c r="B224" i="24"/>
  <c r="D223" i="24"/>
  <c r="E223" i="24" s="1"/>
  <c r="F223" i="24" s="1"/>
  <c r="G223" i="24" s="1"/>
  <c r="H223" i="24" s="1"/>
  <c r="I223" i="24" s="1"/>
  <c r="J223" i="24" s="1"/>
  <c r="K223" i="24" s="1"/>
  <c r="L223" i="24" s="1"/>
  <c r="M223" i="24" s="1"/>
  <c r="N223" i="24" s="1"/>
  <c r="O223" i="24" s="1"/>
  <c r="P223" i="24" s="1"/>
  <c r="B223" i="24"/>
  <c r="B228" i="24" s="1"/>
  <c r="D222" i="24"/>
  <c r="B222" i="24"/>
  <c r="AG220" i="24"/>
  <c r="AF220" i="24"/>
  <c r="AE220" i="24"/>
  <c r="AD220" i="24"/>
  <c r="AC220" i="24"/>
  <c r="AB220" i="24"/>
  <c r="AA220" i="24"/>
  <c r="Z220" i="24"/>
  <c r="Y220" i="24"/>
  <c r="X220" i="24"/>
  <c r="W220" i="24"/>
  <c r="V220" i="24"/>
  <c r="U220" i="24"/>
  <c r="T220" i="24"/>
  <c r="S220" i="24"/>
  <c r="R220" i="24"/>
  <c r="Q220" i="24"/>
  <c r="P220" i="24"/>
  <c r="O220" i="24"/>
  <c r="N220" i="24"/>
  <c r="M220" i="24"/>
  <c r="L220" i="24"/>
  <c r="K220" i="24"/>
  <c r="J220" i="24"/>
  <c r="I220" i="24"/>
  <c r="H220" i="24"/>
  <c r="G220" i="24"/>
  <c r="F220" i="24"/>
  <c r="E220" i="24"/>
  <c r="D220" i="24"/>
  <c r="C220" i="24"/>
  <c r="B220" i="24"/>
  <c r="AI113" i="24"/>
  <c r="AH113" i="24"/>
  <c r="AI112" i="24"/>
  <c r="AH112" i="24"/>
  <c r="AI111" i="24"/>
  <c r="AH111" i="24"/>
  <c r="AI110" i="24"/>
  <c r="AH110" i="24"/>
  <c r="AI109" i="24"/>
  <c r="AH109" i="24"/>
  <c r="AI108" i="24"/>
  <c r="AH108" i="24"/>
  <c r="AH107" i="24"/>
  <c r="AI106" i="24"/>
  <c r="AH106" i="24"/>
  <c r="AI105" i="24"/>
  <c r="AH105" i="24"/>
  <c r="AF104" i="24"/>
  <c r="AE104" i="24"/>
  <c r="AD104" i="24"/>
  <c r="AC104" i="24"/>
  <c r="AB104" i="24"/>
  <c r="AA104" i="24"/>
  <c r="Z104" i="24"/>
  <c r="Y104" i="24"/>
  <c r="V104" i="24"/>
  <c r="U104" i="24"/>
  <c r="T104" i="24"/>
  <c r="R104" i="24"/>
  <c r="Q104" i="24"/>
  <c r="C104" i="24"/>
  <c r="B104" i="24"/>
  <c r="AI103" i="24"/>
  <c r="AH103" i="24"/>
  <c r="AI102" i="24"/>
  <c r="AH102" i="24"/>
  <c r="AI101" i="24"/>
  <c r="AH101" i="24"/>
  <c r="AI100" i="24"/>
  <c r="AH100" i="24"/>
  <c r="AI99" i="24"/>
  <c r="AH99" i="24"/>
  <c r="AI98" i="24"/>
  <c r="AH98" i="24"/>
  <c r="AI97" i="24"/>
  <c r="AH97" i="24"/>
  <c r="AI96" i="24"/>
  <c r="AH96" i="24"/>
  <c r="AI95" i="24"/>
  <c r="AH95" i="24"/>
  <c r="AI92" i="24"/>
  <c r="AH92" i="24"/>
  <c r="AF91" i="24"/>
  <c r="AE91" i="24"/>
  <c r="AD91" i="24"/>
  <c r="AC91" i="24"/>
  <c r="AB91" i="24"/>
  <c r="AA91" i="24"/>
  <c r="Z91" i="24"/>
  <c r="Y91" i="24"/>
  <c r="W91" i="24"/>
  <c r="V91" i="24"/>
  <c r="U91" i="24"/>
  <c r="T91" i="24"/>
  <c r="S91" i="24"/>
  <c r="R91" i="24"/>
  <c r="Q91" i="24"/>
  <c r="P91" i="24"/>
  <c r="O91" i="24"/>
  <c r="N91" i="24"/>
  <c r="M91" i="24"/>
  <c r="L91" i="24"/>
  <c r="K91" i="24"/>
  <c r="J91" i="24"/>
  <c r="I91" i="24"/>
  <c r="H91" i="24"/>
  <c r="G91" i="24"/>
  <c r="F91" i="24"/>
  <c r="E91" i="24"/>
  <c r="D91" i="24"/>
  <c r="C91" i="24"/>
  <c r="B91" i="24"/>
  <c r="AF90" i="24"/>
  <c r="AE90" i="24"/>
  <c r="AD90" i="24"/>
  <c r="AC90" i="24"/>
  <c r="AB90" i="24"/>
  <c r="AA90" i="24"/>
  <c r="Z90" i="24"/>
  <c r="Y90" i="24"/>
  <c r="W90" i="24"/>
  <c r="V90" i="24"/>
  <c r="U90" i="24"/>
  <c r="T90" i="24"/>
  <c r="S90" i="24"/>
  <c r="R90" i="24"/>
  <c r="Q90" i="24"/>
  <c r="P90" i="24"/>
  <c r="O90" i="24"/>
  <c r="N90" i="24"/>
  <c r="M90" i="24"/>
  <c r="L90" i="24"/>
  <c r="K90" i="24"/>
  <c r="J90" i="24"/>
  <c r="J93" i="24" s="1"/>
  <c r="I90" i="24"/>
  <c r="H90" i="24"/>
  <c r="G90" i="24"/>
  <c r="F90" i="24"/>
  <c r="E90" i="24"/>
  <c r="D90" i="24"/>
  <c r="C90" i="24"/>
  <c r="B90" i="24"/>
  <c r="AF89" i="24"/>
  <c r="AE89" i="24"/>
  <c r="AD89" i="24"/>
  <c r="AC89" i="24"/>
  <c r="AB89" i="24"/>
  <c r="AA89" i="24"/>
  <c r="Z89" i="24"/>
  <c r="Y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AF88" i="24"/>
  <c r="AE88" i="24"/>
  <c r="AD88" i="24"/>
  <c r="AC88" i="24"/>
  <c r="AB88" i="24"/>
  <c r="AA88" i="24"/>
  <c r="Z88" i="24"/>
  <c r="Y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AF87" i="24"/>
  <c r="AE87" i="24"/>
  <c r="AD87" i="24"/>
  <c r="AC87" i="24"/>
  <c r="AB87" i="24"/>
  <c r="AA87" i="24"/>
  <c r="Z87" i="24"/>
  <c r="Y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AI84" i="24"/>
  <c r="AH84" i="24"/>
  <c r="AI82" i="24"/>
  <c r="AH82" i="24"/>
  <c r="AG82" i="24"/>
  <c r="AI81" i="24"/>
  <c r="AH81" i="24"/>
  <c r="AI80" i="24"/>
  <c r="AH80" i="24"/>
  <c r="AI79" i="24"/>
  <c r="AH79" i="24"/>
  <c r="AG78" i="24"/>
  <c r="AF78" i="24"/>
  <c r="AE5" i="24" s="1"/>
  <c r="AE78" i="24"/>
  <c r="AD5" i="24" s="1"/>
  <c r="AA5" i="24"/>
  <c r="AA78" i="24"/>
  <c r="Z78" i="24"/>
  <c r="Y5" i="24" s="1"/>
  <c r="Y78" i="24"/>
  <c r="W78" i="24"/>
  <c r="V78" i="24"/>
  <c r="U5" i="24" s="1"/>
  <c r="U78" i="24"/>
  <c r="T5" i="24" s="1"/>
  <c r="T78" i="24"/>
  <c r="S5" i="24" s="1"/>
  <c r="S78" i="24"/>
  <c r="R78" i="24"/>
  <c r="Q5" i="24" s="1"/>
  <c r="Q78" i="24"/>
  <c r="P5" i="24" s="1"/>
  <c r="P78" i="24"/>
  <c r="O78" i="24"/>
  <c r="N5" i="24" s="1"/>
  <c r="N78" i="24"/>
  <c r="M5" i="24" s="1"/>
  <c r="M78" i="24"/>
  <c r="L5" i="24" s="1"/>
  <c r="L78" i="24"/>
  <c r="K5" i="24" s="1"/>
  <c r="K78" i="24"/>
  <c r="J78" i="24"/>
  <c r="I5" i="24" s="1"/>
  <c r="I78" i="24"/>
  <c r="H5" i="24" s="1"/>
  <c r="H78" i="24"/>
  <c r="G5" i="24" s="1"/>
  <c r="G78" i="24"/>
  <c r="F5" i="24" s="1"/>
  <c r="F78" i="24"/>
  <c r="E5" i="24" s="1"/>
  <c r="E78" i="24"/>
  <c r="D5" i="24" s="1"/>
  <c r="D78" i="24"/>
  <c r="C5" i="24" s="1"/>
  <c r="C78" i="24"/>
  <c r="B78" i="24"/>
  <c r="AF5" i="24" s="1"/>
  <c r="AI77" i="24"/>
  <c r="AH77" i="24"/>
  <c r="AI76" i="24"/>
  <c r="AH76" i="24"/>
  <c r="AI75" i="24"/>
  <c r="AH75" i="24"/>
  <c r="AI74" i="24"/>
  <c r="AH74" i="24"/>
  <c r="AI73" i="24"/>
  <c r="AH73" i="24"/>
  <c r="AI72" i="24"/>
  <c r="AH72" i="24"/>
  <c r="AI71" i="24"/>
  <c r="AH71" i="24"/>
  <c r="AI70" i="24"/>
  <c r="AH70" i="24"/>
  <c r="AI69" i="24"/>
  <c r="AH69" i="24"/>
  <c r="AI68" i="24"/>
  <c r="AH68" i="24"/>
  <c r="AI67" i="24"/>
  <c r="AH67" i="24"/>
  <c r="AG66" i="24"/>
  <c r="AF66" i="24"/>
  <c r="AE66" i="24"/>
  <c r="AD66" i="24"/>
  <c r="AC66" i="24"/>
  <c r="AA66" i="24"/>
  <c r="Z66" i="24"/>
  <c r="Y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AI65" i="24"/>
  <c r="AH65" i="24"/>
  <c r="AI64" i="24"/>
  <c r="AH64" i="24"/>
  <c r="AI63" i="24"/>
  <c r="AH63" i="24"/>
  <c r="AF62" i="24"/>
  <c r="AE62" i="24"/>
  <c r="AD62" i="24"/>
  <c r="AC62" i="24"/>
  <c r="AB62" i="24"/>
  <c r="AA62" i="24"/>
  <c r="Z62" i="24"/>
  <c r="Y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AI61" i="24"/>
  <c r="AH61" i="24"/>
  <c r="AG61" i="24"/>
  <c r="AG62" i="24" s="1"/>
  <c r="AG3" i="24" s="1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A48" i="24"/>
  <c r="Z48" i="24"/>
  <c r="Y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B48" i="24"/>
  <c r="AI47" i="24"/>
  <c r="AH47" i="24"/>
  <c r="AI46" i="24"/>
  <c r="AH46" i="24"/>
  <c r="AI45" i="24"/>
  <c r="AH45" i="24"/>
  <c r="AG44" i="24"/>
  <c r="AF44" i="24"/>
  <c r="AE44" i="24"/>
  <c r="AD83" i="24"/>
  <c r="AD85" i="24" s="1"/>
  <c r="AA44" i="24"/>
  <c r="Z44" i="24"/>
  <c r="Y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C44" i="24"/>
  <c r="B44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B5" i="24"/>
  <c r="X5" i="24"/>
  <c r="W5" i="24"/>
  <c r="AG4" i="24"/>
  <c r="K4" i="24"/>
  <c r="B4" i="24"/>
  <c r="S239" i="24" s="1"/>
  <c r="AG2" i="24"/>
  <c r="AG6" i="24" s="1"/>
  <c r="AB44" i="23"/>
  <c r="AK50" i="23"/>
  <c r="AK49" i="23"/>
  <c r="AA107" i="23"/>
  <c r="AA43" i="23"/>
  <c r="Z107" i="23"/>
  <c r="Z43" i="23"/>
  <c r="Y107" i="23"/>
  <c r="Y43" i="23"/>
  <c r="W107" i="23"/>
  <c r="W104" i="23" s="1"/>
  <c r="W43" i="23"/>
  <c r="W44" i="23"/>
  <c r="W48" i="23"/>
  <c r="V43" i="23"/>
  <c r="V107" i="23"/>
  <c r="U43" i="23"/>
  <c r="T43" i="23"/>
  <c r="S43" i="23"/>
  <c r="S107" i="23"/>
  <c r="N107" i="23"/>
  <c r="N43" i="23"/>
  <c r="L107" i="23"/>
  <c r="L43" i="23"/>
  <c r="K107" i="23"/>
  <c r="K43" i="23"/>
  <c r="J107" i="23"/>
  <c r="J43" i="23"/>
  <c r="I107" i="23"/>
  <c r="I43" i="23"/>
  <c r="H107" i="23"/>
  <c r="H43" i="23"/>
  <c r="G107" i="23"/>
  <c r="G43" i="23"/>
  <c r="F107" i="23"/>
  <c r="F43" i="23"/>
  <c r="E107" i="23"/>
  <c r="E43" i="23"/>
  <c r="D107" i="23"/>
  <c r="D43" i="23"/>
  <c r="AH43" i="23" s="1"/>
  <c r="C107" i="23"/>
  <c r="C43" i="23"/>
  <c r="B107" i="23"/>
  <c r="AI107" i="23" s="1"/>
  <c r="AF267" i="23"/>
  <c r="AE267" i="23"/>
  <c r="AD267" i="23"/>
  <c r="AC267" i="23"/>
  <c r="AB267" i="23"/>
  <c r="AA267" i="23"/>
  <c r="Z267" i="23"/>
  <c r="Y267" i="23"/>
  <c r="X267" i="23"/>
  <c r="W267" i="23"/>
  <c r="V267" i="23"/>
  <c r="U267" i="23"/>
  <c r="T267" i="23"/>
  <c r="S267" i="23"/>
  <c r="R267" i="23"/>
  <c r="Q267" i="23"/>
  <c r="P267" i="23"/>
  <c r="O267" i="23"/>
  <c r="N267" i="23"/>
  <c r="M267" i="23"/>
  <c r="L267" i="23"/>
  <c r="K267" i="23"/>
  <c r="J267" i="23"/>
  <c r="I267" i="23"/>
  <c r="H267" i="23"/>
  <c r="G267" i="23"/>
  <c r="F267" i="23"/>
  <c r="E267" i="23"/>
  <c r="D267" i="23"/>
  <c r="C267" i="23"/>
  <c r="B267" i="23"/>
  <c r="A267" i="23"/>
  <c r="AF266" i="23"/>
  <c r="AE266" i="23"/>
  <c r="AD266" i="23"/>
  <c r="AC266" i="23"/>
  <c r="AB266" i="23"/>
  <c r="AA266" i="23"/>
  <c r="Z266" i="23"/>
  <c r="Y266" i="23"/>
  <c r="X266" i="23"/>
  <c r="W266" i="23"/>
  <c r="V266" i="23"/>
  <c r="U266" i="23"/>
  <c r="T266" i="23"/>
  <c r="S266" i="23"/>
  <c r="R266" i="23"/>
  <c r="Q266" i="23"/>
  <c r="P266" i="23"/>
  <c r="O266" i="23"/>
  <c r="N266" i="23"/>
  <c r="M266" i="23"/>
  <c r="L266" i="23"/>
  <c r="K266" i="23"/>
  <c r="J266" i="23"/>
  <c r="I266" i="23"/>
  <c r="H266" i="23"/>
  <c r="G266" i="23"/>
  <c r="F266" i="23"/>
  <c r="E266" i="23"/>
  <c r="D266" i="23"/>
  <c r="C266" i="23"/>
  <c r="B266" i="23"/>
  <c r="A266" i="23"/>
  <c r="AF265" i="23"/>
  <c r="AE265" i="23"/>
  <c r="AD265" i="23"/>
  <c r="AC265" i="23"/>
  <c r="AB265" i="23"/>
  <c r="AA265" i="23"/>
  <c r="Z265" i="23"/>
  <c r="Y265" i="23"/>
  <c r="X265" i="23"/>
  <c r="W265" i="23"/>
  <c r="V265" i="23"/>
  <c r="U265" i="23"/>
  <c r="T265" i="23"/>
  <c r="S265" i="23"/>
  <c r="R265" i="23"/>
  <c r="Q265" i="23"/>
  <c r="P265" i="23"/>
  <c r="O265" i="23"/>
  <c r="N265" i="23"/>
  <c r="M265" i="23"/>
  <c r="L265" i="23"/>
  <c r="K265" i="23"/>
  <c r="J265" i="23"/>
  <c r="I265" i="23"/>
  <c r="H265" i="23"/>
  <c r="G265" i="23"/>
  <c r="F265" i="23"/>
  <c r="E265" i="23"/>
  <c r="D265" i="23"/>
  <c r="C265" i="23"/>
  <c r="B265" i="23"/>
  <c r="A265" i="23"/>
  <c r="AF264" i="23"/>
  <c r="AE264" i="23"/>
  <c r="AD264" i="23"/>
  <c r="AC264" i="23"/>
  <c r="AB264" i="23"/>
  <c r="AA264" i="23"/>
  <c r="Z264" i="23"/>
  <c r="Y264" i="23"/>
  <c r="X264" i="23"/>
  <c r="W264" i="23"/>
  <c r="V264" i="23"/>
  <c r="U264" i="23"/>
  <c r="T264" i="23"/>
  <c r="S264" i="23"/>
  <c r="R264" i="23"/>
  <c r="Q264" i="23"/>
  <c r="P264" i="23"/>
  <c r="O264" i="23"/>
  <c r="N264" i="23"/>
  <c r="M264" i="23"/>
  <c r="L264" i="23"/>
  <c r="K264" i="23"/>
  <c r="J264" i="23"/>
  <c r="I264" i="23"/>
  <c r="H264" i="23"/>
  <c r="G264" i="23"/>
  <c r="F264" i="23"/>
  <c r="E264" i="23"/>
  <c r="D264" i="23"/>
  <c r="C264" i="23"/>
  <c r="B264" i="23"/>
  <c r="A264" i="23"/>
  <c r="AE263" i="23"/>
  <c r="AD263" i="23"/>
  <c r="AC263" i="23"/>
  <c r="AB263" i="23"/>
  <c r="AA263" i="23"/>
  <c r="Z263" i="23"/>
  <c r="Y263" i="23"/>
  <c r="X263" i="23"/>
  <c r="W263" i="23"/>
  <c r="V263" i="23"/>
  <c r="U263" i="23"/>
  <c r="T263" i="23"/>
  <c r="S263" i="23"/>
  <c r="R263" i="23"/>
  <c r="Q263" i="23"/>
  <c r="P263" i="23"/>
  <c r="B263" i="23"/>
  <c r="S238" i="23"/>
  <c r="AG228" i="23"/>
  <c r="AG61" i="23" s="1"/>
  <c r="AG62" i="23" s="1"/>
  <c r="AG3" i="23" s="1"/>
  <c r="AF228" i="23"/>
  <c r="AE228" i="23"/>
  <c r="AD228" i="23"/>
  <c r="AC228" i="23"/>
  <c r="AB228" i="23"/>
  <c r="AA228" i="23"/>
  <c r="Z228" i="23"/>
  <c r="Y228" i="23"/>
  <c r="X228" i="23"/>
  <c r="W228" i="23"/>
  <c r="V228" i="23"/>
  <c r="U228" i="23"/>
  <c r="T228" i="23"/>
  <c r="S228" i="23"/>
  <c r="R228" i="23"/>
  <c r="Q228" i="23"/>
  <c r="C228" i="23"/>
  <c r="D227" i="23"/>
  <c r="E227" i="23" s="1"/>
  <c r="D263" i="23" s="1"/>
  <c r="B227" i="23"/>
  <c r="AF263" i="23" s="1"/>
  <c r="D226" i="23"/>
  <c r="E226" i="23" s="1"/>
  <c r="F226" i="23" s="1"/>
  <c r="G226" i="23" s="1"/>
  <c r="H226" i="23" s="1"/>
  <c r="I226" i="23" s="1"/>
  <c r="J226" i="23" s="1"/>
  <c r="K226" i="23" s="1"/>
  <c r="L226" i="23" s="1"/>
  <c r="M226" i="23" s="1"/>
  <c r="N226" i="23" s="1"/>
  <c r="O226" i="23" s="1"/>
  <c r="P226" i="23" s="1"/>
  <c r="B226" i="23"/>
  <c r="D225" i="23"/>
  <c r="E225" i="23" s="1"/>
  <c r="F225" i="23" s="1"/>
  <c r="G225" i="23" s="1"/>
  <c r="H225" i="23" s="1"/>
  <c r="I225" i="23" s="1"/>
  <c r="J225" i="23" s="1"/>
  <c r="K225" i="23" s="1"/>
  <c r="L225" i="23" s="1"/>
  <c r="M225" i="23" s="1"/>
  <c r="N225" i="23" s="1"/>
  <c r="O225" i="23" s="1"/>
  <c r="P225" i="23" s="1"/>
  <c r="B225" i="23"/>
  <c r="D224" i="23"/>
  <c r="E224" i="23" s="1"/>
  <c r="F224" i="23" s="1"/>
  <c r="G224" i="23" s="1"/>
  <c r="H224" i="23" s="1"/>
  <c r="I224" i="23" s="1"/>
  <c r="J224" i="23" s="1"/>
  <c r="K224" i="23" s="1"/>
  <c r="L224" i="23" s="1"/>
  <c r="M224" i="23" s="1"/>
  <c r="N224" i="23" s="1"/>
  <c r="O224" i="23" s="1"/>
  <c r="P224" i="23" s="1"/>
  <c r="B224" i="23"/>
  <c r="D223" i="23"/>
  <c r="E223" i="23" s="1"/>
  <c r="F223" i="23" s="1"/>
  <c r="G223" i="23" s="1"/>
  <c r="H223" i="23" s="1"/>
  <c r="I223" i="23" s="1"/>
  <c r="J223" i="23" s="1"/>
  <c r="K223" i="23" s="1"/>
  <c r="L223" i="23" s="1"/>
  <c r="M223" i="23" s="1"/>
  <c r="N223" i="23" s="1"/>
  <c r="O223" i="23" s="1"/>
  <c r="P223" i="23" s="1"/>
  <c r="B223" i="23"/>
  <c r="D222" i="23"/>
  <c r="B222" i="23"/>
  <c r="AG220" i="23"/>
  <c r="AF220" i="23"/>
  <c r="AE220" i="23"/>
  <c r="AD220" i="23"/>
  <c r="AC220" i="23"/>
  <c r="AB220" i="23"/>
  <c r="AA220" i="23"/>
  <c r="Z220" i="23"/>
  <c r="Y220" i="23"/>
  <c r="X220" i="23"/>
  <c r="W220" i="23"/>
  <c r="V220" i="23"/>
  <c r="U220" i="23"/>
  <c r="T220" i="23"/>
  <c r="S220" i="23"/>
  <c r="R220" i="23"/>
  <c r="Q220" i="23"/>
  <c r="P220" i="23"/>
  <c r="O220" i="23"/>
  <c r="N220" i="23"/>
  <c r="M220" i="23"/>
  <c r="L220" i="23"/>
  <c r="K220" i="23"/>
  <c r="J220" i="23"/>
  <c r="I220" i="23"/>
  <c r="H220" i="23"/>
  <c r="G220" i="23"/>
  <c r="F220" i="23"/>
  <c r="E220" i="23"/>
  <c r="D220" i="23"/>
  <c r="C220" i="23"/>
  <c r="B220" i="23"/>
  <c r="AI113" i="23"/>
  <c r="AH113" i="23"/>
  <c r="AI112" i="23"/>
  <c r="AH112" i="23"/>
  <c r="AI111" i="23"/>
  <c r="AH111" i="23"/>
  <c r="AI110" i="23"/>
  <c r="AH110" i="23"/>
  <c r="AI109" i="23"/>
  <c r="AH109" i="23"/>
  <c r="AI108" i="23"/>
  <c r="AH108" i="23"/>
  <c r="AI106" i="23"/>
  <c r="AH106" i="23"/>
  <c r="AI105" i="23"/>
  <c r="AH105" i="23"/>
  <c r="AF104" i="23"/>
  <c r="AE104" i="23"/>
  <c r="AD104" i="23"/>
  <c r="AC104" i="23"/>
  <c r="AB104" i="23"/>
  <c r="AA104" i="23"/>
  <c r="Z104" i="23"/>
  <c r="Y104" i="23"/>
  <c r="V104" i="23"/>
  <c r="U104" i="23"/>
  <c r="T104" i="23"/>
  <c r="S104" i="23"/>
  <c r="R104" i="23"/>
  <c r="Q104" i="23"/>
  <c r="C104" i="23"/>
  <c r="AI103" i="23"/>
  <c r="AH103" i="23"/>
  <c r="AI102" i="23"/>
  <c r="AH102" i="23"/>
  <c r="AI101" i="23"/>
  <c r="AH101" i="23"/>
  <c r="AI100" i="23"/>
  <c r="AH100" i="23"/>
  <c r="AI99" i="23"/>
  <c r="AH99" i="23"/>
  <c r="AI98" i="23"/>
  <c r="AH98" i="23"/>
  <c r="AI97" i="23"/>
  <c r="AH97" i="23"/>
  <c r="AI96" i="23"/>
  <c r="AH96" i="23"/>
  <c r="AI95" i="23"/>
  <c r="AH95" i="23"/>
  <c r="AI92" i="23"/>
  <c r="AH92" i="23"/>
  <c r="AF91" i="23"/>
  <c r="AE91" i="23"/>
  <c r="AD91" i="23"/>
  <c r="AC91" i="23"/>
  <c r="AB91" i="23"/>
  <c r="AA91" i="23"/>
  <c r="Z91" i="23"/>
  <c r="Y91" i="23"/>
  <c r="W91" i="23"/>
  <c r="V91" i="23"/>
  <c r="U91" i="23"/>
  <c r="T91" i="23"/>
  <c r="S91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C91" i="23"/>
  <c r="B91" i="23"/>
  <c r="AF90" i="23"/>
  <c r="AE90" i="23"/>
  <c r="AD90" i="23"/>
  <c r="AC90" i="23"/>
  <c r="AB90" i="23"/>
  <c r="AA90" i="23"/>
  <c r="Z90" i="23"/>
  <c r="Y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K90" i="23"/>
  <c r="J90" i="23"/>
  <c r="I90" i="23"/>
  <c r="H90" i="23"/>
  <c r="G90" i="23"/>
  <c r="F90" i="23"/>
  <c r="E90" i="23"/>
  <c r="D90" i="23"/>
  <c r="C90" i="23"/>
  <c r="B90" i="23"/>
  <c r="AF89" i="23"/>
  <c r="AE89" i="23"/>
  <c r="AD89" i="23"/>
  <c r="AC89" i="23"/>
  <c r="AB89" i="23"/>
  <c r="AA89" i="23"/>
  <c r="Z89" i="23"/>
  <c r="Y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AF88" i="23"/>
  <c r="AE88" i="23"/>
  <c r="AD88" i="23"/>
  <c r="AC88" i="23"/>
  <c r="AB88" i="23"/>
  <c r="AA88" i="23"/>
  <c r="Z88" i="23"/>
  <c r="Y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AF87" i="23"/>
  <c r="AE87" i="23"/>
  <c r="AD87" i="23"/>
  <c r="AC87" i="23"/>
  <c r="AB87" i="23"/>
  <c r="AA87" i="23"/>
  <c r="Z87" i="23"/>
  <c r="Y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AI84" i="23"/>
  <c r="AH84" i="23"/>
  <c r="AI82" i="23"/>
  <c r="AH82" i="23"/>
  <c r="AG82" i="23"/>
  <c r="AI81" i="23"/>
  <c r="AH81" i="23"/>
  <c r="AI80" i="23"/>
  <c r="AH80" i="23"/>
  <c r="AI79" i="23"/>
  <c r="AH79" i="23"/>
  <c r="AG78" i="23"/>
  <c r="AF78" i="23"/>
  <c r="AE78" i="23"/>
  <c r="AD5" i="23" s="1"/>
  <c r="AD78" i="23"/>
  <c r="AC5" i="23" s="1"/>
  <c r="AC78" i="23"/>
  <c r="AB5" i="23" s="1"/>
  <c r="AB78" i="23"/>
  <c r="AA78" i="23"/>
  <c r="Z78" i="23"/>
  <c r="Y5" i="23" s="1"/>
  <c r="Y78" i="23"/>
  <c r="X5" i="23" s="1"/>
  <c r="AP242" i="23"/>
  <c r="W78" i="23"/>
  <c r="V5" i="23" s="1"/>
  <c r="V78" i="23"/>
  <c r="U5" i="23" s="1"/>
  <c r="U78" i="23"/>
  <c r="T5" i="23" s="1"/>
  <c r="T78" i="23"/>
  <c r="S5" i="23" s="1"/>
  <c r="S78" i="23"/>
  <c r="R5" i="23" s="1"/>
  <c r="R78" i="23"/>
  <c r="Q78" i="23"/>
  <c r="P78" i="23"/>
  <c r="O78" i="23"/>
  <c r="N5" i="23" s="1"/>
  <c r="N78" i="23"/>
  <c r="M5" i="23" s="1"/>
  <c r="M78" i="23"/>
  <c r="L5" i="23" s="1"/>
  <c r="L78" i="23"/>
  <c r="K78" i="23"/>
  <c r="J78" i="23"/>
  <c r="I5" i="23" s="1"/>
  <c r="I78" i="23"/>
  <c r="H78" i="23"/>
  <c r="G78" i="23"/>
  <c r="F5" i="23" s="1"/>
  <c r="F78" i="23"/>
  <c r="E5" i="23" s="1"/>
  <c r="E78" i="23"/>
  <c r="D5" i="23" s="1"/>
  <c r="D78" i="23"/>
  <c r="C78" i="23"/>
  <c r="B78" i="23"/>
  <c r="AI77" i="23"/>
  <c r="AH77" i="23"/>
  <c r="AI76" i="23"/>
  <c r="AH76" i="23"/>
  <c r="AI75" i="23"/>
  <c r="AH75" i="23"/>
  <c r="AI74" i="23"/>
  <c r="AH74" i="23"/>
  <c r="AI73" i="23"/>
  <c r="AH73" i="23"/>
  <c r="AI72" i="23"/>
  <c r="AH72" i="23"/>
  <c r="AI71" i="23"/>
  <c r="AH71" i="23"/>
  <c r="AI70" i="23"/>
  <c r="AH70" i="23"/>
  <c r="AI69" i="23"/>
  <c r="AH69" i="23"/>
  <c r="AI68" i="23"/>
  <c r="AH68" i="23"/>
  <c r="AI67" i="23"/>
  <c r="AH67" i="23"/>
  <c r="AG66" i="23"/>
  <c r="AF66" i="23"/>
  <c r="AE66" i="23"/>
  <c r="AD66" i="23"/>
  <c r="AC66" i="23"/>
  <c r="AB66" i="23"/>
  <c r="AA66" i="23"/>
  <c r="Z66" i="23"/>
  <c r="Y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AI65" i="23"/>
  <c r="AH65" i="23"/>
  <c r="AI64" i="23"/>
  <c r="AH64" i="23"/>
  <c r="AI63" i="23"/>
  <c r="AH63" i="23"/>
  <c r="AF62" i="23"/>
  <c r="AE62" i="23"/>
  <c r="AD62" i="23"/>
  <c r="AC62" i="23"/>
  <c r="AB62" i="23"/>
  <c r="AA62" i="23"/>
  <c r="Z62" i="23"/>
  <c r="Y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AI61" i="23"/>
  <c r="AH61" i="23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G48" i="23"/>
  <c r="AF48" i="23"/>
  <c r="AE48" i="23"/>
  <c r="AD48" i="23"/>
  <c r="AC48" i="23"/>
  <c r="AB48" i="23"/>
  <c r="AA48" i="23"/>
  <c r="Z48" i="23"/>
  <c r="Y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B48" i="23"/>
  <c r="AI47" i="23"/>
  <c r="AH47" i="23"/>
  <c r="AI46" i="23"/>
  <c r="AH46" i="23"/>
  <c r="AI45" i="23"/>
  <c r="AH45" i="23"/>
  <c r="AG44" i="23"/>
  <c r="AF44" i="23"/>
  <c r="AE44" i="23"/>
  <c r="AD44" i="23"/>
  <c r="AC44" i="23"/>
  <c r="AA44" i="23"/>
  <c r="Z44" i="23"/>
  <c r="Y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G4" i="23"/>
  <c r="K4" i="23"/>
  <c r="B4" i="23"/>
  <c r="AG2" i="23"/>
  <c r="AG6" i="23" s="1"/>
  <c r="AF107" i="22"/>
  <c r="AF43" i="22"/>
  <c r="AE107" i="22"/>
  <c r="AE43" i="22"/>
  <c r="AD107" i="22"/>
  <c r="AD43" i="22"/>
  <c r="AC107" i="22"/>
  <c r="AC43" i="22"/>
  <c r="AB107" i="22"/>
  <c r="AB43" i="22"/>
  <c r="Z66" i="22"/>
  <c r="E4" i="25"/>
  <c r="E4" i="24"/>
  <c r="E4" i="23"/>
  <c r="F227" i="23" l="1"/>
  <c r="AE93" i="24"/>
  <c r="AI107" i="24"/>
  <c r="AP242" i="26"/>
  <c r="AG85" i="23"/>
  <c r="C93" i="23"/>
  <c r="S93" i="23"/>
  <c r="D104" i="23"/>
  <c r="AB93" i="24"/>
  <c r="AI107" i="25"/>
  <c r="F222" i="26"/>
  <c r="AG83" i="23"/>
  <c r="B104" i="23"/>
  <c r="E93" i="24"/>
  <c r="U93" i="24"/>
  <c r="AB94" i="25"/>
  <c r="AB93" i="25"/>
  <c r="O93" i="25"/>
  <c r="R7" i="26"/>
  <c r="AH43" i="24"/>
  <c r="H93" i="23"/>
  <c r="H94" i="23" s="1"/>
  <c r="P93" i="23"/>
  <c r="F93" i="24"/>
  <c r="H93" i="24"/>
  <c r="H94" i="24" s="1"/>
  <c r="AC93" i="25"/>
  <c r="AC94" i="25" s="1"/>
  <c r="R86" i="26"/>
  <c r="Q93" i="23"/>
  <c r="AH107" i="23"/>
  <c r="D104" i="25"/>
  <c r="L86" i="26"/>
  <c r="AA83" i="23"/>
  <c r="AA85" i="23" s="1"/>
  <c r="AA7" i="23" s="1"/>
  <c r="C263" i="23"/>
  <c r="Y93" i="24"/>
  <c r="D228" i="24"/>
  <c r="C263" i="24"/>
  <c r="AE86" i="26"/>
  <c r="AW242" i="26"/>
  <c r="AD7" i="26"/>
  <c r="AD86" i="26"/>
  <c r="AC7" i="26"/>
  <c r="AC86" i="26"/>
  <c r="AB7" i="26"/>
  <c r="AB86" i="26"/>
  <c r="Z7" i="26"/>
  <c r="Z86" i="26"/>
  <c r="X86" i="26"/>
  <c r="W7" i="26"/>
  <c r="W86" i="26"/>
  <c r="V86" i="26"/>
  <c r="AN242" i="26"/>
  <c r="U7" i="26"/>
  <c r="U86" i="26"/>
  <c r="T86" i="26"/>
  <c r="O86" i="26"/>
  <c r="O7" i="26"/>
  <c r="AG242" i="26"/>
  <c r="N7" i="26"/>
  <c r="N86" i="26"/>
  <c r="M7" i="26"/>
  <c r="M86" i="26"/>
  <c r="F86" i="26"/>
  <c r="J86" i="26"/>
  <c r="I86" i="26"/>
  <c r="X242" i="26"/>
  <c r="G7" i="26"/>
  <c r="B237" i="26"/>
  <c r="C237" i="26"/>
  <c r="G86" i="26"/>
  <c r="E7" i="26"/>
  <c r="E86" i="26"/>
  <c r="D86" i="26"/>
  <c r="D7" i="26"/>
  <c r="P86" i="26"/>
  <c r="AE7" i="26"/>
  <c r="E263" i="26"/>
  <c r="G227" i="26"/>
  <c r="U242" i="26"/>
  <c r="C86" i="26"/>
  <c r="F104" i="26"/>
  <c r="F228" i="26"/>
  <c r="G222" i="26"/>
  <c r="B94" i="26"/>
  <c r="AI93" i="26"/>
  <c r="AH93" i="26"/>
  <c r="AH83" i="26"/>
  <c r="AI83" i="26"/>
  <c r="B85" i="26"/>
  <c r="AE93" i="25"/>
  <c r="AE94" i="25" s="1"/>
  <c r="AF93" i="25"/>
  <c r="AF94" i="25" s="1"/>
  <c r="AD5" i="25"/>
  <c r="AD83" i="25"/>
  <c r="AD85" i="25" s="1"/>
  <c r="AB5" i="25"/>
  <c r="AA5" i="25"/>
  <c r="AA83" i="25"/>
  <c r="AA85" i="25" s="1"/>
  <c r="AS242" i="25" s="1"/>
  <c r="Z93" i="25"/>
  <c r="Z86" i="25" s="1"/>
  <c r="Z83" i="25"/>
  <c r="Z85" i="25" s="1"/>
  <c r="Y93" i="25"/>
  <c r="X93" i="25"/>
  <c r="X94" i="25" s="1"/>
  <c r="W93" i="25"/>
  <c r="W94" i="25" s="1"/>
  <c r="M83" i="25"/>
  <c r="M85" i="25" s="1"/>
  <c r="M7" i="25" s="1"/>
  <c r="H93" i="25"/>
  <c r="H94" i="25" s="1"/>
  <c r="S93" i="25"/>
  <c r="AA93" i="25"/>
  <c r="AA86" i="25" s="1"/>
  <c r="AC83" i="25"/>
  <c r="AC85" i="25" s="1"/>
  <c r="B104" i="25"/>
  <c r="D228" i="25"/>
  <c r="AD93" i="25"/>
  <c r="AD94" i="25" s="1"/>
  <c r="W83" i="25"/>
  <c r="W85" i="25" s="1"/>
  <c r="AO242" i="25" s="1"/>
  <c r="AE83" i="25"/>
  <c r="AE85" i="25" s="1"/>
  <c r="AW242" i="25" s="1"/>
  <c r="Q93" i="25"/>
  <c r="Q94" i="25" s="1"/>
  <c r="AI43" i="25"/>
  <c r="Y83" i="25"/>
  <c r="Y85" i="25" s="1"/>
  <c r="AQ242" i="25" s="1"/>
  <c r="AG83" i="25"/>
  <c r="B228" i="25"/>
  <c r="C263" i="25"/>
  <c r="AB83" i="25"/>
  <c r="AB85" i="25" s="1"/>
  <c r="AB7" i="25" s="1"/>
  <c r="E83" i="25"/>
  <c r="E85" i="25" s="1"/>
  <c r="W242" i="25" s="1"/>
  <c r="X83" i="25"/>
  <c r="X85" i="25" s="1"/>
  <c r="X7" i="25" s="1"/>
  <c r="AF83" i="25"/>
  <c r="AF85" i="25" s="1"/>
  <c r="AF7" i="25" s="1"/>
  <c r="V93" i="25"/>
  <c r="V94" i="25" s="1"/>
  <c r="U5" i="25"/>
  <c r="V83" i="25"/>
  <c r="V85" i="25" s="1"/>
  <c r="V7" i="25" s="1"/>
  <c r="W5" i="25"/>
  <c r="U93" i="25"/>
  <c r="U94" i="25" s="1"/>
  <c r="T5" i="25"/>
  <c r="U83" i="25"/>
  <c r="U85" i="25" s="1"/>
  <c r="U7" i="25" s="1"/>
  <c r="T93" i="25"/>
  <c r="T94" i="25" s="1"/>
  <c r="S5" i="25"/>
  <c r="T83" i="25"/>
  <c r="T85" i="25" s="1"/>
  <c r="S83" i="25"/>
  <c r="S85" i="25" s="1"/>
  <c r="AK242" i="25" s="1"/>
  <c r="R93" i="25"/>
  <c r="R86" i="25" s="1"/>
  <c r="O83" i="25"/>
  <c r="O85" i="25" s="1"/>
  <c r="O86" i="25" s="1"/>
  <c r="R83" i="25"/>
  <c r="R85" i="25" s="1"/>
  <c r="AJ242" i="25" s="1"/>
  <c r="Q83" i="25"/>
  <c r="Q85" i="25" s="1"/>
  <c r="Q86" i="25" s="1"/>
  <c r="AH43" i="25"/>
  <c r="P93" i="25"/>
  <c r="O94" i="25"/>
  <c r="P83" i="25"/>
  <c r="P85" i="25" s="1"/>
  <c r="P86" i="25" s="1"/>
  <c r="P94" i="25"/>
  <c r="AH107" i="25"/>
  <c r="N93" i="25"/>
  <c r="N94" i="25" s="1"/>
  <c r="AI91" i="25"/>
  <c r="N83" i="25"/>
  <c r="N85" i="25" s="1"/>
  <c r="L5" i="25"/>
  <c r="L93" i="25"/>
  <c r="L94" i="25" s="1"/>
  <c r="K83" i="25"/>
  <c r="K85" i="25" s="1"/>
  <c r="K7" i="25" s="1"/>
  <c r="J83" i="25"/>
  <c r="J85" i="25" s="1"/>
  <c r="AB242" i="25" s="1"/>
  <c r="AI90" i="25"/>
  <c r="I93" i="25"/>
  <c r="I94" i="25" s="1"/>
  <c r="H83" i="25"/>
  <c r="H85" i="25" s="1"/>
  <c r="H7" i="25" s="1"/>
  <c r="G93" i="25"/>
  <c r="G94" i="25" s="1"/>
  <c r="F83" i="25"/>
  <c r="F85" i="25" s="1"/>
  <c r="F7" i="25" s="1"/>
  <c r="C83" i="25"/>
  <c r="C85" i="25" s="1"/>
  <c r="U242" i="25" s="1"/>
  <c r="D93" i="25"/>
  <c r="D94" i="25" s="1"/>
  <c r="AI48" i="25"/>
  <c r="C93" i="25"/>
  <c r="K93" i="25"/>
  <c r="E93" i="25"/>
  <c r="E94" i="25" s="1"/>
  <c r="F93" i="25"/>
  <c r="F94" i="25" s="1"/>
  <c r="F5" i="25"/>
  <c r="AI89" i="25"/>
  <c r="AI87" i="25"/>
  <c r="J93" i="25"/>
  <c r="J94" i="25" s="1"/>
  <c r="AH89" i="25"/>
  <c r="AI88" i="25"/>
  <c r="G83" i="25"/>
  <c r="G85" i="25" s="1"/>
  <c r="AI66" i="25"/>
  <c r="AI62" i="25"/>
  <c r="D83" i="25"/>
  <c r="D85" i="25" s="1"/>
  <c r="V242" i="25" s="1"/>
  <c r="L83" i="25"/>
  <c r="L85" i="25" s="1"/>
  <c r="L7" i="25" s="1"/>
  <c r="I83" i="25"/>
  <c r="I85" i="25" s="1"/>
  <c r="AA242" i="25" s="1"/>
  <c r="AI44" i="25"/>
  <c r="AH90" i="25"/>
  <c r="H4" i="25"/>
  <c r="AP242" i="25"/>
  <c r="X86" i="25"/>
  <c r="D263" i="25"/>
  <c r="F227" i="25"/>
  <c r="R7" i="25"/>
  <c r="Z7" i="25"/>
  <c r="AR242" i="25"/>
  <c r="C7" i="25"/>
  <c r="S7" i="25"/>
  <c r="AA7" i="25"/>
  <c r="T7" i="25"/>
  <c r="AG6" i="25"/>
  <c r="E7" i="25"/>
  <c r="AC7" i="25"/>
  <c r="AU242" i="25"/>
  <c r="AC86" i="25"/>
  <c r="Y94" i="25"/>
  <c r="AG85" i="25"/>
  <c r="N7" i="25"/>
  <c r="AF242" i="25"/>
  <c r="N86" i="25"/>
  <c r="AN242" i="25"/>
  <c r="AD7" i="25"/>
  <c r="AV242" i="25"/>
  <c r="AD86" i="25"/>
  <c r="Z94" i="25"/>
  <c r="F222" i="25"/>
  <c r="E104" i="25"/>
  <c r="E228" i="25"/>
  <c r="AG242" i="25"/>
  <c r="O7" i="25"/>
  <c r="W7" i="25"/>
  <c r="AE7" i="25"/>
  <c r="S94" i="25"/>
  <c r="D239" i="25"/>
  <c r="AH62" i="25"/>
  <c r="AH66" i="25"/>
  <c r="AH78" i="25"/>
  <c r="AI78" i="25"/>
  <c r="AH87" i="25"/>
  <c r="B93" i="25"/>
  <c r="AH88" i="25"/>
  <c r="AH44" i="25"/>
  <c r="AH48" i="25"/>
  <c r="B83" i="25"/>
  <c r="AH91" i="25"/>
  <c r="AF93" i="24"/>
  <c r="AF94" i="24" s="1"/>
  <c r="AE94" i="24"/>
  <c r="AE83" i="24"/>
  <c r="AE85" i="24" s="1"/>
  <c r="AD93" i="24"/>
  <c r="AD94" i="24" s="1"/>
  <c r="AF83" i="24"/>
  <c r="AF85" i="24" s="1"/>
  <c r="AC93" i="24"/>
  <c r="AC83" i="24"/>
  <c r="AC85" i="24" s="1"/>
  <c r="AC7" i="24" s="1"/>
  <c r="AB83" i="24"/>
  <c r="AB85" i="24" s="1"/>
  <c r="AA93" i="24"/>
  <c r="AA83" i="24"/>
  <c r="AA85" i="24" s="1"/>
  <c r="Z93" i="24"/>
  <c r="Z94" i="24"/>
  <c r="Z83" i="24"/>
  <c r="Z85" i="24" s="1"/>
  <c r="Z86" i="24" s="1"/>
  <c r="Y94" i="24"/>
  <c r="Y83" i="24"/>
  <c r="Y85" i="24" s="1"/>
  <c r="Y7" i="24" s="1"/>
  <c r="W93" i="24"/>
  <c r="W94" i="24" s="1"/>
  <c r="V5" i="24"/>
  <c r="V93" i="24"/>
  <c r="V94" i="24" s="1"/>
  <c r="W83" i="24"/>
  <c r="W85" i="24" s="1"/>
  <c r="AO242" i="24" s="1"/>
  <c r="V83" i="24"/>
  <c r="V85" i="24" s="1"/>
  <c r="AN242" i="24" s="1"/>
  <c r="U83" i="24"/>
  <c r="U85" i="24" s="1"/>
  <c r="AM242" i="24" s="1"/>
  <c r="T93" i="24"/>
  <c r="T83" i="24"/>
  <c r="T85" i="24" s="1"/>
  <c r="T7" i="24" s="1"/>
  <c r="S93" i="24"/>
  <c r="S83" i="24"/>
  <c r="S85" i="24" s="1"/>
  <c r="S7" i="24" s="1"/>
  <c r="R93" i="24"/>
  <c r="R94" i="24" s="1"/>
  <c r="R83" i="24"/>
  <c r="R85" i="24" s="1"/>
  <c r="Q93" i="24"/>
  <c r="Q94" i="24" s="1"/>
  <c r="Q83" i="24"/>
  <c r="Q85" i="24" s="1"/>
  <c r="Q86" i="24" s="1"/>
  <c r="P93" i="24"/>
  <c r="P94" i="24" s="1"/>
  <c r="O5" i="24"/>
  <c r="P83" i="24"/>
  <c r="P85" i="24" s="1"/>
  <c r="O93" i="24"/>
  <c r="O94" i="24"/>
  <c r="O83" i="24"/>
  <c r="O85" i="24" s="1"/>
  <c r="O86" i="24" s="1"/>
  <c r="N93" i="24"/>
  <c r="N94" i="24" s="1"/>
  <c r="N83" i="24"/>
  <c r="N85" i="24" s="1"/>
  <c r="N7" i="24" s="1"/>
  <c r="M93" i="24"/>
  <c r="M94" i="24" s="1"/>
  <c r="M83" i="24"/>
  <c r="M85" i="24" s="1"/>
  <c r="AE242" i="24" s="1"/>
  <c r="L93" i="24"/>
  <c r="L83" i="24"/>
  <c r="L85" i="24" s="1"/>
  <c r="AD242" i="24" s="1"/>
  <c r="K93" i="24"/>
  <c r="AI91" i="24"/>
  <c r="J94" i="24"/>
  <c r="K83" i="24"/>
  <c r="K85" i="24" s="1"/>
  <c r="AC242" i="24" s="1"/>
  <c r="J83" i="24"/>
  <c r="J85" i="24" s="1"/>
  <c r="J7" i="24" s="1"/>
  <c r="I83" i="24"/>
  <c r="I85" i="24" s="1"/>
  <c r="H83" i="24"/>
  <c r="H85" i="24" s="1"/>
  <c r="G93" i="24"/>
  <c r="G94" i="24" s="1"/>
  <c r="G83" i="24"/>
  <c r="G85" i="24" s="1"/>
  <c r="G7" i="24" s="1"/>
  <c r="F94" i="24"/>
  <c r="F83" i="24"/>
  <c r="F85" i="24" s="1"/>
  <c r="F86" i="24" s="1"/>
  <c r="E83" i="24"/>
  <c r="E85" i="24" s="1"/>
  <c r="W242" i="24" s="1"/>
  <c r="AI48" i="24"/>
  <c r="AI89" i="24"/>
  <c r="D93" i="24"/>
  <c r="AH66" i="24"/>
  <c r="D83" i="24"/>
  <c r="D85" i="24" s="1"/>
  <c r="D86" i="24" s="1"/>
  <c r="AI62" i="24"/>
  <c r="B93" i="24"/>
  <c r="B94" i="24" s="1"/>
  <c r="AH87" i="24"/>
  <c r="AI87" i="24"/>
  <c r="C93" i="24"/>
  <c r="AI90" i="24"/>
  <c r="AI88" i="24"/>
  <c r="AI66" i="24"/>
  <c r="C83" i="24"/>
  <c r="C85" i="24" s="1"/>
  <c r="C86" i="24" s="1"/>
  <c r="AH62" i="24"/>
  <c r="AH48" i="24"/>
  <c r="AI44" i="24"/>
  <c r="H4" i="24"/>
  <c r="R7" i="24"/>
  <c r="AJ242" i="24"/>
  <c r="R86" i="24"/>
  <c r="AR242" i="24"/>
  <c r="L7" i="24"/>
  <c r="AB7" i="24"/>
  <c r="AT242" i="24"/>
  <c r="AB86" i="24"/>
  <c r="D263" i="24"/>
  <c r="F227" i="24"/>
  <c r="AA7" i="24"/>
  <c r="AS242" i="24"/>
  <c r="AA86" i="24"/>
  <c r="E7" i="24"/>
  <c r="M7" i="24"/>
  <c r="U7" i="24"/>
  <c r="U86" i="24"/>
  <c r="V7" i="24"/>
  <c r="AD7" i="24"/>
  <c r="AV242" i="24"/>
  <c r="AD86" i="24"/>
  <c r="AG242" i="24"/>
  <c r="O7" i="24"/>
  <c r="W86" i="24"/>
  <c r="AW242" i="24"/>
  <c r="AE86" i="24"/>
  <c r="AE7" i="24"/>
  <c r="AG85" i="24"/>
  <c r="C94" i="24"/>
  <c r="S94" i="24"/>
  <c r="AA94" i="24"/>
  <c r="AK242" i="24"/>
  <c r="S86" i="24"/>
  <c r="H7" i="24"/>
  <c r="Z242" i="24"/>
  <c r="P7" i="24"/>
  <c r="AH242" i="24"/>
  <c r="X7" i="24"/>
  <c r="AP242" i="24"/>
  <c r="AF7" i="24"/>
  <c r="AX242" i="24"/>
  <c r="AF86" i="24"/>
  <c r="D94" i="24"/>
  <c r="L94" i="24"/>
  <c r="T94" i="24"/>
  <c r="AB94" i="24"/>
  <c r="I7" i="24"/>
  <c r="AA242" i="24"/>
  <c r="Q7" i="24"/>
  <c r="AI242" i="24"/>
  <c r="AG83" i="24"/>
  <c r="E94" i="24"/>
  <c r="U94" i="24"/>
  <c r="AC94" i="24"/>
  <c r="D104" i="24"/>
  <c r="D239" i="24"/>
  <c r="B5" i="24"/>
  <c r="J5" i="24"/>
  <c r="R5" i="24"/>
  <c r="Z5" i="24"/>
  <c r="AH78" i="24"/>
  <c r="I93" i="24"/>
  <c r="I94" i="24" s="1"/>
  <c r="AI78" i="24"/>
  <c r="AH88" i="24"/>
  <c r="E222" i="24"/>
  <c r="AH44" i="24"/>
  <c r="B83" i="24"/>
  <c r="AH89" i="24"/>
  <c r="AH90" i="24"/>
  <c r="AH91" i="24"/>
  <c r="AE93" i="23"/>
  <c r="AE83" i="23"/>
  <c r="AE85" i="23" s="1"/>
  <c r="AW242" i="23" s="1"/>
  <c r="AD93" i="23"/>
  <c r="AD94" i="23"/>
  <c r="AC83" i="23"/>
  <c r="AC85" i="23" s="1"/>
  <c r="AC7" i="23" s="1"/>
  <c r="AF93" i="23"/>
  <c r="AD83" i="23"/>
  <c r="AD85" i="23" s="1"/>
  <c r="AD86" i="23" s="1"/>
  <c r="AF83" i="23"/>
  <c r="AF85" i="23" s="1"/>
  <c r="AX242" i="23" s="1"/>
  <c r="AB93" i="23"/>
  <c r="AB94" i="23" s="1"/>
  <c r="AB83" i="23"/>
  <c r="AB85" i="23" s="1"/>
  <c r="AT242" i="23" s="1"/>
  <c r="AA93" i="23"/>
  <c r="AI43" i="23"/>
  <c r="Z93" i="23"/>
  <c r="Y93" i="23"/>
  <c r="Y94" i="23" s="1"/>
  <c r="Y83" i="23"/>
  <c r="Y85" i="23" s="1"/>
  <c r="Y86" i="23" s="1"/>
  <c r="W93" i="23"/>
  <c r="W86" i="23" s="1"/>
  <c r="V93" i="23"/>
  <c r="V94" i="23" s="1"/>
  <c r="W83" i="23"/>
  <c r="W85" i="23" s="1"/>
  <c r="AO242" i="23" s="1"/>
  <c r="V83" i="23"/>
  <c r="V85" i="23" s="1"/>
  <c r="U83" i="23"/>
  <c r="U85" i="23" s="1"/>
  <c r="U7" i="23" s="1"/>
  <c r="AH88" i="23"/>
  <c r="T93" i="23"/>
  <c r="T94" i="23" s="1"/>
  <c r="T83" i="23"/>
  <c r="T85" i="23" s="1"/>
  <c r="S83" i="23"/>
  <c r="S85" i="23" s="1"/>
  <c r="AK242" i="23" s="1"/>
  <c r="Q94" i="23"/>
  <c r="P5" i="23"/>
  <c r="Q83" i="23"/>
  <c r="Q85" i="23" s="1"/>
  <c r="P83" i="23"/>
  <c r="P85" i="23" s="1"/>
  <c r="P86" i="23" s="1"/>
  <c r="O93" i="23"/>
  <c r="O94" i="23" s="1"/>
  <c r="N93" i="23"/>
  <c r="N94" i="23" s="1"/>
  <c r="AI66" i="23"/>
  <c r="N83" i="23"/>
  <c r="N85" i="23" s="1"/>
  <c r="N7" i="23" s="1"/>
  <c r="M83" i="23"/>
  <c r="M85" i="23" s="1"/>
  <c r="M7" i="23" s="1"/>
  <c r="L93" i="23"/>
  <c r="L94" i="23" s="1"/>
  <c r="L83" i="23"/>
  <c r="L85" i="23" s="1"/>
  <c r="K93" i="23"/>
  <c r="K94" i="23" s="1"/>
  <c r="K83" i="23"/>
  <c r="K85" i="23" s="1"/>
  <c r="K7" i="23" s="1"/>
  <c r="J93" i="23"/>
  <c r="I93" i="23"/>
  <c r="I94" i="23" s="1"/>
  <c r="H5" i="23"/>
  <c r="I83" i="23"/>
  <c r="I85" i="23" s="1"/>
  <c r="AE94" i="23"/>
  <c r="AA94" i="23"/>
  <c r="R93" i="23"/>
  <c r="R94" i="23" s="1"/>
  <c r="O83" i="23"/>
  <c r="O85" i="23" s="1"/>
  <c r="AG242" i="23" s="1"/>
  <c r="H83" i="23"/>
  <c r="H85" i="23" s="1"/>
  <c r="H7" i="23" s="1"/>
  <c r="G93" i="23"/>
  <c r="G94" i="23" s="1"/>
  <c r="G83" i="23"/>
  <c r="G85" i="23" s="1"/>
  <c r="Y242" i="23" s="1"/>
  <c r="F93" i="23"/>
  <c r="F94" i="23" s="1"/>
  <c r="AI91" i="23"/>
  <c r="F83" i="23"/>
  <c r="F85" i="23" s="1"/>
  <c r="F7" i="23" s="1"/>
  <c r="E83" i="23"/>
  <c r="E85" i="23" s="1"/>
  <c r="E7" i="23" s="1"/>
  <c r="D83" i="23"/>
  <c r="D85" i="23" s="1"/>
  <c r="D7" i="23" s="1"/>
  <c r="C83" i="23"/>
  <c r="C85" i="23" s="1"/>
  <c r="C86" i="23" s="1"/>
  <c r="AH62" i="23"/>
  <c r="B93" i="23"/>
  <c r="H4" i="23"/>
  <c r="AN242" i="23"/>
  <c r="V86" i="23"/>
  <c r="V7" i="23"/>
  <c r="G7" i="23"/>
  <c r="AE7" i="23"/>
  <c r="AI242" i="23"/>
  <c r="Q86" i="23"/>
  <c r="Q7" i="23"/>
  <c r="AH242" i="23"/>
  <c r="P7" i="23"/>
  <c r="AQ242" i="23"/>
  <c r="Y7" i="23"/>
  <c r="S86" i="23"/>
  <c r="T7" i="23"/>
  <c r="AL242" i="23"/>
  <c r="T86" i="23"/>
  <c r="AB7" i="23"/>
  <c r="AB86" i="23"/>
  <c r="AF86" i="23"/>
  <c r="AM242" i="23"/>
  <c r="B94" i="23"/>
  <c r="AH66" i="23"/>
  <c r="AH78" i="23"/>
  <c r="L7" i="23"/>
  <c r="AD242" i="23"/>
  <c r="Q5" i="23"/>
  <c r="AA5" i="23"/>
  <c r="B83" i="23"/>
  <c r="AI44" i="23"/>
  <c r="J83" i="23"/>
  <c r="J85" i="23" s="1"/>
  <c r="R83" i="23"/>
  <c r="R85" i="23" s="1"/>
  <c r="Z83" i="23"/>
  <c r="Z85" i="23" s="1"/>
  <c r="AH44" i="23"/>
  <c r="E93" i="23"/>
  <c r="E94" i="23" s="1"/>
  <c r="M93" i="23"/>
  <c r="M86" i="23" s="1"/>
  <c r="U93" i="23"/>
  <c r="U86" i="23" s="1"/>
  <c r="AC93" i="23"/>
  <c r="AC86" i="23" s="1"/>
  <c r="D93" i="23"/>
  <c r="AH89" i="23"/>
  <c r="S239" i="23"/>
  <c r="D239" i="23"/>
  <c r="AI62" i="23"/>
  <c r="J5" i="23"/>
  <c r="AF5" i="23"/>
  <c r="J94" i="23"/>
  <c r="Z94" i="23"/>
  <c r="C94" i="23"/>
  <c r="AH87" i="23"/>
  <c r="AH91" i="23"/>
  <c r="B5" i="23"/>
  <c r="AI87" i="23"/>
  <c r="AI90" i="23"/>
  <c r="D228" i="23"/>
  <c r="S94" i="23"/>
  <c r="AI78" i="23"/>
  <c r="K5" i="23"/>
  <c r="C5" i="23"/>
  <c r="AI88" i="23"/>
  <c r="AI89" i="23"/>
  <c r="E222" i="23"/>
  <c r="Z5" i="23"/>
  <c r="X7" i="23"/>
  <c r="AI48" i="23"/>
  <c r="AH48" i="23"/>
  <c r="G5" i="23"/>
  <c r="O5" i="23"/>
  <c r="P94" i="23"/>
  <c r="W5" i="23"/>
  <c r="AE5" i="23"/>
  <c r="AF94" i="23"/>
  <c r="AH90" i="23"/>
  <c r="B228" i="23"/>
  <c r="AF7" i="23" l="1"/>
  <c r="S7" i="23"/>
  <c r="N86" i="24"/>
  <c r="Z7" i="24"/>
  <c r="W86" i="25"/>
  <c r="R94" i="25"/>
  <c r="U86" i="25"/>
  <c r="C86" i="25"/>
  <c r="AC242" i="23"/>
  <c r="AF242" i="24"/>
  <c r="T86" i="24"/>
  <c r="AM242" i="25"/>
  <c r="AI242" i="25"/>
  <c r="AL242" i="24"/>
  <c r="N86" i="23"/>
  <c r="W7" i="23"/>
  <c r="Y86" i="24"/>
  <c r="K7" i="24"/>
  <c r="H86" i="24"/>
  <c r="M86" i="25"/>
  <c r="Q7" i="25"/>
  <c r="AU242" i="23"/>
  <c r="AA86" i="23"/>
  <c r="AF242" i="23"/>
  <c r="AS242" i="23"/>
  <c r="AE86" i="23"/>
  <c r="W94" i="23"/>
  <c r="AQ242" i="24"/>
  <c r="W7" i="24"/>
  <c r="L86" i="24"/>
  <c r="C94" i="25"/>
  <c r="V86" i="25"/>
  <c r="AE242" i="25"/>
  <c r="AA94" i="25"/>
  <c r="P86" i="24"/>
  <c r="U242" i="23"/>
  <c r="V86" i="24"/>
  <c r="I86" i="23"/>
  <c r="AE86" i="25"/>
  <c r="E263" i="23"/>
  <c r="G227" i="23"/>
  <c r="K6" i="26"/>
  <c r="F263" i="26"/>
  <c r="H227" i="26"/>
  <c r="AH94" i="26"/>
  <c r="AI94" i="26"/>
  <c r="H222" i="26"/>
  <c r="G104" i="26"/>
  <c r="G228" i="26"/>
  <c r="B7" i="26"/>
  <c r="A7" i="26" s="1"/>
  <c r="T242" i="26"/>
  <c r="B86" i="26"/>
  <c r="AI85" i="26"/>
  <c r="AH85" i="26"/>
  <c r="AX242" i="25"/>
  <c r="AF86" i="25"/>
  <c r="AB86" i="25"/>
  <c r="AT242" i="25"/>
  <c r="Y7" i="25"/>
  <c r="Y86" i="25"/>
  <c r="D86" i="25"/>
  <c r="T86" i="25"/>
  <c r="AC242" i="25"/>
  <c r="J7" i="25"/>
  <c r="K86" i="25"/>
  <c r="H86" i="25"/>
  <c r="S86" i="25"/>
  <c r="AL242" i="25"/>
  <c r="AH242" i="25"/>
  <c r="P7" i="25"/>
  <c r="K94" i="25"/>
  <c r="Z242" i="25"/>
  <c r="G86" i="25"/>
  <c r="F86" i="25"/>
  <c r="X242" i="25"/>
  <c r="E86" i="25"/>
  <c r="D7" i="25"/>
  <c r="Y242" i="25"/>
  <c r="I7" i="25"/>
  <c r="J86" i="25"/>
  <c r="G7" i="25"/>
  <c r="B237" i="25"/>
  <c r="L86" i="25"/>
  <c r="AD242" i="25"/>
  <c r="C237" i="25"/>
  <c r="I86" i="25"/>
  <c r="AI93" i="25"/>
  <c r="AH93" i="25"/>
  <c r="B94" i="25"/>
  <c r="AI83" i="25"/>
  <c r="AH83" i="25"/>
  <c r="B85" i="25"/>
  <c r="E263" i="25"/>
  <c r="G227" i="25"/>
  <c r="G222" i="25"/>
  <c r="F104" i="25"/>
  <c r="F228" i="25"/>
  <c r="AC86" i="24"/>
  <c r="AU242" i="24"/>
  <c r="M86" i="24"/>
  <c r="C7" i="23"/>
  <c r="L86" i="23"/>
  <c r="G86" i="23"/>
  <c r="D86" i="23"/>
  <c r="I7" i="23"/>
  <c r="AA242" i="23"/>
  <c r="K86" i="23"/>
  <c r="K86" i="24"/>
  <c r="B237" i="24"/>
  <c r="J86" i="24"/>
  <c r="K94" i="24"/>
  <c r="AI94" i="24" s="1"/>
  <c r="AB242" i="24"/>
  <c r="E86" i="24"/>
  <c r="C237" i="24"/>
  <c r="G86" i="24"/>
  <c r="Y242" i="24"/>
  <c r="X242" i="24"/>
  <c r="F7" i="24"/>
  <c r="V242" i="24"/>
  <c r="D7" i="24"/>
  <c r="AH94" i="24"/>
  <c r="U242" i="24"/>
  <c r="C7" i="24"/>
  <c r="AI83" i="24"/>
  <c r="AH83" i="24"/>
  <c r="B85" i="24"/>
  <c r="I86" i="24"/>
  <c r="F222" i="24"/>
  <c r="E104" i="24"/>
  <c r="E228" i="24"/>
  <c r="E263" i="24"/>
  <c r="G227" i="24"/>
  <c r="AH93" i="24"/>
  <c r="AI93" i="24"/>
  <c r="AD7" i="23"/>
  <c r="AV242" i="23"/>
  <c r="U94" i="23"/>
  <c r="O7" i="23"/>
  <c r="O86" i="23"/>
  <c r="AE242" i="23"/>
  <c r="AC94" i="23"/>
  <c r="E86" i="23"/>
  <c r="H86" i="23"/>
  <c r="Z242" i="23"/>
  <c r="F86" i="23"/>
  <c r="X242" i="23"/>
  <c r="W242" i="23"/>
  <c r="V242" i="23"/>
  <c r="AJ242" i="23"/>
  <c r="R7" i="23"/>
  <c r="R86" i="23"/>
  <c r="AI93" i="23"/>
  <c r="AH93" i="23"/>
  <c r="M94" i="23"/>
  <c r="AI83" i="23"/>
  <c r="AH83" i="23"/>
  <c r="B85" i="23"/>
  <c r="J7" i="23"/>
  <c r="AB242" i="23"/>
  <c r="J86" i="23"/>
  <c r="D94" i="23"/>
  <c r="AI94" i="23" s="1"/>
  <c r="B237" i="23"/>
  <c r="F222" i="23"/>
  <c r="E104" i="23"/>
  <c r="E228" i="23"/>
  <c r="Z86" i="23"/>
  <c r="AR242" i="23"/>
  <c r="Z7" i="23"/>
  <c r="C237" i="23"/>
  <c r="H227" i="23" l="1"/>
  <c r="F263" i="23"/>
  <c r="I227" i="26"/>
  <c r="G263" i="26"/>
  <c r="I222" i="26"/>
  <c r="H104" i="26"/>
  <c r="H228" i="26"/>
  <c r="AI86" i="26"/>
  <c r="AH86" i="26"/>
  <c r="K6" i="25"/>
  <c r="B7" i="25"/>
  <c r="A7" i="25" s="1"/>
  <c r="T242" i="25"/>
  <c r="B86" i="25"/>
  <c r="AI85" i="25"/>
  <c r="AH85" i="25"/>
  <c r="AI94" i="25"/>
  <c r="AH94" i="25"/>
  <c r="H222" i="25"/>
  <c r="G104" i="25"/>
  <c r="G228" i="25"/>
  <c r="F263" i="25"/>
  <c r="H227" i="25"/>
  <c r="K6" i="24"/>
  <c r="AH94" i="23"/>
  <c r="G222" i="24"/>
  <c r="F104" i="24"/>
  <c r="F228" i="24"/>
  <c r="B7" i="24"/>
  <c r="A7" i="24" s="1"/>
  <c r="T242" i="24"/>
  <c r="B86" i="24"/>
  <c r="AI85" i="24"/>
  <c r="AH85" i="24"/>
  <c r="F263" i="24"/>
  <c r="H227" i="24"/>
  <c r="G222" i="23"/>
  <c r="F228" i="23"/>
  <c r="F104" i="23"/>
  <c r="K6" i="23"/>
  <c r="AI85" i="23"/>
  <c r="B7" i="23"/>
  <c r="A7" i="23" s="1"/>
  <c r="AH85" i="23"/>
  <c r="T242" i="23"/>
  <c r="B86" i="23"/>
  <c r="R107" i="22"/>
  <c r="R43" i="22"/>
  <c r="Q107" i="22"/>
  <c r="Q104" i="22" s="1"/>
  <c r="P107" i="22"/>
  <c r="P43" i="22"/>
  <c r="N107" i="22"/>
  <c r="O107" i="22"/>
  <c r="O43" i="22"/>
  <c r="AH30" i="22"/>
  <c r="AI30" i="22"/>
  <c r="AH30" i="2"/>
  <c r="AI30" i="2"/>
  <c r="N43" i="22"/>
  <c r="M43" i="22"/>
  <c r="L43" i="22"/>
  <c r="K43" i="22"/>
  <c r="AI43" i="22" s="1"/>
  <c r="C43" i="22"/>
  <c r="B43" i="22"/>
  <c r="B44" i="22"/>
  <c r="C44" i="22"/>
  <c r="C48" i="22"/>
  <c r="AF267" i="22"/>
  <c r="AE267" i="22"/>
  <c r="AD267" i="22"/>
  <c r="AC267" i="22"/>
  <c r="AB267" i="22"/>
  <c r="AA267" i="22"/>
  <c r="Z267" i="22"/>
  <c r="Y267" i="22"/>
  <c r="X267" i="22"/>
  <c r="W267" i="22"/>
  <c r="V267" i="22"/>
  <c r="U267" i="22"/>
  <c r="T267" i="22"/>
  <c r="S267" i="22"/>
  <c r="R267" i="22"/>
  <c r="Q267" i="22"/>
  <c r="P267" i="22"/>
  <c r="O267" i="22"/>
  <c r="N267" i="22"/>
  <c r="M267" i="22"/>
  <c r="L267" i="22"/>
  <c r="K267" i="22"/>
  <c r="J267" i="22"/>
  <c r="I267" i="22"/>
  <c r="H267" i="22"/>
  <c r="G267" i="22"/>
  <c r="F267" i="22"/>
  <c r="E267" i="22"/>
  <c r="D267" i="22"/>
  <c r="C267" i="22"/>
  <c r="B267" i="22"/>
  <c r="A267" i="22"/>
  <c r="AF266" i="22"/>
  <c r="AE266" i="22"/>
  <c r="AD266" i="22"/>
  <c r="AC266" i="22"/>
  <c r="AB266" i="22"/>
  <c r="AA266" i="22"/>
  <c r="Z266" i="22"/>
  <c r="Y266" i="22"/>
  <c r="X266" i="22"/>
  <c r="W266" i="22"/>
  <c r="V266" i="22"/>
  <c r="U266" i="22"/>
  <c r="T266" i="22"/>
  <c r="S266" i="22"/>
  <c r="R266" i="22"/>
  <c r="Q266" i="22"/>
  <c r="P266" i="22"/>
  <c r="O266" i="22"/>
  <c r="N266" i="22"/>
  <c r="M266" i="22"/>
  <c r="L266" i="22"/>
  <c r="K266" i="22"/>
  <c r="J266" i="22"/>
  <c r="I266" i="22"/>
  <c r="H266" i="22"/>
  <c r="G266" i="22"/>
  <c r="F266" i="22"/>
  <c r="E266" i="22"/>
  <c r="D266" i="22"/>
  <c r="C266" i="22"/>
  <c r="B266" i="22"/>
  <c r="A266" i="22"/>
  <c r="AF265" i="22"/>
  <c r="AE265" i="22"/>
  <c r="AD265" i="22"/>
  <c r="AC265" i="22"/>
  <c r="AB265" i="22"/>
  <c r="AA265" i="22"/>
  <c r="Z265" i="22"/>
  <c r="Y265" i="22"/>
  <c r="X265" i="22"/>
  <c r="W265" i="22"/>
  <c r="V265" i="22"/>
  <c r="U265" i="22"/>
  <c r="T265" i="22"/>
  <c r="S265" i="22"/>
  <c r="R265" i="22"/>
  <c r="Q265" i="22"/>
  <c r="P265" i="22"/>
  <c r="O265" i="22"/>
  <c r="N265" i="22"/>
  <c r="M265" i="22"/>
  <c r="L265" i="22"/>
  <c r="K265" i="22"/>
  <c r="J265" i="22"/>
  <c r="I265" i="22"/>
  <c r="H265" i="22"/>
  <c r="G265" i="22"/>
  <c r="F265" i="22"/>
  <c r="E265" i="22"/>
  <c r="D265" i="22"/>
  <c r="C265" i="22"/>
  <c r="B265" i="22"/>
  <c r="A265" i="22"/>
  <c r="AF264" i="22"/>
  <c r="AE264" i="22"/>
  <c r="AD264" i="22"/>
  <c r="AC264" i="22"/>
  <c r="AB264" i="22"/>
  <c r="AA264" i="22"/>
  <c r="Z264" i="22"/>
  <c r="Y264" i="22"/>
  <c r="X264" i="22"/>
  <c r="W264" i="22"/>
  <c r="V264" i="22"/>
  <c r="U264" i="22"/>
  <c r="T264" i="22"/>
  <c r="S264" i="22"/>
  <c r="R264" i="22"/>
  <c r="Q264" i="22"/>
  <c r="P264" i="22"/>
  <c r="O264" i="22"/>
  <c r="N264" i="22"/>
  <c r="M264" i="22"/>
  <c r="L264" i="22"/>
  <c r="K264" i="22"/>
  <c r="J264" i="22"/>
  <c r="I264" i="22"/>
  <c r="H264" i="22"/>
  <c r="G264" i="22"/>
  <c r="F264" i="22"/>
  <c r="E264" i="22"/>
  <c r="D264" i="22"/>
  <c r="C264" i="22"/>
  <c r="B264" i="22"/>
  <c r="A264" i="22"/>
  <c r="AE263" i="22"/>
  <c r="AD263" i="22"/>
  <c r="AC263" i="22"/>
  <c r="AB263" i="22"/>
  <c r="AA263" i="22"/>
  <c r="Z263" i="22"/>
  <c r="Y263" i="22"/>
  <c r="X263" i="22"/>
  <c r="W263" i="22"/>
  <c r="V263" i="22"/>
  <c r="U263" i="22"/>
  <c r="T263" i="22"/>
  <c r="S263" i="22"/>
  <c r="R263" i="22"/>
  <c r="Q263" i="22"/>
  <c r="P263" i="22"/>
  <c r="B263" i="22"/>
  <c r="S238" i="22"/>
  <c r="AG228" i="22"/>
  <c r="AG61" i="22" s="1"/>
  <c r="AG62" i="22" s="1"/>
  <c r="AF228" i="22"/>
  <c r="AE228" i="22"/>
  <c r="AD228" i="22"/>
  <c r="AC228" i="22"/>
  <c r="AB228" i="22"/>
  <c r="AA228" i="22"/>
  <c r="Z228" i="22"/>
  <c r="Y228" i="22"/>
  <c r="X228" i="22"/>
  <c r="W228" i="22"/>
  <c r="V228" i="22"/>
  <c r="U228" i="22"/>
  <c r="T228" i="22"/>
  <c r="S228" i="22"/>
  <c r="R228" i="22"/>
  <c r="Q228" i="22"/>
  <c r="C228" i="22"/>
  <c r="D227" i="22"/>
  <c r="E227" i="22" s="1"/>
  <c r="B227" i="22"/>
  <c r="AF263" i="22" s="1"/>
  <c r="D226" i="22"/>
  <c r="E226" i="22" s="1"/>
  <c r="F226" i="22" s="1"/>
  <c r="G226" i="22" s="1"/>
  <c r="H226" i="22" s="1"/>
  <c r="I226" i="22" s="1"/>
  <c r="J226" i="22" s="1"/>
  <c r="K226" i="22" s="1"/>
  <c r="L226" i="22" s="1"/>
  <c r="M226" i="22" s="1"/>
  <c r="N226" i="22" s="1"/>
  <c r="O226" i="22" s="1"/>
  <c r="P226" i="22" s="1"/>
  <c r="B226" i="22"/>
  <c r="D225" i="22"/>
  <c r="B225" i="22"/>
  <c r="E224" i="22"/>
  <c r="F224" i="22" s="1"/>
  <c r="G224" i="22" s="1"/>
  <c r="H224" i="22" s="1"/>
  <c r="I224" i="22" s="1"/>
  <c r="J224" i="22" s="1"/>
  <c r="K224" i="22" s="1"/>
  <c r="L224" i="22" s="1"/>
  <c r="M224" i="22" s="1"/>
  <c r="N224" i="22" s="1"/>
  <c r="O224" i="22" s="1"/>
  <c r="P224" i="22" s="1"/>
  <c r="D224" i="22"/>
  <c r="B224" i="22"/>
  <c r="D223" i="22"/>
  <c r="E223" i="22" s="1"/>
  <c r="F223" i="22" s="1"/>
  <c r="G223" i="22" s="1"/>
  <c r="H223" i="22" s="1"/>
  <c r="I223" i="22" s="1"/>
  <c r="J223" i="22" s="1"/>
  <c r="K223" i="22" s="1"/>
  <c r="L223" i="22" s="1"/>
  <c r="M223" i="22" s="1"/>
  <c r="N223" i="22" s="1"/>
  <c r="O223" i="22" s="1"/>
  <c r="P223" i="22" s="1"/>
  <c r="B223" i="22"/>
  <c r="F222" i="22"/>
  <c r="G222" i="22" s="1"/>
  <c r="E222" i="22"/>
  <c r="D222" i="22"/>
  <c r="B222" i="22"/>
  <c r="B228" i="22" s="1"/>
  <c r="AG220" i="22"/>
  <c r="AF220" i="22"/>
  <c r="AE220" i="22"/>
  <c r="AD220" i="22"/>
  <c r="AC220" i="22"/>
  <c r="AB220" i="22"/>
  <c r="AA220" i="22"/>
  <c r="Z220" i="22"/>
  <c r="Y220" i="22"/>
  <c r="X220" i="22"/>
  <c r="W220" i="22"/>
  <c r="V220" i="22"/>
  <c r="U220" i="22"/>
  <c r="T220" i="22"/>
  <c r="S220" i="22"/>
  <c r="R220" i="22"/>
  <c r="Q220" i="22"/>
  <c r="P220" i="22"/>
  <c r="O220" i="22"/>
  <c r="N220" i="22"/>
  <c r="M220" i="22"/>
  <c r="L220" i="22"/>
  <c r="K220" i="22"/>
  <c r="J220" i="22"/>
  <c r="I220" i="22"/>
  <c r="H220" i="22"/>
  <c r="G220" i="22"/>
  <c r="F220" i="22"/>
  <c r="E220" i="22"/>
  <c r="D220" i="22"/>
  <c r="C220" i="22"/>
  <c r="B220" i="22"/>
  <c r="AI113" i="22"/>
  <c r="AH113" i="22"/>
  <c r="AI112" i="22"/>
  <c r="AH112" i="22"/>
  <c r="AI111" i="22"/>
  <c r="AH111" i="22"/>
  <c r="AI110" i="22"/>
  <c r="AH110" i="22"/>
  <c r="AI109" i="22"/>
  <c r="AH109" i="22"/>
  <c r="AI108" i="22"/>
  <c r="AH108" i="22"/>
  <c r="AI107" i="22"/>
  <c r="AI106" i="22"/>
  <c r="AH106" i="22"/>
  <c r="AI105" i="22"/>
  <c r="AH105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C104" i="22"/>
  <c r="AI103" i="22"/>
  <c r="AH103" i="22"/>
  <c r="AI102" i="22"/>
  <c r="AH102" i="22"/>
  <c r="AI101" i="22"/>
  <c r="AH101" i="22"/>
  <c r="AI100" i="22"/>
  <c r="AH100" i="22"/>
  <c r="AI99" i="22"/>
  <c r="AH99" i="22"/>
  <c r="AI98" i="22"/>
  <c r="AH98" i="22"/>
  <c r="AI97" i="22"/>
  <c r="AH97" i="22"/>
  <c r="AI96" i="22"/>
  <c r="AH96" i="22"/>
  <c r="AI95" i="22"/>
  <c r="AH95" i="22"/>
  <c r="AI92" i="22"/>
  <c r="AH92" i="22"/>
  <c r="AF91" i="22"/>
  <c r="AE91" i="22"/>
  <c r="AD91" i="22"/>
  <c r="AC91" i="22"/>
  <c r="AB91" i="22"/>
  <c r="AA91" i="22"/>
  <c r="Z91" i="22"/>
  <c r="Y91" i="22"/>
  <c r="X91" i="22"/>
  <c r="W91" i="22"/>
  <c r="V91" i="22"/>
  <c r="U91" i="22"/>
  <c r="T91" i="22"/>
  <c r="S91" i="22"/>
  <c r="R91" i="22"/>
  <c r="Q91" i="22"/>
  <c r="P91" i="22"/>
  <c r="O91" i="22"/>
  <c r="N91" i="22"/>
  <c r="M91" i="22"/>
  <c r="L91" i="22"/>
  <c r="K91" i="22"/>
  <c r="J91" i="22"/>
  <c r="I91" i="22"/>
  <c r="H91" i="22"/>
  <c r="G91" i="22"/>
  <c r="F91" i="22"/>
  <c r="E91" i="22"/>
  <c r="D91" i="22"/>
  <c r="C91" i="22"/>
  <c r="B91" i="22"/>
  <c r="AF90" i="22"/>
  <c r="AE90" i="22"/>
  <c r="AD90" i="22"/>
  <c r="AC90" i="22"/>
  <c r="AB90" i="22"/>
  <c r="AA90" i="22"/>
  <c r="Z90" i="22"/>
  <c r="Y90" i="22"/>
  <c r="X90" i="22"/>
  <c r="W90" i="22"/>
  <c r="V90" i="22"/>
  <c r="U90" i="22"/>
  <c r="T90" i="22"/>
  <c r="S90" i="22"/>
  <c r="R90" i="22"/>
  <c r="Q90" i="22"/>
  <c r="P90" i="22"/>
  <c r="O90" i="22"/>
  <c r="N90" i="22"/>
  <c r="M90" i="22"/>
  <c r="L90" i="22"/>
  <c r="K90" i="22"/>
  <c r="J90" i="22"/>
  <c r="I90" i="22"/>
  <c r="H90" i="22"/>
  <c r="G90" i="22"/>
  <c r="F90" i="22"/>
  <c r="E90" i="22"/>
  <c r="D90" i="22"/>
  <c r="C90" i="22"/>
  <c r="B90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AI84" i="22"/>
  <c r="AH84" i="22"/>
  <c r="AI82" i="22"/>
  <c r="AH82" i="22"/>
  <c r="AG82" i="22"/>
  <c r="AI81" i="22"/>
  <c r="AH81" i="22"/>
  <c r="AI80" i="22"/>
  <c r="AH80" i="22"/>
  <c r="AI79" i="22"/>
  <c r="AH79" i="22"/>
  <c r="AG78" i="22"/>
  <c r="AF78" i="22"/>
  <c r="AE78" i="22"/>
  <c r="AD78" i="22"/>
  <c r="AC78" i="22"/>
  <c r="AB78" i="22"/>
  <c r="AA5" i="22" s="1"/>
  <c r="AA78" i="22"/>
  <c r="Z5" i="22" s="1"/>
  <c r="Z78" i="22"/>
  <c r="Y78" i="22"/>
  <c r="X5" i="22" s="1"/>
  <c r="X78" i="22"/>
  <c r="W78" i="22"/>
  <c r="V5" i="22" s="1"/>
  <c r="V78" i="22"/>
  <c r="U5" i="22" s="1"/>
  <c r="U78" i="22"/>
  <c r="T78" i="22"/>
  <c r="S5" i="22" s="1"/>
  <c r="S78" i="22"/>
  <c r="R5" i="22" s="1"/>
  <c r="R78" i="22"/>
  <c r="Q5" i="22" s="1"/>
  <c r="Q78" i="22"/>
  <c r="P5" i="22" s="1"/>
  <c r="P78" i="22"/>
  <c r="O78" i="22"/>
  <c r="N5" i="22" s="1"/>
  <c r="N78" i="22"/>
  <c r="M5" i="22" s="1"/>
  <c r="M78" i="22"/>
  <c r="L78" i="22"/>
  <c r="K5" i="22" s="1"/>
  <c r="K78" i="22"/>
  <c r="J5" i="22" s="1"/>
  <c r="J78" i="22"/>
  <c r="I78" i="22"/>
  <c r="H5" i="22" s="1"/>
  <c r="H78" i="22"/>
  <c r="G78" i="22"/>
  <c r="F5" i="22" s="1"/>
  <c r="F78" i="22"/>
  <c r="E5" i="22" s="1"/>
  <c r="E78" i="22"/>
  <c r="D78" i="22"/>
  <c r="C78" i="22"/>
  <c r="B5" i="22" s="1"/>
  <c r="B78" i="22"/>
  <c r="AF5" i="22" s="1"/>
  <c r="AI77" i="22"/>
  <c r="AH77" i="22"/>
  <c r="AI76" i="22"/>
  <c r="AH76" i="22"/>
  <c r="AI75" i="22"/>
  <c r="AH75" i="22"/>
  <c r="AI74" i="22"/>
  <c r="AH74" i="22"/>
  <c r="AI73" i="22"/>
  <c r="AH73" i="22"/>
  <c r="AI72" i="22"/>
  <c r="AH72" i="22"/>
  <c r="AI71" i="22"/>
  <c r="AH71" i="22"/>
  <c r="AI70" i="22"/>
  <c r="AH70" i="22"/>
  <c r="AI69" i="22"/>
  <c r="AH69" i="22"/>
  <c r="AI68" i="22"/>
  <c r="AH68" i="22"/>
  <c r="AI67" i="22"/>
  <c r="AH67" i="22"/>
  <c r="AG66" i="22"/>
  <c r="AF66" i="22"/>
  <c r="AE66" i="22"/>
  <c r="AD66" i="22"/>
  <c r="AC66" i="22"/>
  <c r="AB66" i="22"/>
  <c r="AA66" i="22"/>
  <c r="Y66" i="22"/>
  <c r="X66" i="22"/>
  <c r="W66" i="22"/>
  <c r="V66" i="22"/>
  <c r="U66" i="22"/>
  <c r="T66" i="22"/>
  <c r="S66" i="22"/>
  <c r="R66" i="22"/>
  <c r="Q66" i="22"/>
  <c r="P66" i="22"/>
  <c r="O66" i="22"/>
  <c r="N66" i="22"/>
  <c r="M66" i="22"/>
  <c r="L66" i="22"/>
  <c r="K66" i="22"/>
  <c r="J66" i="22"/>
  <c r="I66" i="22"/>
  <c r="H66" i="22"/>
  <c r="G66" i="22"/>
  <c r="F66" i="22"/>
  <c r="E66" i="22"/>
  <c r="D66" i="22"/>
  <c r="C66" i="22"/>
  <c r="B66" i="22"/>
  <c r="AI65" i="22"/>
  <c r="AH65" i="22"/>
  <c r="AI64" i="22"/>
  <c r="AH64" i="22"/>
  <c r="AI63" i="22"/>
  <c r="AH63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K62" i="22"/>
  <c r="J62" i="22"/>
  <c r="I62" i="22"/>
  <c r="H62" i="22"/>
  <c r="G62" i="22"/>
  <c r="F62" i="22"/>
  <c r="E62" i="22"/>
  <c r="D62" i="22"/>
  <c r="C62" i="22"/>
  <c r="B62" i="22"/>
  <c r="AI61" i="22"/>
  <c r="AH61" i="22"/>
  <c r="AI60" i="22"/>
  <c r="AH60" i="22"/>
  <c r="AI59" i="22"/>
  <c r="AH59" i="22"/>
  <c r="AI58" i="22"/>
  <c r="AH58" i="22"/>
  <c r="AI57" i="22"/>
  <c r="AH57" i="22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B48" i="22"/>
  <c r="AI47" i="22"/>
  <c r="AH47" i="22"/>
  <c r="AI46" i="22"/>
  <c r="AH46" i="22"/>
  <c r="AI45" i="22"/>
  <c r="AH45" i="22"/>
  <c r="AG44" i="22"/>
  <c r="AG83" i="22" s="1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D5" i="22"/>
  <c r="AC5" i="22"/>
  <c r="AG4" i="22"/>
  <c r="K4" i="22"/>
  <c r="B4" i="22"/>
  <c r="S239" i="22" s="1"/>
  <c r="AF43" i="21"/>
  <c r="AE43" i="21"/>
  <c r="AD43" i="21"/>
  <c r="AC43" i="21"/>
  <c r="AB44" i="21"/>
  <c r="E4" i="22"/>
  <c r="AH43" i="22" l="1"/>
  <c r="AD93" i="22"/>
  <c r="AH107" i="22"/>
  <c r="D228" i="22"/>
  <c r="X93" i="22"/>
  <c r="J93" i="22"/>
  <c r="D104" i="22"/>
  <c r="C263" i="22"/>
  <c r="K93" i="22"/>
  <c r="D93" i="22"/>
  <c r="G93" i="22"/>
  <c r="G263" i="23"/>
  <c r="I227" i="23"/>
  <c r="H263" i="26"/>
  <c r="J227" i="26"/>
  <c r="I104" i="26"/>
  <c r="I228" i="26"/>
  <c r="J222" i="26"/>
  <c r="G263" i="25"/>
  <c r="I227" i="25"/>
  <c r="AI86" i="25"/>
  <c r="AH86" i="25"/>
  <c r="I222" i="25"/>
  <c r="H104" i="25"/>
  <c r="H228" i="25"/>
  <c r="AI86" i="24"/>
  <c r="AH86" i="24"/>
  <c r="G263" i="24"/>
  <c r="I227" i="24"/>
  <c r="H222" i="24"/>
  <c r="G104" i="24"/>
  <c r="G228" i="24"/>
  <c r="AI86" i="23"/>
  <c r="AH86" i="23"/>
  <c r="H222" i="23"/>
  <c r="G228" i="23"/>
  <c r="G104" i="23"/>
  <c r="AF93" i="22"/>
  <c r="AF86" i="22" s="1"/>
  <c r="AF83" i="22"/>
  <c r="AF85" i="22" s="1"/>
  <c r="AE93" i="22"/>
  <c r="AE83" i="22"/>
  <c r="AE85" i="22" s="1"/>
  <c r="AD94" i="22"/>
  <c r="AD83" i="22"/>
  <c r="AD85" i="22" s="1"/>
  <c r="AC93" i="22"/>
  <c r="AC94" i="22" s="1"/>
  <c r="AC83" i="22"/>
  <c r="AC85" i="22" s="1"/>
  <c r="AC7" i="22" s="1"/>
  <c r="AB93" i="22"/>
  <c r="AB94" i="22" s="1"/>
  <c r="AB83" i="22"/>
  <c r="AB85" i="22" s="1"/>
  <c r="AA93" i="22"/>
  <c r="AA94" i="22" s="1"/>
  <c r="AA83" i="22"/>
  <c r="AA85" i="22" s="1"/>
  <c r="Z93" i="22"/>
  <c r="Z94" i="22" s="1"/>
  <c r="Y5" i="22"/>
  <c r="Z83" i="22"/>
  <c r="Z85" i="22" s="1"/>
  <c r="Y93" i="22"/>
  <c r="Y83" i="22"/>
  <c r="Y85" i="22" s="1"/>
  <c r="AQ242" i="22" s="1"/>
  <c r="X83" i="22"/>
  <c r="X85" i="22" s="1"/>
  <c r="W93" i="22"/>
  <c r="W83" i="22"/>
  <c r="W85" i="22" s="1"/>
  <c r="V93" i="22"/>
  <c r="V94" i="22" s="1"/>
  <c r="V83" i="22"/>
  <c r="V85" i="22" s="1"/>
  <c r="U93" i="22"/>
  <c r="U94" i="22" s="1"/>
  <c r="U83" i="22"/>
  <c r="U85" i="22" s="1"/>
  <c r="AM242" i="22" s="1"/>
  <c r="T93" i="22"/>
  <c r="T94" i="22" s="1"/>
  <c r="T83" i="22"/>
  <c r="T85" i="22" s="1"/>
  <c r="S93" i="22"/>
  <c r="S94" i="22" s="1"/>
  <c r="S83" i="22"/>
  <c r="S85" i="22" s="1"/>
  <c r="R93" i="22"/>
  <c r="R94" i="22" s="1"/>
  <c r="R83" i="22"/>
  <c r="R85" i="22" s="1"/>
  <c r="Q93" i="22"/>
  <c r="Q83" i="22"/>
  <c r="Q85" i="22" s="1"/>
  <c r="Q7" i="22" s="1"/>
  <c r="P93" i="22"/>
  <c r="P94" i="22" s="1"/>
  <c r="P83" i="22"/>
  <c r="P85" i="22" s="1"/>
  <c r="O93" i="22"/>
  <c r="O83" i="22"/>
  <c r="O85" i="22" s="1"/>
  <c r="AG2" i="22"/>
  <c r="N93" i="22"/>
  <c r="N94" i="22" s="1"/>
  <c r="N83" i="22"/>
  <c r="N85" i="22" s="1"/>
  <c r="AF242" i="22" s="1"/>
  <c r="M93" i="22"/>
  <c r="M86" i="22" s="1"/>
  <c r="M94" i="22"/>
  <c r="M83" i="22"/>
  <c r="M85" i="22" s="1"/>
  <c r="L93" i="22"/>
  <c r="L94" i="22" s="1"/>
  <c r="K94" i="22"/>
  <c r="J94" i="22"/>
  <c r="I5" i="22"/>
  <c r="J83" i="22"/>
  <c r="J85" i="22" s="1"/>
  <c r="AB242" i="22" s="1"/>
  <c r="I93" i="22"/>
  <c r="I94" i="22" s="1"/>
  <c r="H93" i="22"/>
  <c r="AI66" i="22"/>
  <c r="H83" i="22"/>
  <c r="H85" i="22" s="1"/>
  <c r="Z242" i="22" s="1"/>
  <c r="K83" i="22"/>
  <c r="K85" i="22" s="1"/>
  <c r="K7" i="22" s="1"/>
  <c r="L83" i="22"/>
  <c r="L85" i="22" s="1"/>
  <c r="L86" i="22" s="1"/>
  <c r="AI91" i="22"/>
  <c r="G83" i="22"/>
  <c r="G85" i="22" s="1"/>
  <c r="G86" i="22" s="1"/>
  <c r="AI90" i="22"/>
  <c r="I83" i="22"/>
  <c r="I85" i="22" s="1"/>
  <c r="AA242" i="22" s="1"/>
  <c r="F93" i="22"/>
  <c r="F94" i="22" s="1"/>
  <c r="AH89" i="22"/>
  <c r="AI89" i="22"/>
  <c r="F83" i="22"/>
  <c r="F85" i="22" s="1"/>
  <c r="F7" i="22" s="1"/>
  <c r="AH88" i="22"/>
  <c r="E93" i="22"/>
  <c r="E94" i="22" s="1"/>
  <c r="E83" i="22"/>
  <c r="E85" i="22" s="1"/>
  <c r="W242" i="22" s="1"/>
  <c r="D94" i="22"/>
  <c r="C5" i="22"/>
  <c r="AI62" i="22"/>
  <c r="D83" i="22"/>
  <c r="D85" i="22" s="1"/>
  <c r="V242" i="22" s="1"/>
  <c r="AI48" i="22"/>
  <c r="AI87" i="22"/>
  <c r="C83" i="22"/>
  <c r="C85" i="22" s="1"/>
  <c r="C7" i="22" s="1"/>
  <c r="C93" i="22"/>
  <c r="C94" i="22" s="1"/>
  <c r="AI44" i="22"/>
  <c r="H4" i="22"/>
  <c r="N86" i="22"/>
  <c r="N7" i="22"/>
  <c r="AW242" i="22"/>
  <c r="AE86" i="22"/>
  <c r="AE7" i="22"/>
  <c r="D263" i="22"/>
  <c r="F227" i="22"/>
  <c r="E104" i="22"/>
  <c r="AO242" i="22"/>
  <c r="W86" i="22"/>
  <c r="W7" i="22"/>
  <c r="AF7" i="22"/>
  <c r="AX242" i="22"/>
  <c r="AE242" i="22"/>
  <c r="M7" i="22"/>
  <c r="AG242" i="22"/>
  <c r="O86" i="22"/>
  <c r="O7" i="22"/>
  <c r="AG85" i="22"/>
  <c r="AG3" i="22"/>
  <c r="AN242" i="22"/>
  <c r="V86" i="22"/>
  <c r="V7" i="22"/>
  <c r="X7" i="22"/>
  <c r="AP242" i="22"/>
  <c r="X86" i="22"/>
  <c r="Q86" i="22"/>
  <c r="J7" i="22"/>
  <c r="R7" i="22"/>
  <c r="AJ242" i="22"/>
  <c r="R86" i="22"/>
  <c r="Z7" i="22"/>
  <c r="AR242" i="22"/>
  <c r="Z86" i="22"/>
  <c r="G94" i="22"/>
  <c r="O94" i="22"/>
  <c r="W94" i="22"/>
  <c r="AE94" i="22"/>
  <c r="H222" i="22"/>
  <c r="AG6" i="22"/>
  <c r="H7" i="22"/>
  <c r="I7" i="22"/>
  <c r="S7" i="22"/>
  <c r="AK242" i="22"/>
  <c r="S86" i="22"/>
  <c r="AA7" i="22"/>
  <c r="AS242" i="22"/>
  <c r="AA86" i="22"/>
  <c r="H94" i="22"/>
  <c r="X94" i="22"/>
  <c r="AV242" i="22"/>
  <c r="AD86" i="22"/>
  <c r="AD7" i="22"/>
  <c r="Y242" i="22"/>
  <c r="G7" i="22"/>
  <c r="P7" i="22"/>
  <c r="AH242" i="22"/>
  <c r="D7" i="22"/>
  <c r="AL242" i="22"/>
  <c r="T7" i="22"/>
  <c r="AT242" i="22"/>
  <c r="AB7" i="22"/>
  <c r="Q94" i="22"/>
  <c r="Y94" i="22"/>
  <c r="AH44" i="22"/>
  <c r="G5" i="22"/>
  <c r="O5" i="22"/>
  <c r="W5" i="22"/>
  <c r="AE5" i="22"/>
  <c r="D239" i="22"/>
  <c r="AI88" i="22"/>
  <c r="AH62" i="22"/>
  <c r="AH66" i="22"/>
  <c r="AH78" i="22"/>
  <c r="B83" i="22"/>
  <c r="AI78" i="22"/>
  <c r="AH87" i="22"/>
  <c r="B93" i="22"/>
  <c r="B94" i="22" s="1"/>
  <c r="F104" i="22"/>
  <c r="AH48" i="22"/>
  <c r="D5" i="22"/>
  <c r="L5" i="22"/>
  <c r="T5" i="22"/>
  <c r="AB5" i="22"/>
  <c r="AH90" i="22"/>
  <c r="E225" i="22"/>
  <c r="F225" i="22" s="1"/>
  <c r="G225" i="22" s="1"/>
  <c r="H225" i="22" s="1"/>
  <c r="I225" i="22" s="1"/>
  <c r="J225" i="22" s="1"/>
  <c r="K225" i="22" s="1"/>
  <c r="L225" i="22" s="1"/>
  <c r="M225" i="22" s="1"/>
  <c r="N225" i="22" s="1"/>
  <c r="O225" i="22" s="1"/>
  <c r="P225" i="22" s="1"/>
  <c r="AH91" i="22"/>
  <c r="B104" i="22"/>
  <c r="AA107" i="21"/>
  <c r="AA43" i="21"/>
  <c r="AI242" i="22" l="1"/>
  <c r="Y7" i="22"/>
  <c r="Y86" i="22"/>
  <c r="AC86" i="22"/>
  <c r="H263" i="23"/>
  <c r="J227" i="23"/>
  <c r="AB86" i="22"/>
  <c r="AU242" i="22"/>
  <c r="U7" i="22"/>
  <c r="F228" i="22"/>
  <c r="P86" i="22"/>
  <c r="AF94" i="22"/>
  <c r="U86" i="22"/>
  <c r="J86" i="22"/>
  <c r="T86" i="22"/>
  <c r="C86" i="22"/>
  <c r="K227" i="26"/>
  <c r="I263" i="26"/>
  <c r="J104" i="26"/>
  <c r="J228" i="26"/>
  <c r="K222" i="26"/>
  <c r="I104" i="25"/>
  <c r="I228" i="25"/>
  <c r="J222" i="25"/>
  <c r="H263" i="25"/>
  <c r="J227" i="25"/>
  <c r="I222" i="24"/>
  <c r="H104" i="24"/>
  <c r="H228" i="24"/>
  <c r="H263" i="24"/>
  <c r="J227" i="24"/>
  <c r="I222" i="23"/>
  <c r="H104" i="23"/>
  <c r="H228" i="23"/>
  <c r="AD242" i="22"/>
  <c r="C237" i="22"/>
  <c r="K86" i="22"/>
  <c r="AC242" i="22"/>
  <c r="L7" i="22"/>
  <c r="B237" i="22"/>
  <c r="I86" i="22"/>
  <c r="H86" i="22"/>
  <c r="X242" i="22"/>
  <c r="E86" i="22"/>
  <c r="E7" i="22"/>
  <c r="F86" i="22"/>
  <c r="D86" i="22"/>
  <c r="U242" i="22"/>
  <c r="I222" i="22"/>
  <c r="AI94" i="22"/>
  <c r="AH94" i="22"/>
  <c r="E263" i="22"/>
  <c r="G227" i="22"/>
  <c r="E228" i="22"/>
  <c r="AI93" i="22"/>
  <c r="AH93" i="22"/>
  <c r="AH83" i="22"/>
  <c r="AI83" i="22"/>
  <c r="B85" i="22"/>
  <c r="Z107" i="21"/>
  <c r="Z43" i="21"/>
  <c r="Y107" i="21"/>
  <c r="Y43" i="21"/>
  <c r="W107" i="21"/>
  <c r="W43" i="21"/>
  <c r="V107" i="21"/>
  <c r="V43" i="21"/>
  <c r="U107" i="21"/>
  <c r="U43" i="21"/>
  <c r="S104" i="21"/>
  <c r="T107" i="21"/>
  <c r="T43" i="21"/>
  <c r="S43" i="21"/>
  <c r="AH30" i="21"/>
  <c r="AI30" i="21"/>
  <c r="K227" i="23" l="1"/>
  <c r="I263" i="23"/>
  <c r="J263" i="26"/>
  <c r="L227" i="26"/>
  <c r="K104" i="26"/>
  <c r="K228" i="26"/>
  <c r="L222" i="26"/>
  <c r="K227" i="25"/>
  <c r="I263" i="25"/>
  <c r="J104" i="25"/>
  <c r="J228" i="25"/>
  <c r="K222" i="25"/>
  <c r="K227" i="24"/>
  <c r="I263" i="24"/>
  <c r="I104" i="24"/>
  <c r="I228" i="24"/>
  <c r="J222" i="24"/>
  <c r="I104" i="23"/>
  <c r="I228" i="23"/>
  <c r="J222" i="23"/>
  <c r="K6" i="22"/>
  <c r="B7" i="22"/>
  <c r="A7" i="22" s="1"/>
  <c r="T242" i="22"/>
  <c r="B86" i="22"/>
  <c r="AI85" i="22"/>
  <c r="AH85" i="22"/>
  <c r="F263" i="22"/>
  <c r="H227" i="22"/>
  <c r="G228" i="22"/>
  <c r="G104" i="22"/>
  <c r="J222" i="22"/>
  <c r="J263" i="23" l="1"/>
  <c r="L227" i="23"/>
  <c r="K263" i="26"/>
  <c r="M227" i="26"/>
  <c r="L228" i="26"/>
  <c r="M222" i="26"/>
  <c r="L104" i="26"/>
  <c r="K104" i="25"/>
  <c r="K228" i="25"/>
  <c r="L222" i="25"/>
  <c r="J263" i="25"/>
  <c r="L227" i="25"/>
  <c r="J104" i="24"/>
  <c r="J228" i="24"/>
  <c r="K222" i="24"/>
  <c r="J263" i="24"/>
  <c r="L227" i="24"/>
  <c r="J104" i="23"/>
  <c r="J228" i="23"/>
  <c r="K222" i="23"/>
  <c r="G263" i="22"/>
  <c r="I227" i="22"/>
  <c r="H228" i="22"/>
  <c r="H104" i="22"/>
  <c r="K222" i="22"/>
  <c r="AI86" i="22"/>
  <c r="AH86" i="22"/>
  <c r="M227" i="23" l="1"/>
  <c r="K263" i="23"/>
  <c r="L263" i="26"/>
  <c r="N227" i="26"/>
  <c r="N222" i="26"/>
  <c r="M104" i="26"/>
  <c r="M228" i="26"/>
  <c r="K263" i="25"/>
  <c r="M227" i="25"/>
  <c r="L228" i="25"/>
  <c r="M222" i="25"/>
  <c r="L104" i="25"/>
  <c r="K263" i="24"/>
  <c r="M227" i="24"/>
  <c r="K104" i="24"/>
  <c r="K228" i="24"/>
  <c r="L222" i="24"/>
  <c r="K228" i="23"/>
  <c r="L222" i="23"/>
  <c r="K104" i="23"/>
  <c r="L222" i="22"/>
  <c r="H263" i="22"/>
  <c r="J227" i="22"/>
  <c r="I104" i="22"/>
  <c r="I228" i="22"/>
  <c r="L107" i="21"/>
  <c r="L43" i="21"/>
  <c r="K43" i="21"/>
  <c r="K107" i="21"/>
  <c r="AI107" i="21" s="1"/>
  <c r="J43" i="21"/>
  <c r="AI43" i="21" s="1"/>
  <c r="J107" i="21"/>
  <c r="G107" i="21"/>
  <c r="H107" i="21"/>
  <c r="I107" i="21"/>
  <c r="F10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C263" i="21"/>
  <c r="B263" i="21"/>
  <c r="S23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C228" i="21"/>
  <c r="D227" i="21"/>
  <c r="E227" i="21" s="1"/>
  <c r="D263" i="21" s="1"/>
  <c r="B227" i="21"/>
  <c r="AF263" i="21" s="1"/>
  <c r="D226" i="21"/>
  <c r="E226" i="21" s="1"/>
  <c r="F226" i="21" s="1"/>
  <c r="G226" i="21" s="1"/>
  <c r="H226" i="21" s="1"/>
  <c r="I226" i="21" s="1"/>
  <c r="J226" i="21" s="1"/>
  <c r="K226" i="21" s="1"/>
  <c r="L226" i="21" s="1"/>
  <c r="M226" i="21" s="1"/>
  <c r="N226" i="21" s="1"/>
  <c r="O226" i="21" s="1"/>
  <c r="P226" i="21" s="1"/>
  <c r="B226" i="21"/>
  <c r="E225" i="21"/>
  <c r="F225" i="21" s="1"/>
  <c r="G225" i="21" s="1"/>
  <c r="H225" i="21" s="1"/>
  <c r="I225" i="21" s="1"/>
  <c r="J225" i="21" s="1"/>
  <c r="K225" i="21" s="1"/>
  <c r="L225" i="21" s="1"/>
  <c r="M225" i="21" s="1"/>
  <c r="N225" i="21" s="1"/>
  <c r="O225" i="21" s="1"/>
  <c r="P225" i="21" s="1"/>
  <c r="D225" i="21"/>
  <c r="B225" i="21"/>
  <c r="D224" i="21"/>
  <c r="E224" i="21" s="1"/>
  <c r="F224" i="21" s="1"/>
  <c r="G224" i="21" s="1"/>
  <c r="H224" i="21" s="1"/>
  <c r="I224" i="21" s="1"/>
  <c r="J224" i="21" s="1"/>
  <c r="K224" i="21" s="1"/>
  <c r="L224" i="21" s="1"/>
  <c r="M224" i="21" s="1"/>
  <c r="N224" i="21" s="1"/>
  <c r="O224" i="21" s="1"/>
  <c r="P224" i="21" s="1"/>
  <c r="B224" i="21"/>
  <c r="D223" i="21"/>
  <c r="E223" i="21" s="1"/>
  <c r="F223" i="21" s="1"/>
  <c r="G223" i="21" s="1"/>
  <c r="H223" i="21" s="1"/>
  <c r="I223" i="21" s="1"/>
  <c r="J223" i="21" s="1"/>
  <c r="K223" i="21" s="1"/>
  <c r="L223" i="21" s="1"/>
  <c r="M223" i="21" s="1"/>
  <c r="N223" i="21" s="1"/>
  <c r="O223" i="21" s="1"/>
  <c r="P223" i="21" s="1"/>
  <c r="B223" i="21"/>
  <c r="D222" i="21"/>
  <c r="E222" i="21" s="1"/>
  <c r="B222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I113" i="21"/>
  <c r="AH113" i="21"/>
  <c r="AI112" i="21"/>
  <c r="AH112" i="21"/>
  <c r="AI111" i="21"/>
  <c r="AH111" i="21"/>
  <c r="AI110" i="21"/>
  <c r="AH110" i="21"/>
  <c r="AI109" i="21"/>
  <c r="AH109" i="21"/>
  <c r="AI108" i="21"/>
  <c r="AH108" i="21"/>
  <c r="AH107" i="21"/>
  <c r="AI106" i="21"/>
  <c r="AH106" i="21"/>
  <c r="AI105" i="21"/>
  <c r="AH105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R104" i="21"/>
  <c r="Q104" i="21"/>
  <c r="C104" i="21"/>
  <c r="AI103" i="21"/>
  <c r="AH103" i="21"/>
  <c r="AI102" i="21"/>
  <c r="AH102" i="21"/>
  <c r="AI101" i="21"/>
  <c r="AH101" i="21"/>
  <c r="AI100" i="21"/>
  <c r="AH100" i="21"/>
  <c r="AI99" i="21"/>
  <c r="AH99" i="21"/>
  <c r="AI98" i="21"/>
  <c r="AH98" i="21"/>
  <c r="AI97" i="21"/>
  <c r="AH97" i="21"/>
  <c r="AI96" i="21"/>
  <c r="AH96" i="21"/>
  <c r="AI95" i="21"/>
  <c r="AH95" i="21"/>
  <c r="AI92" i="21"/>
  <c r="AH92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S93" i="21" s="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I84" i="21"/>
  <c r="AH84" i="21"/>
  <c r="AI82" i="21"/>
  <c r="AH82" i="21"/>
  <c r="AG82" i="21"/>
  <c r="AI81" i="21"/>
  <c r="AH81" i="21"/>
  <c r="AI80" i="21"/>
  <c r="AH80" i="21"/>
  <c r="AI79" i="21"/>
  <c r="AH79" i="21"/>
  <c r="AG78" i="21"/>
  <c r="AF78" i="21"/>
  <c r="AE5" i="21" s="1"/>
  <c r="AE78" i="21"/>
  <c r="AD5" i="21" s="1"/>
  <c r="AD78" i="21"/>
  <c r="AC78" i="21"/>
  <c r="AB5" i="21" s="1"/>
  <c r="AB78" i="21"/>
  <c r="AA5" i="21" s="1"/>
  <c r="AA78" i="21"/>
  <c r="Z5" i="21" s="1"/>
  <c r="Z78" i="21"/>
  <c r="Y78" i="21"/>
  <c r="X5" i="21" s="1"/>
  <c r="X78" i="21"/>
  <c r="W5" i="21" s="1"/>
  <c r="W78" i="21"/>
  <c r="V5" i="21" s="1"/>
  <c r="V78" i="21"/>
  <c r="U78" i="21"/>
  <c r="T5" i="21" s="1"/>
  <c r="T78" i="21"/>
  <c r="S5" i="21" s="1"/>
  <c r="S78" i="21"/>
  <c r="R5" i="21" s="1"/>
  <c r="R78" i="21"/>
  <c r="Q5" i="21" s="1"/>
  <c r="Q78" i="21"/>
  <c r="P5" i="21" s="1"/>
  <c r="P78" i="21"/>
  <c r="O5" i="21" s="1"/>
  <c r="O78" i="21"/>
  <c r="N5" i="21" s="1"/>
  <c r="N78" i="21"/>
  <c r="M78" i="21"/>
  <c r="L5" i="21" s="1"/>
  <c r="L78" i="21"/>
  <c r="K5" i="21" s="1"/>
  <c r="K78" i="21"/>
  <c r="J5" i="21" s="1"/>
  <c r="J78" i="21"/>
  <c r="I5" i="21" s="1"/>
  <c r="I78" i="21"/>
  <c r="H5" i="21" s="1"/>
  <c r="H78" i="21"/>
  <c r="G5" i="21" s="1"/>
  <c r="G78" i="21"/>
  <c r="F5" i="21" s="1"/>
  <c r="F78" i="21"/>
  <c r="E78" i="21"/>
  <c r="D5" i="21" s="1"/>
  <c r="D78" i="21"/>
  <c r="C78" i="21"/>
  <c r="B78" i="21"/>
  <c r="AF5" i="21" s="1"/>
  <c r="AI77" i="21"/>
  <c r="AH77" i="21"/>
  <c r="AI76" i="21"/>
  <c r="AH76" i="21"/>
  <c r="AI75" i="21"/>
  <c r="AH75" i="21"/>
  <c r="AI74" i="21"/>
  <c r="AH74" i="21"/>
  <c r="AI73" i="21"/>
  <c r="AH73" i="21"/>
  <c r="AI72" i="21"/>
  <c r="AH72" i="21"/>
  <c r="AI71" i="21"/>
  <c r="AH71" i="21"/>
  <c r="AI70" i="21"/>
  <c r="AH70" i="21"/>
  <c r="AI69" i="21"/>
  <c r="AH69" i="21"/>
  <c r="AI68" i="21"/>
  <c r="AH68" i="21"/>
  <c r="AI67" i="21"/>
  <c r="AH67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I65" i="21"/>
  <c r="AH65" i="21"/>
  <c r="AI64" i="21"/>
  <c r="AH64" i="21"/>
  <c r="AI63" i="21"/>
  <c r="AH63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I61" i="21"/>
  <c r="AH61" i="21"/>
  <c r="AG61" i="21"/>
  <c r="AG62" i="21" s="1"/>
  <c r="AG3" i="21" s="1"/>
  <c r="AI60" i="21"/>
  <c r="AH60" i="21"/>
  <c r="AI59" i="21"/>
  <c r="AH59" i="21"/>
  <c r="AI58" i="21"/>
  <c r="AH58" i="21"/>
  <c r="AI57" i="21"/>
  <c r="AH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I47" i="21"/>
  <c r="AH47" i="21"/>
  <c r="AI46" i="21"/>
  <c r="AH46" i="21"/>
  <c r="AI45" i="21"/>
  <c r="AH45" i="21"/>
  <c r="AG44" i="21"/>
  <c r="AG2" i="21" s="1"/>
  <c r="AF44" i="21"/>
  <c r="AE44" i="21"/>
  <c r="AD44" i="21"/>
  <c r="AC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Y5" i="21"/>
  <c r="C5" i="21"/>
  <c r="B5" i="21"/>
  <c r="AG4" i="21"/>
  <c r="K4" i="21"/>
  <c r="B4" i="21"/>
  <c r="S239" i="21" s="1"/>
  <c r="T106" i="20"/>
  <c r="T103" i="20" s="1"/>
  <c r="U106" i="20"/>
  <c r="U103" i="20" s="1"/>
  <c r="U42" i="20"/>
  <c r="T42" i="20"/>
  <c r="S106" i="20"/>
  <c r="S42" i="20"/>
  <c r="R106" i="20"/>
  <c r="R42" i="20"/>
  <c r="P106" i="20"/>
  <c r="Q106" i="20"/>
  <c r="Q103" i="20" s="1"/>
  <c r="Q42" i="20"/>
  <c r="O106" i="20"/>
  <c r="O42" i="20"/>
  <c r="L106" i="20"/>
  <c r="L42" i="20"/>
  <c r="K42" i="20"/>
  <c r="K106" i="20"/>
  <c r="J106" i="20"/>
  <c r="J42" i="20"/>
  <c r="I106" i="20"/>
  <c r="I42" i="20"/>
  <c r="H42" i="20"/>
  <c r="G106" i="20"/>
  <c r="G42" i="20"/>
  <c r="AH42" i="20" s="1"/>
  <c r="F106" i="20"/>
  <c r="B90" i="20"/>
  <c r="B89" i="20"/>
  <c r="B88" i="20"/>
  <c r="B87" i="20"/>
  <c r="B86" i="20"/>
  <c r="B77" i="20"/>
  <c r="B65" i="20"/>
  <c r="B61" i="20"/>
  <c r="B47" i="20"/>
  <c r="B43" i="20"/>
  <c r="AF266" i="20"/>
  <c r="AE266" i="20"/>
  <c r="AD266" i="20"/>
  <c r="AC266" i="20"/>
  <c r="AB266" i="20"/>
  <c r="AA266" i="20"/>
  <c r="Z266" i="20"/>
  <c r="Y266" i="20"/>
  <c r="X266" i="20"/>
  <c r="W266" i="20"/>
  <c r="V266" i="20"/>
  <c r="U266" i="20"/>
  <c r="T266" i="20"/>
  <c r="S266" i="20"/>
  <c r="R266" i="20"/>
  <c r="Q266" i="20"/>
  <c r="P266" i="20"/>
  <c r="O266" i="20"/>
  <c r="N266" i="20"/>
  <c r="M266" i="20"/>
  <c r="L266" i="20"/>
  <c r="K266" i="20"/>
  <c r="J266" i="20"/>
  <c r="I266" i="20"/>
  <c r="H266" i="20"/>
  <c r="G266" i="20"/>
  <c r="F266" i="20"/>
  <c r="E266" i="20"/>
  <c r="D266" i="20"/>
  <c r="C266" i="20"/>
  <c r="B266" i="20"/>
  <c r="A266" i="20"/>
  <c r="AF265" i="20"/>
  <c r="AE265" i="20"/>
  <c r="AD265" i="20"/>
  <c r="AC265" i="20"/>
  <c r="AB265" i="20"/>
  <c r="AA265" i="20"/>
  <c r="Z265" i="20"/>
  <c r="Y265" i="20"/>
  <c r="X265" i="20"/>
  <c r="W265" i="20"/>
  <c r="V265" i="20"/>
  <c r="U265" i="20"/>
  <c r="T265" i="20"/>
  <c r="S265" i="20"/>
  <c r="R265" i="20"/>
  <c r="Q265" i="20"/>
  <c r="P265" i="20"/>
  <c r="O265" i="20"/>
  <c r="N265" i="20"/>
  <c r="M265" i="20"/>
  <c r="L265" i="20"/>
  <c r="K265" i="20"/>
  <c r="J265" i="20"/>
  <c r="I265" i="20"/>
  <c r="H265" i="20"/>
  <c r="G265" i="20"/>
  <c r="F265" i="20"/>
  <c r="E265" i="20"/>
  <c r="D265" i="20"/>
  <c r="C265" i="20"/>
  <c r="B265" i="20"/>
  <c r="A265" i="20"/>
  <c r="AF264" i="20"/>
  <c r="AE264" i="20"/>
  <c r="AD264" i="20"/>
  <c r="AC264" i="20"/>
  <c r="AB264" i="20"/>
  <c r="AA264" i="20"/>
  <c r="Z264" i="20"/>
  <c r="Y264" i="20"/>
  <c r="X264" i="20"/>
  <c r="W264" i="20"/>
  <c r="V264" i="20"/>
  <c r="U264" i="20"/>
  <c r="T264" i="20"/>
  <c r="S264" i="20"/>
  <c r="R264" i="20"/>
  <c r="Q264" i="20"/>
  <c r="P264" i="20"/>
  <c r="O264" i="20"/>
  <c r="N264" i="20"/>
  <c r="M264" i="20"/>
  <c r="L264" i="20"/>
  <c r="K264" i="20"/>
  <c r="J264" i="20"/>
  <c r="I264" i="20"/>
  <c r="H264" i="20"/>
  <c r="G264" i="20"/>
  <c r="F264" i="20"/>
  <c r="E264" i="20"/>
  <c r="D264" i="20"/>
  <c r="C264" i="20"/>
  <c r="B264" i="20"/>
  <c r="A264" i="20"/>
  <c r="AF263" i="20"/>
  <c r="AE263" i="20"/>
  <c r="AD263" i="20"/>
  <c r="AC263" i="20"/>
  <c r="AB263" i="20"/>
  <c r="AA263" i="20"/>
  <c r="Z263" i="20"/>
  <c r="Y263" i="20"/>
  <c r="X263" i="20"/>
  <c r="W263" i="20"/>
  <c r="V263" i="20"/>
  <c r="U263" i="20"/>
  <c r="T263" i="20"/>
  <c r="S263" i="20"/>
  <c r="R263" i="20"/>
  <c r="Q263" i="20"/>
  <c r="P263" i="20"/>
  <c r="O263" i="20"/>
  <c r="N263" i="20"/>
  <c r="M263" i="20"/>
  <c r="L263" i="20"/>
  <c r="K263" i="20"/>
  <c r="J263" i="20"/>
  <c r="I263" i="20"/>
  <c r="H263" i="20"/>
  <c r="G263" i="20"/>
  <c r="F263" i="20"/>
  <c r="E263" i="20"/>
  <c r="D263" i="20"/>
  <c r="C263" i="20"/>
  <c r="B263" i="20"/>
  <c r="A263" i="20"/>
  <c r="AE262" i="20"/>
  <c r="AD262" i="20"/>
  <c r="AC262" i="20"/>
  <c r="AB262" i="20"/>
  <c r="AA262" i="20"/>
  <c r="Z262" i="20"/>
  <c r="Y262" i="20"/>
  <c r="X262" i="20"/>
  <c r="W262" i="20"/>
  <c r="V262" i="20"/>
  <c r="U262" i="20"/>
  <c r="T262" i="20"/>
  <c r="S262" i="20"/>
  <c r="R262" i="20"/>
  <c r="Q262" i="20"/>
  <c r="P262" i="20"/>
  <c r="B262" i="20"/>
  <c r="S237" i="20"/>
  <c r="AG227" i="20"/>
  <c r="AF227" i="20"/>
  <c r="AE227" i="20"/>
  <c r="AD227" i="20"/>
  <c r="AC227" i="20"/>
  <c r="AB227" i="20"/>
  <c r="AA227" i="20"/>
  <c r="Z227" i="20"/>
  <c r="Y227" i="20"/>
  <c r="X227" i="20"/>
  <c r="W227" i="20"/>
  <c r="V227" i="20"/>
  <c r="U227" i="20"/>
  <c r="T227" i="20"/>
  <c r="S227" i="20"/>
  <c r="R227" i="20"/>
  <c r="Q227" i="20"/>
  <c r="C227" i="20"/>
  <c r="D226" i="20"/>
  <c r="C262" i="20" s="1"/>
  <c r="B226" i="20"/>
  <c r="AF262" i="20" s="1"/>
  <c r="D225" i="20"/>
  <c r="E225" i="20" s="1"/>
  <c r="F225" i="20" s="1"/>
  <c r="G225" i="20" s="1"/>
  <c r="H225" i="20" s="1"/>
  <c r="I225" i="20" s="1"/>
  <c r="J225" i="20" s="1"/>
  <c r="K225" i="20" s="1"/>
  <c r="L225" i="20" s="1"/>
  <c r="M225" i="20" s="1"/>
  <c r="N225" i="20" s="1"/>
  <c r="O225" i="20" s="1"/>
  <c r="P225" i="20" s="1"/>
  <c r="B225" i="20"/>
  <c r="D224" i="20"/>
  <c r="E224" i="20" s="1"/>
  <c r="F224" i="20" s="1"/>
  <c r="G224" i="20" s="1"/>
  <c r="H224" i="20" s="1"/>
  <c r="I224" i="20" s="1"/>
  <c r="J224" i="20" s="1"/>
  <c r="K224" i="20" s="1"/>
  <c r="L224" i="20" s="1"/>
  <c r="M224" i="20" s="1"/>
  <c r="N224" i="20" s="1"/>
  <c r="O224" i="20" s="1"/>
  <c r="P224" i="20" s="1"/>
  <c r="B224" i="20"/>
  <c r="D223" i="20"/>
  <c r="E223" i="20" s="1"/>
  <c r="F223" i="20" s="1"/>
  <c r="G223" i="20" s="1"/>
  <c r="H223" i="20" s="1"/>
  <c r="I223" i="20" s="1"/>
  <c r="J223" i="20" s="1"/>
  <c r="K223" i="20" s="1"/>
  <c r="L223" i="20" s="1"/>
  <c r="M223" i="20" s="1"/>
  <c r="N223" i="20" s="1"/>
  <c r="O223" i="20" s="1"/>
  <c r="P223" i="20" s="1"/>
  <c r="B223" i="20"/>
  <c r="D222" i="20"/>
  <c r="E222" i="20" s="1"/>
  <c r="B222" i="20"/>
  <c r="E221" i="20"/>
  <c r="F221" i="20" s="1"/>
  <c r="D221" i="20"/>
  <c r="B221" i="20"/>
  <c r="AG219" i="20"/>
  <c r="AF219" i="20"/>
  <c r="AE219" i="20"/>
  <c r="AD219" i="20"/>
  <c r="AC219" i="20"/>
  <c r="AB219" i="20"/>
  <c r="AA219" i="20"/>
  <c r="Z219" i="20"/>
  <c r="Y219" i="20"/>
  <c r="X219" i="20"/>
  <c r="W219" i="20"/>
  <c r="V219" i="20"/>
  <c r="U219" i="20"/>
  <c r="T219" i="20"/>
  <c r="S219" i="20"/>
  <c r="R219" i="20"/>
  <c r="Q219" i="20"/>
  <c r="P219" i="20"/>
  <c r="O219" i="20"/>
  <c r="N219" i="20"/>
  <c r="M219" i="20"/>
  <c r="L219" i="20"/>
  <c r="K219" i="20"/>
  <c r="J219" i="20"/>
  <c r="I219" i="20"/>
  <c r="H219" i="20"/>
  <c r="G219" i="20"/>
  <c r="F219" i="20"/>
  <c r="E219" i="20"/>
  <c r="D219" i="20"/>
  <c r="C219" i="20"/>
  <c r="B219" i="20"/>
  <c r="AI112" i="20"/>
  <c r="AH112" i="20"/>
  <c r="AI111" i="20"/>
  <c r="AH111" i="20"/>
  <c r="AI110" i="20"/>
  <c r="AH110" i="20"/>
  <c r="AI109" i="20"/>
  <c r="AH109" i="20"/>
  <c r="AI108" i="20"/>
  <c r="AH108" i="20"/>
  <c r="AI107" i="20"/>
  <c r="AH107" i="20"/>
  <c r="AI105" i="20"/>
  <c r="AH105" i="20"/>
  <c r="AI104" i="20"/>
  <c r="AH104" i="20"/>
  <c r="AF103" i="20"/>
  <c r="AE103" i="20"/>
  <c r="AD103" i="20"/>
  <c r="AC103" i="20"/>
  <c r="AB103" i="20"/>
  <c r="AA103" i="20"/>
  <c r="Z103" i="20"/>
  <c r="Y103" i="20"/>
  <c r="X103" i="20"/>
  <c r="W103" i="20"/>
  <c r="V103" i="20"/>
  <c r="S103" i="20"/>
  <c r="R103" i="20"/>
  <c r="C103" i="20"/>
  <c r="AI102" i="20"/>
  <c r="AH102" i="20"/>
  <c r="AI101" i="20"/>
  <c r="AH101" i="20"/>
  <c r="AI100" i="20"/>
  <c r="AH100" i="20"/>
  <c r="AI99" i="20"/>
  <c r="AH99" i="20"/>
  <c r="AI98" i="20"/>
  <c r="AH98" i="20"/>
  <c r="AI97" i="20"/>
  <c r="AH97" i="20"/>
  <c r="AI96" i="20"/>
  <c r="AH96" i="20"/>
  <c r="AI95" i="20"/>
  <c r="AH95" i="20"/>
  <c r="AI94" i="20"/>
  <c r="AH94" i="20"/>
  <c r="AI91" i="20"/>
  <c r="AH91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Q92" i="20" s="1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AI83" i="20"/>
  <c r="AH83" i="20"/>
  <c r="AI81" i="20"/>
  <c r="AH81" i="20"/>
  <c r="AG81" i="20"/>
  <c r="AI80" i="20"/>
  <c r="AH80" i="20"/>
  <c r="AI79" i="20"/>
  <c r="AH79" i="20"/>
  <c r="AI78" i="20"/>
  <c r="AH78" i="20"/>
  <c r="AG77" i="20"/>
  <c r="AF77" i="20"/>
  <c r="AE5" i="20" s="1"/>
  <c r="AE77" i="20"/>
  <c r="AD77" i="20"/>
  <c r="AC77" i="20"/>
  <c r="AB77" i="20"/>
  <c r="AA5" i="20" s="1"/>
  <c r="AA77" i="20"/>
  <c r="Z5" i="20" s="1"/>
  <c r="Z77" i="20"/>
  <c r="Y5" i="20" s="1"/>
  <c r="Y77" i="20"/>
  <c r="X77" i="20"/>
  <c r="W5" i="20" s="1"/>
  <c r="W77" i="20"/>
  <c r="V77" i="20"/>
  <c r="U77" i="20"/>
  <c r="T77" i="20"/>
  <c r="S77" i="20"/>
  <c r="R5" i="20" s="1"/>
  <c r="R77" i="20"/>
  <c r="Q5" i="20" s="1"/>
  <c r="Q77" i="20"/>
  <c r="P5" i="20" s="1"/>
  <c r="P77" i="20"/>
  <c r="O5" i="20" s="1"/>
  <c r="O77" i="20"/>
  <c r="N5" i="20" s="1"/>
  <c r="N77" i="20"/>
  <c r="M77" i="20"/>
  <c r="L77" i="20"/>
  <c r="K77" i="20"/>
  <c r="J5" i="20" s="1"/>
  <c r="J77" i="20"/>
  <c r="I5" i="20" s="1"/>
  <c r="I77" i="20"/>
  <c r="H5" i="20" s="1"/>
  <c r="H77" i="20"/>
  <c r="G77" i="20"/>
  <c r="F77" i="20"/>
  <c r="E77" i="20"/>
  <c r="D77" i="20"/>
  <c r="C77" i="20"/>
  <c r="B5" i="20" s="1"/>
  <c r="AI76" i="20"/>
  <c r="AH76" i="20"/>
  <c r="AI75" i="20"/>
  <c r="AH75" i="20"/>
  <c r="AI74" i="20"/>
  <c r="AH74" i="20"/>
  <c r="AI73" i="20"/>
  <c r="AH73" i="20"/>
  <c r="AI72" i="20"/>
  <c r="AH72" i="20"/>
  <c r="AI71" i="20"/>
  <c r="AH71" i="20"/>
  <c r="AI70" i="20"/>
  <c r="AH70" i="20"/>
  <c r="AI69" i="20"/>
  <c r="AH69" i="20"/>
  <c r="AI68" i="20"/>
  <c r="AH68" i="20"/>
  <c r="AI67" i="20"/>
  <c r="AH67" i="20"/>
  <c r="AI66" i="20"/>
  <c r="AH66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AI64" i="20"/>
  <c r="AH64" i="20"/>
  <c r="AI63" i="20"/>
  <c r="AH63" i="20"/>
  <c r="AI62" i="20"/>
  <c r="AH62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AI60" i="20"/>
  <c r="AH60" i="20"/>
  <c r="AG60" i="20"/>
  <c r="AG61" i="20" s="1"/>
  <c r="AG3" i="20" s="1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I46" i="20"/>
  <c r="AH46" i="20"/>
  <c r="AI45" i="20"/>
  <c r="AH45" i="20"/>
  <c r="AI44" i="20"/>
  <c r="AH44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AI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D5" i="20"/>
  <c r="X5" i="20"/>
  <c r="T5" i="20"/>
  <c r="M5" i="20"/>
  <c r="F5" i="20"/>
  <c r="D5" i="20"/>
  <c r="AG4" i="20"/>
  <c r="K4" i="20"/>
  <c r="B4" i="20"/>
  <c r="S238" i="20" s="1"/>
  <c r="AG2" i="20"/>
  <c r="X103" i="19"/>
  <c r="Q42" i="19"/>
  <c r="R42" i="19"/>
  <c r="R106" i="19"/>
  <c r="R103" i="19" s="1"/>
  <c r="Q106" i="19"/>
  <c r="Q103" i="19" s="1"/>
  <c r="P106" i="19"/>
  <c r="P42" i="19"/>
  <c r="O106" i="19"/>
  <c r="O42" i="19"/>
  <c r="N106" i="19"/>
  <c r="N42" i="19"/>
  <c r="M106" i="19"/>
  <c r="AH106" i="19" s="1"/>
  <c r="M42" i="19"/>
  <c r="AI42" i="19" s="1"/>
  <c r="C43" i="19"/>
  <c r="AF266" i="19"/>
  <c r="AE266" i="19"/>
  <c r="AD266" i="19"/>
  <c r="AC266" i="19"/>
  <c r="AB266" i="19"/>
  <c r="AA266" i="19"/>
  <c r="Z266" i="19"/>
  <c r="Y266" i="19"/>
  <c r="X266" i="19"/>
  <c r="W266" i="19"/>
  <c r="V266" i="19"/>
  <c r="U266" i="19"/>
  <c r="T266" i="19"/>
  <c r="S266" i="19"/>
  <c r="R266" i="19"/>
  <c r="Q266" i="19"/>
  <c r="P266" i="19"/>
  <c r="O266" i="19"/>
  <c r="N266" i="19"/>
  <c r="M266" i="19"/>
  <c r="L266" i="19"/>
  <c r="K266" i="19"/>
  <c r="J266" i="19"/>
  <c r="I266" i="19"/>
  <c r="H266" i="19"/>
  <c r="G266" i="19"/>
  <c r="F266" i="19"/>
  <c r="E266" i="19"/>
  <c r="D266" i="19"/>
  <c r="C266" i="19"/>
  <c r="B266" i="19"/>
  <c r="A266" i="19"/>
  <c r="AF265" i="19"/>
  <c r="AE265" i="19"/>
  <c r="AD265" i="19"/>
  <c r="AC265" i="19"/>
  <c r="AB265" i="19"/>
  <c r="AA265" i="19"/>
  <c r="Z265" i="19"/>
  <c r="Y265" i="19"/>
  <c r="X265" i="19"/>
  <c r="W265" i="19"/>
  <c r="V265" i="19"/>
  <c r="U265" i="19"/>
  <c r="T265" i="19"/>
  <c r="S265" i="19"/>
  <c r="R265" i="19"/>
  <c r="Q265" i="19"/>
  <c r="P265" i="19"/>
  <c r="O265" i="19"/>
  <c r="N265" i="19"/>
  <c r="M265" i="19"/>
  <c r="L265" i="19"/>
  <c r="K265" i="19"/>
  <c r="J265" i="19"/>
  <c r="I265" i="19"/>
  <c r="H265" i="19"/>
  <c r="G265" i="19"/>
  <c r="F265" i="19"/>
  <c r="E265" i="19"/>
  <c r="D265" i="19"/>
  <c r="C265" i="19"/>
  <c r="B265" i="19"/>
  <c r="A265" i="19"/>
  <c r="AF264" i="19"/>
  <c r="AE264" i="19"/>
  <c r="AD264" i="19"/>
  <c r="AC264" i="19"/>
  <c r="AB264" i="19"/>
  <c r="AA264" i="19"/>
  <c r="Z264" i="19"/>
  <c r="Y264" i="19"/>
  <c r="X264" i="19"/>
  <c r="W264" i="19"/>
  <c r="V264" i="19"/>
  <c r="U264" i="19"/>
  <c r="T264" i="19"/>
  <c r="S264" i="19"/>
  <c r="R264" i="19"/>
  <c r="Q264" i="19"/>
  <c r="P264" i="19"/>
  <c r="O264" i="19"/>
  <c r="N264" i="19"/>
  <c r="M264" i="19"/>
  <c r="L264" i="19"/>
  <c r="K264" i="19"/>
  <c r="J264" i="19"/>
  <c r="I264" i="19"/>
  <c r="H264" i="19"/>
  <c r="G264" i="19"/>
  <c r="F264" i="19"/>
  <c r="E264" i="19"/>
  <c r="D264" i="19"/>
  <c r="C264" i="19"/>
  <c r="B264" i="19"/>
  <c r="A264" i="19"/>
  <c r="AF263" i="19"/>
  <c r="AE263" i="19"/>
  <c r="AD263" i="19"/>
  <c r="AC263" i="19"/>
  <c r="AB263" i="19"/>
  <c r="AA263" i="19"/>
  <c r="Z263" i="19"/>
  <c r="Y263" i="19"/>
  <c r="X263" i="19"/>
  <c r="W263" i="19"/>
  <c r="V263" i="19"/>
  <c r="U263" i="19"/>
  <c r="T263" i="19"/>
  <c r="S263" i="19"/>
  <c r="R263" i="19"/>
  <c r="Q263" i="19"/>
  <c r="P263" i="19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C263" i="19"/>
  <c r="B263" i="19"/>
  <c r="A263" i="19"/>
  <c r="AE262" i="19"/>
  <c r="AD262" i="19"/>
  <c r="AC262" i="19"/>
  <c r="AB262" i="19"/>
  <c r="AA262" i="19"/>
  <c r="Z262" i="19"/>
  <c r="Y262" i="19"/>
  <c r="X262" i="19"/>
  <c r="W262" i="19"/>
  <c r="V262" i="19"/>
  <c r="U262" i="19"/>
  <c r="T262" i="19"/>
  <c r="S262" i="19"/>
  <c r="R262" i="19"/>
  <c r="Q262" i="19"/>
  <c r="P262" i="19"/>
  <c r="B262" i="19"/>
  <c r="S237" i="19"/>
  <c r="AG227" i="19"/>
  <c r="AF227" i="19"/>
  <c r="AE227" i="19"/>
  <c r="AD227" i="19"/>
  <c r="AC227" i="19"/>
  <c r="AB227" i="19"/>
  <c r="AA227" i="19"/>
  <c r="Z227" i="19"/>
  <c r="Y227" i="19"/>
  <c r="X227" i="19"/>
  <c r="W227" i="19"/>
  <c r="V227" i="19"/>
  <c r="U227" i="19"/>
  <c r="T227" i="19"/>
  <c r="S227" i="19"/>
  <c r="R227" i="19"/>
  <c r="Q227" i="19"/>
  <c r="C227" i="19"/>
  <c r="D226" i="19"/>
  <c r="C262" i="19" s="1"/>
  <c r="B226" i="19"/>
  <c r="AF262" i="19" s="1"/>
  <c r="D225" i="19"/>
  <c r="E225" i="19" s="1"/>
  <c r="F225" i="19" s="1"/>
  <c r="G225" i="19" s="1"/>
  <c r="H225" i="19" s="1"/>
  <c r="I225" i="19" s="1"/>
  <c r="J225" i="19" s="1"/>
  <c r="K225" i="19" s="1"/>
  <c r="L225" i="19" s="1"/>
  <c r="M225" i="19" s="1"/>
  <c r="N225" i="19" s="1"/>
  <c r="O225" i="19" s="1"/>
  <c r="P225" i="19" s="1"/>
  <c r="B225" i="19"/>
  <c r="E224" i="19"/>
  <c r="F224" i="19" s="1"/>
  <c r="G224" i="19" s="1"/>
  <c r="H224" i="19" s="1"/>
  <c r="I224" i="19" s="1"/>
  <c r="J224" i="19" s="1"/>
  <c r="K224" i="19" s="1"/>
  <c r="L224" i="19" s="1"/>
  <c r="M224" i="19" s="1"/>
  <c r="N224" i="19" s="1"/>
  <c r="O224" i="19" s="1"/>
  <c r="P224" i="19" s="1"/>
  <c r="D224" i="19"/>
  <c r="B224" i="19"/>
  <c r="D223" i="19"/>
  <c r="E223" i="19" s="1"/>
  <c r="F223" i="19" s="1"/>
  <c r="G223" i="19" s="1"/>
  <c r="H223" i="19" s="1"/>
  <c r="I223" i="19" s="1"/>
  <c r="J223" i="19" s="1"/>
  <c r="K223" i="19" s="1"/>
  <c r="L223" i="19" s="1"/>
  <c r="M223" i="19" s="1"/>
  <c r="N223" i="19" s="1"/>
  <c r="O223" i="19" s="1"/>
  <c r="P223" i="19" s="1"/>
  <c r="B223" i="19"/>
  <c r="D222" i="19"/>
  <c r="B222" i="19"/>
  <c r="D221" i="19"/>
  <c r="E221" i="19" s="1"/>
  <c r="B221" i="19"/>
  <c r="AG219" i="19"/>
  <c r="AF219" i="19"/>
  <c r="AE219" i="19"/>
  <c r="AD219" i="19"/>
  <c r="AC219" i="19"/>
  <c r="AB219" i="19"/>
  <c r="AA219" i="19"/>
  <c r="Z219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AI112" i="19"/>
  <c r="AH112" i="19"/>
  <c r="AI111" i="19"/>
  <c r="AH111" i="19"/>
  <c r="AI110" i="19"/>
  <c r="AH110" i="19"/>
  <c r="AI109" i="19"/>
  <c r="AH109" i="19"/>
  <c r="AI108" i="19"/>
  <c r="AH108" i="19"/>
  <c r="AI107" i="19"/>
  <c r="AH107" i="19"/>
  <c r="AI106" i="19"/>
  <c r="AI105" i="19"/>
  <c r="AH105" i="19"/>
  <c r="AI104" i="19"/>
  <c r="AH104" i="19"/>
  <c r="AF103" i="19"/>
  <c r="AE103" i="19"/>
  <c r="AD103" i="19"/>
  <c r="AC103" i="19"/>
  <c r="AB103" i="19"/>
  <c r="AA103" i="19"/>
  <c r="Z103" i="19"/>
  <c r="Y103" i="19"/>
  <c r="W103" i="19"/>
  <c r="V103" i="19"/>
  <c r="U103" i="19"/>
  <c r="T103" i="19"/>
  <c r="S103" i="19"/>
  <c r="D103" i="19"/>
  <c r="C103" i="19"/>
  <c r="B103" i="19"/>
  <c r="AI102" i="19"/>
  <c r="AH102" i="19"/>
  <c r="AI101" i="19"/>
  <c r="AH101" i="19"/>
  <c r="AI100" i="19"/>
  <c r="AH100" i="19"/>
  <c r="AI99" i="19"/>
  <c r="AH99" i="19"/>
  <c r="AI98" i="19"/>
  <c r="AH98" i="19"/>
  <c r="AI97" i="19"/>
  <c r="AH97" i="19"/>
  <c r="AI96" i="19"/>
  <c r="AH96" i="19"/>
  <c r="AI95" i="19"/>
  <c r="AH95" i="19"/>
  <c r="AI94" i="19"/>
  <c r="AH94" i="19"/>
  <c r="AI91" i="19"/>
  <c r="AH91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D90" i="19"/>
  <c r="C90" i="19"/>
  <c r="B90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F86" i="19"/>
  <c r="AF92" i="19" s="1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AI83" i="19"/>
  <c r="AH83" i="19"/>
  <c r="AI81" i="19"/>
  <c r="AH81" i="19"/>
  <c r="AG81" i="19"/>
  <c r="AI80" i="19"/>
  <c r="AH80" i="19"/>
  <c r="AI79" i="19"/>
  <c r="AH79" i="19"/>
  <c r="AI78" i="19"/>
  <c r="AH78" i="19"/>
  <c r="AG77" i="19"/>
  <c r="AF77" i="19"/>
  <c r="AE77" i="19"/>
  <c r="AD5" i="19" s="1"/>
  <c r="AD77" i="19"/>
  <c r="AC5" i="19" s="1"/>
  <c r="AC77" i="19"/>
  <c r="AB77" i="19"/>
  <c r="AA77" i="19"/>
  <c r="Z5" i="19" s="1"/>
  <c r="Z77" i="19"/>
  <c r="Y5" i="19" s="1"/>
  <c r="Y77" i="19"/>
  <c r="X77" i="19"/>
  <c r="W5" i="19" s="1"/>
  <c r="W77" i="19"/>
  <c r="V5" i="19" s="1"/>
  <c r="V77" i="19"/>
  <c r="U5" i="19" s="1"/>
  <c r="U77" i="19"/>
  <c r="T5" i="19" s="1"/>
  <c r="T77" i="19"/>
  <c r="S5" i="19" s="1"/>
  <c r="S77" i="19"/>
  <c r="R77" i="19"/>
  <c r="Q77" i="19"/>
  <c r="P77" i="19"/>
  <c r="O5" i="19" s="1"/>
  <c r="O77" i="19"/>
  <c r="N5" i="19" s="1"/>
  <c r="N77" i="19"/>
  <c r="M77" i="19"/>
  <c r="L5" i="19" s="1"/>
  <c r="L77" i="19"/>
  <c r="K5" i="19" s="1"/>
  <c r="K77" i="19"/>
  <c r="J5" i="19" s="1"/>
  <c r="J77" i="19"/>
  <c r="I77" i="19"/>
  <c r="H77" i="19"/>
  <c r="G5" i="19" s="1"/>
  <c r="G77" i="19"/>
  <c r="F5" i="19" s="1"/>
  <c r="F77" i="19"/>
  <c r="E5" i="19" s="1"/>
  <c r="E77" i="19"/>
  <c r="D5" i="19" s="1"/>
  <c r="D77" i="19"/>
  <c r="C5" i="19" s="1"/>
  <c r="C77" i="19"/>
  <c r="B77" i="19"/>
  <c r="AF5" i="19" s="1"/>
  <c r="AI76" i="19"/>
  <c r="AH76" i="19"/>
  <c r="AI75" i="19"/>
  <c r="AH75" i="19"/>
  <c r="AI74" i="19"/>
  <c r="AH74" i="19"/>
  <c r="AI73" i="19"/>
  <c r="AH73" i="19"/>
  <c r="AI72" i="19"/>
  <c r="AH72" i="19"/>
  <c r="AI71" i="19"/>
  <c r="AH71" i="19"/>
  <c r="AI70" i="19"/>
  <c r="AH70" i="19"/>
  <c r="AI69" i="19"/>
  <c r="AH69" i="19"/>
  <c r="AI68" i="19"/>
  <c r="AH68" i="19"/>
  <c r="AI67" i="19"/>
  <c r="AH67" i="19"/>
  <c r="AI66" i="19"/>
  <c r="AH66" i="19"/>
  <c r="AG65" i="19"/>
  <c r="AG4" i="19" s="1"/>
  <c r="AF65" i="19"/>
  <c r="AE65" i="19"/>
  <c r="AD65" i="19"/>
  <c r="AC65" i="19"/>
  <c r="AB65" i="19"/>
  <c r="AA65" i="19"/>
  <c r="Z65" i="19"/>
  <c r="Y65" i="19"/>
  <c r="X65" i="19"/>
  <c r="W65" i="19"/>
  <c r="V65" i="19"/>
  <c r="U65" i="19"/>
  <c r="T65" i="19"/>
  <c r="S65" i="19"/>
  <c r="R65" i="19"/>
  <c r="Q65" i="19"/>
  <c r="P65" i="19"/>
  <c r="O65" i="19"/>
  <c r="N65" i="19"/>
  <c r="M65" i="19"/>
  <c r="L65" i="19"/>
  <c r="K65" i="19"/>
  <c r="J65" i="19"/>
  <c r="I65" i="19"/>
  <c r="H65" i="19"/>
  <c r="G65" i="19"/>
  <c r="F65" i="19"/>
  <c r="E65" i="19"/>
  <c r="D65" i="19"/>
  <c r="C65" i="19"/>
  <c r="B65" i="19"/>
  <c r="AI64" i="19"/>
  <c r="AH64" i="19"/>
  <c r="AI63" i="19"/>
  <c r="AH63" i="19"/>
  <c r="AI62" i="19"/>
  <c r="AH62" i="19"/>
  <c r="AG61" i="19"/>
  <c r="AG3" i="19" s="1"/>
  <c r="AF61" i="19"/>
  <c r="AE61" i="19"/>
  <c r="AD61" i="19"/>
  <c r="AC61" i="19"/>
  <c r="AB61" i="19"/>
  <c r="AA61" i="19"/>
  <c r="Z61" i="19"/>
  <c r="Y61" i="19"/>
  <c r="X61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AI60" i="19"/>
  <c r="AH60" i="19"/>
  <c r="AG60" i="19"/>
  <c r="AI59" i="19"/>
  <c r="AH59" i="19"/>
  <c r="AI58" i="19"/>
  <c r="AH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47" i="19"/>
  <c r="AI46" i="19"/>
  <c r="AH46" i="19"/>
  <c r="AI45" i="19"/>
  <c r="AH45" i="19"/>
  <c r="AI44" i="19"/>
  <c r="AH44" i="19"/>
  <c r="AG43" i="19"/>
  <c r="AG82" i="19" s="1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N82" i="19" s="1"/>
  <c r="N84" i="19" s="1"/>
  <c r="M43" i="19"/>
  <c r="L43" i="19"/>
  <c r="K43" i="19"/>
  <c r="J43" i="19"/>
  <c r="I43" i="19"/>
  <c r="H43" i="19"/>
  <c r="G43" i="19"/>
  <c r="F43" i="19"/>
  <c r="E43" i="19"/>
  <c r="D43" i="19"/>
  <c r="B43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B5" i="19"/>
  <c r="AA5" i="19"/>
  <c r="Q5" i="19"/>
  <c r="M5" i="19"/>
  <c r="I5" i="19"/>
  <c r="K4" i="19"/>
  <c r="B4" i="19"/>
  <c r="S238" i="19" s="1"/>
  <c r="AG2" i="19"/>
  <c r="AA42" i="18"/>
  <c r="AB42" i="18"/>
  <c r="Z42" i="18"/>
  <c r="X42" i="18"/>
  <c r="Y42" i="18"/>
  <c r="W42" i="18"/>
  <c r="V42" i="18"/>
  <c r="U42" i="18"/>
  <c r="T42" i="18"/>
  <c r="S106" i="18"/>
  <c r="S42" i="18"/>
  <c r="R106" i="18"/>
  <c r="R42" i="18"/>
  <c r="P106" i="18"/>
  <c r="P42" i="18"/>
  <c r="O106" i="18"/>
  <c r="O42" i="18"/>
  <c r="N106" i="18"/>
  <c r="N42" i="18"/>
  <c r="M106" i="18"/>
  <c r="M42" i="18"/>
  <c r="L106" i="18"/>
  <c r="L42" i="18"/>
  <c r="K106" i="18"/>
  <c r="K42" i="18"/>
  <c r="J106" i="18"/>
  <c r="I106" i="18"/>
  <c r="J42" i="18"/>
  <c r="I42" i="18"/>
  <c r="H106" i="18"/>
  <c r="H42" i="18"/>
  <c r="G106" i="18"/>
  <c r="G42" i="18"/>
  <c r="F106" i="18"/>
  <c r="F42" i="18"/>
  <c r="E106" i="18"/>
  <c r="E42" i="18"/>
  <c r="D42" i="18"/>
  <c r="C42" i="18"/>
  <c r="B42" i="18"/>
  <c r="AI42" i="18" s="1"/>
  <c r="AF266" i="18"/>
  <c r="AE266" i="18"/>
  <c r="AD266" i="18"/>
  <c r="AC266" i="18"/>
  <c r="AB266" i="18"/>
  <c r="AA266" i="18"/>
  <c r="Z266" i="18"/>
  <c r="Y266" i="18"/>
  <c r="X266" i="18"/>
  <c r="W266" i="18"/>
  <c r="V266" i="18"/>
  <c r="U266" i="18"/>
  <c r="T266" i="18"/>
  <c r="S266" i="18"/>
  <c r="R266" i="18"/>
  <c r="Q266" i="18"/>
  <c r="P266" i="18"/>
  <c r="O266" i="18"/>
  <c r="N266" i="18"/>
  <c r="M266" i="18"/>
  <c r="L266" i="18"/>
  <c r="K266" i="18"/>
  <c r="J266" i="18"/>
  <c r="I266" i="18"/>
  <c r="H266" i="18"/>
  <c r="G266" i="18"/>
  <c r="F266" i="18"/>
  <c r="E266" i="18"/>
  <c r="D266" i="18"/>
  <c r="C266" i="18"/>
  <c r="B266" i="18"/>
  <c r="A266" i="18"/>
  <c r="AF265" i="18"/>
  <c r="AE265" i="18"/>
  <c r="AD265" i="18"/>
  <c r="AC265" i="18"/>
  <c r="AB265" i="18"/>
  <c r="AA265" i="18"/>
  <c r="Z265" i="18"/>
  <c r="Y265" i="18"/>
  <c r="X265" i="18"/>
  <c r="W265" i="18"/>
  <c r="V265" i="18"/>
  <c r="U265" i="18"/>
  <c r="T265" i="18"/>
  <c r="S265" i="18"/>
  <c r="R265" i="18"/>
  <c r="Q265" i="18"/>
  <c r="P265" i="18"/>
  <c r="O265" i="18"/>
  <c r="N265" i="18"/>
  <c r="M265" i="18"/>
  <c r="L265" i="18"/>
  <c r="K265" i="18"/>
  <c r="J265" i="18"/>
  <c r="I265" i="18"/>
  <c r="H265" i="18"/>
  <c r="G265" i="18"/>
  <c r="F265" i="18"/>
  <c r="E265" i="18"/>
  <c r="D265" i="18"/>
  <c r="C265" i="18"/>
  <c r="B265" i="18"/>
  <c r="A265" i="18"/>
  <c r="AF264" i="18"/>
  <c r="AE264" i="18"/>
  <c r="AD264" i="18"/>
  <c r="AC264" i="18"/>
  <c r="AB264" i="18"/>
  <c r="AA264" i="18"/>
  <c r="Z264" i="18"/>
  <c r="Y264" i="18"/>
  <c r="X264" i="18"/>
  <c r="W264" i="18"/>
  <c r="V264" i="18"/>
  <c r="U264" i="18"/>
  <c r="T264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C264" i="18"/>
  <c r="B264" i="18"/>
  <c r="A264" i="18"/>
  <c r="AF263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R263" i="18"/>
  <c r="Q263" i="18"/>
  <c r="P263" i="18"/>
  <c r="O263" i="18"/>
  <c r="N263" i="18"/>
  <c r="M263" i="18"/>
  <c r="L263" i="18"/>
  <c r="K263" i="18"/>
  <c r="J263" i="18"/>
  <c r="I263" i="18"/>
  <c r="H263" i="18"/>
  <c r="G263" i="18"/>
  <c r="F263" i="18"/>
  <c r="E263" i="18"/>
  <c r="D263" i="18"/>
  <c r="C263" i="18"/>
  <c r="B263" i="18"/>
  <c r="A263" i="18"/>
  <c r="AE262" i="18"/>
  <c r="AD262" i="18"/>
  <c r="AC262" i="18"/>
  <c r="AB262" i="18"/>
  <c r="AA262" i="18"/>
  <c r="Z262" i="18"/>
  <c r="Y262" i="18"/>
  <c r="X262" i="18"/>
  <c r="W262" i="18"/>
  <c r="V262" i="18"/>
  <c r="U262" i="18"/>
  <c r="T262" i="18"/>
  <c r="S262" i="18"/>
  <c r="R262" i="18"/>
  <c r="Q262" i="18"/>
  <c r="P262" i="18"/>
  <c r="B262" i="18"/>
  <c r="S237" i="18"/>
  <c r="AG227" i="18"/>
  <c r="AF227" i="18"/>
  <c r="AE227" i="18"/>
  <c r="AD227" i="18"/>
  <c r="AC227" i="18"/>
  <c r="AB227" i="18"/>
  <c r="AA227" i="18"/>
  <c r="Z227" i="18"/>
  <c r="Y227" i="18"/>
  <c r="X227" i="18"/>
  <c r="W227" i="18"/>
  <c r="V227" i="18"/>
  <c r="U227" i="18"/>
  <c r="T227" i="18"/>
  <c r="S227" i="18"/>
  <c r="R227" i="18"/>
  <c r="Q227" i="18"/>
  <c r="C227" i="18"/>
  <c r="D226" i="18"/>
  <c r="E226" i="18" s="1"/>
  <c r="B226" i="18"/>
  <c r="AF262" i="18" s="1"/>
  <c r="D225" i="18"/>
  <c r="E225" i="18" s="1"/>
  <c r="F225" i="18" s="1"/>
  <c r="G225" i="18" s="1"/>
  <c r="H225" i="18" s="1"/>
  <c r="I225" i="18" s="1"/>
  <c r="J225" i="18" s="1"/>
  <c r="K225" i="18" s="1"/>
  <c r="L225" i="18" s="1"/>
  <c r="M225" i="18" s="1"/>
  <c r="N225" i="18" s="1"/>
  <c r="O225" i="18" s="1"/>
  <c r="P225" i="18" s="1"/>
  <c r="B225" i="18"/>
  <c r="D224" i="18"/>
  <c r="B224" i="18"/>
  <c r="D223" i="18"/>
  <c r="E223" i="18" s="1"/>
  <c r="F223" i="18" s="1"/>
  <c r="G223" i="18" s="1"/>
  <c r="H223" i="18" s="1"/>
  <c r="I223" i="18" s="1"/>
  <c r="J223" i="18" s="1"/>
  <c r="K223" i="18" s="1"/>
  <c r="L223" i="18" s="1"/>
  <c r="M223" i="18" s="1"/>
  <c r="N223" i="18" s="1"/>
  <c r="O223" i="18" s="1"/>
  <c r="P223" i="18" s="1"/>
  <c r="B223" i="18"/>
  <c r="D222" i="18"/>
  <c r="E222" i="18" s="1"/>
  <c r="F222" i="18" s="1"/>
  <c r="G222" i="18" s="1"/>
  <c r="H222" i="18" s="1"/>
  <c r="I222" i="18" s="1"/>
  <c r="J222" i="18" s="1"/>
  <c r="K222" i="18" s="1"/>
  <c r="L222" i="18" s="1"/>
  <c r="M222" i="18" s="1"/>
  <c r="N222" i="18" s="1"/>
  <c r="O222" i="18" s="1"/>
  <c r="P222" i="18" s="1"/>
  <c r="B222" i="18"/>
  <c r="D221" i="18"/>
  <c r="E221" i="18" s="1"/>
  <c r="B221" i="18"/>
  <c r="AG219" i="18"/>
  <c r="AF219" i="18"/>
  <c r="AE219" i="18"/>
  <c r="AD219" i="18"/>
  <c r="AC219" i="18"/>
  <c r="AB219" i="18"/>
  <c r="AA219" i="18"/>
  <c r="Z219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AI112" i="18"/>
  <c r="AH112" i="18"/>
  <c r="AI111" i="18"/>
  <c r="AH111" i="18"/>
  <c r="AI110" i="18"/>
  <c r="AH110" i="18"/>
  <c r="AI109" i="18"/>
  <c r="AH109" i="18"/>
  <c r="AI108" i="18"/>
  <c r="AH108" i="18"/>
  <c r="AI107" i="18"/>
  <c r="AH107" i="18"/>
  <c r="AI105" i="18"/>
  <c r="AH105" i="18"/>
  <c r="AI104" i="18"/>
  <c r="AH104" i="18"/>
  <c r="AF103" i="18"/>
  <c r="AE103" i="18"/>
  <c r="AD103" i="18"/>
  <c r="AC103" i="18"/>
  <c r="AB103" i="18"/>
  <c r="AA103" i="18"/>
  <c r="Z103" i="18"/>
  <c r="Y103" i="18"/>
  <c r="X103" i="18"/>
  <c r="W103" i="18"/>
  <c r="V103" i="18"/>
  <c r="U103" i="18"/>
  <c r="T103" i="18"/>
  <c r="R103" i="18"/>
  <c r="Q103" i="18"/>
  <c r="C103" i="18"/>
  <c r="AI102" i="18"/>
  <c r="AH102" i="18"/>
  <c r="AI101" i="18"/>
  <c r="AH101" i="18"/>
  <c r="AI100" i="18"/>
  <c r="AH100" i="18"/>
  <c r="AI99" i="18"/>
  <c r="AH99" i="18"/>
  <c r="AI98" i="18"/>
  <c r="AH98" i="18"/>
  <c r="AI97" i="18"/>
  <c r="AH97" i="18"/>
  <c r="AI96" i="18"/>
  <c r="AH96" i="18"/>
  <c r="AI95" i="18"/>
  <c r="AH95" i="18"/>
  <c r="AI94" i="18"/>
  <c r="AH94" i="18"/>
  <c r="AI91" i="18"/>
  <c r="AH91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D90" i="18"/>
  <c r="C90" i="18"/>
  <c r="B90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AI83" i="18"/>
  <c r="AH83" i="18"/>
  <c r="AI81" i="18"/>
  <c r="AH81" i="18"/>
  <c r="AG81" i="18"/>
  <c r="AI80" i="18"/>
  <c r="AH80" i="18"/>
  <c r="AI79" i="18"/>
  <c r="AH79" i="18"/>
  <c r="AI78" i="18"/>
  <c r="AH78" i="18"/>
  <c r="AG77" i="18"/>
  <c r="AF77" i="18"/>
  <c r="AE5" i="18" s="1"/>
  <c r="AE77" i="18"/>
  <c r="AD5" i="18" s="1"/>
  <c r="AD77" i="18"/>
  <c r="AC5" i="18" s="1"/>
  <c r="AC77" i="18"/>
  <c r="AB5" i="18" s="1"/>
  <c r="AB77" i="18"/>
  <c r="AA5" i="18" s="1"/>
  <c r="AA77" i="18"/>
  <c r="Z5" i="18" s="1"/>
  <c r="Z77" i="18"/>
  <c r="Y5" i="18" s="1"/>
  <c r="Y77" i="18"/>
  <c r="X77" i="18"/>
  <c r="W77" i="18"/>
  <c r="V77" i="18"/>
  <c r="U5" i="18" s="1"/>
  <c r="U77" i="18"/>
  <c r="T5" i="18" s="1"/>
  <c r="T77" i="18"/>
  <c r="S5" i="18" s="1"/>
  <c r="S77" i="18"/>
  <c r="R5" i="18" s="1"/>
  <c r="R77" i="18"/>
  <c r="Q5" i="18" s="1"/>
  <c r="Q77" i="18"/>
  <c r="P77" i="18"/>
  <c r="O77" i="18"/>
  <c r="N5" i="18" s="1"/>
  <c r="N77" i="18"/>
  <c r="M5" i="18" s="1"/>
  <c r="M77" i="18"/>
  <c r="L77" i="18"/>
  <c r="K5" i="18" s="1"/>
  <c r="K77" i="18"/>
  <c r="J5" i="18" s="1"/>
  <c r="J77" i="18"/>
  <c r="I77" i="18"/>
  <c r="H5" i="18" s="1"/>
  <c r="H77" i="18"/>
  <c r="G77" i="18"/>
  <c r="F77" i="18"/>
  <c r="E77" i="18"/>
  <c r="D5" i="18" s="1"/>
  <c r="D77" i="18"/>
  <c r="C5" i="18" s="1"/>
  <c r="C77" i="18"/>
  <c r="B5" i="18" s="1"/>
  <c r="B77" i="18"/>
  <c r="AF5" i="18" s="1"/>
  <c r="AI76" i="18"/>
  <c r="AH76" i="18"/>
  <c r="AI75" i="18"/>
  <c r="AH75" i="18"/>
  <c r="AI74" i="18"/>
  <c r="AH74" i="18"/>
  <c r="AI73" i="18"/>
  <c r="AH73" i="18"/>
  <c r="AI72" i="18"/>
  <c r="AH72" i="18"/>
  <c r="AI71" i="18"/>
  <c r="AH71" i="18"/>
  <c r="AI70" i="18"/>
  <c r="AH70" i="18"/>
  <c r="AI69" i="18"/>
  <c r="AH69" i="18"/>
  <c r="AI68" i="18"/>
  <c r="AH68" i="18"/>
  <c r="AI67" i="18"/>
  <c r="AH67" i="18"/>
  <c r="AI66" i="18"/>
  <c r="AH66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C65" i="18"/>
  <c r="B65" i="18"/>
  <c r="AI64" i="18"/>
  <c r="AH64" i="18"/>
  <c r="AI63" i="18"/>
  <c r="AH63" i="18"/>
  <c r="AI62" i="18"/>
  <c r="AH62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I60" i="18"/>
  <c r="AH60" i="18"/>
  <c r="AG60" i="18"/>
  <c r="AG61" i="18" s="1"/>
  <c r="AG3" i="18" s="1"/>
  <c r="AI59" i="18"/>
  <c r="AH59" i="18"/>
  <c r="AI58" i="18"/>
  <c r="AH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AI46" i="18"/>
  <c r="AH46" i="18"/>
  <c r="AI45" i="18"/>
  <c r="AH45" i="18"/>
  <c r="AI44" i="18"/>
  <c r="AH44" i="18"/>
  <c r="AG43" i="18"/>
  <c r="AG2" i="18" s="1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L5" i="18"/>
  <c r="AG4" i="18"/>
  <c r="K4" i="18"/>
  <c r="B4" i="18"/>
  <c r="S238" i="18" s="1"/>
  <c r="AF42" i="17"/>
  <c r="AE42" i="17"/>
  <c r="AD42" i="17"/>
  <c r="AC42" i="17"/>
  <c r="E4" i="20"/>
  <c r="E4" i="21"/>
  <c r="E4" i="18"/>
  <c r="E4" i="19"/>
  <c r="AA82" i="19" l="1"/>
  <c r="AA84" i="19" s="1"/>
  <c r="C92" i="19"/>
  <c r="AB92" i="19"/>
  <c r="D227" i="19"/>
  <c r="AC92" i="19"/>
  <c r="F82" i="20"/>
  <c r="F84" i="20" s="1"/>
  <c r="AG84" i="19"/>
  <c r="N92" i="19"/>
  <c r="N93" i="19" s="1"/>
  <c r="M92" i="20"/>
  <c r="U92" i="20"/>
  <c r="AH43" i="21"/>
  <c r="D104" i="21"/>
  <c r="AI106" i="18"/>
  <c r="V92" i="20"/>
  <c r="V93" i="20" s="1"/>
  <c r="D103" i="20"/>
  <c r="Y83" i="21"/>
  <c r="Y85" i="21" s="1"/>
  <c r="R92" i="18"/>
  <c r="AH42" i="18"/>
  <c r="B227" i="19"/>
  <c r="G92" i="20"/>
  <c r="G93" i="20" s="1"/>
  <c r="O92" i="20"/>
  <c r="AI106" i="20"/>
  <c r="B104" i="21"/>
  <c r="L263" i="23"/>
  <c r="N227" i="23"/>
  <c r="O227" i="26"/>
  <c r="M263" i="26"/>
  <c r="O222" i="26"/>
  <c r="N104" i="26"/>
  <c r="N228" i="26"/>
  <c r="N222" i="25"/>
  <c r="M104" i="25"/>
  <c r="M228" i="25"/>
  <c r="L263" i="25"/>
  <c r="N227" i="25"/>
  <c r="L228" i="24"/>
  <c r="M222" i="24"/>
  <c r="L104" i="24"/>
  <c r="L263" i="24"/>
  <c r="N227" i="24"/>
  <c r="L228" i="23"/>
  <c r="L104" i="23"/>
  <c r="M222" i="23"/>
  <c r="K227" i="22"/>
  <c r="I263" i="22"/>
  <c r="J104" i="22"/>
  <c r="J228" i="22"/>
  <c r="M222" i="22"/>
  <c r="AF83" i="21"/>
  <c r="AF85" i="21" s="1"/>
  <c r="AE93" i="21"/>
  <c r="AC93" i="21"/>
  <c r="AB93" i="21"/>
  <c r="AB94" i="21"/>
  <c r="AA83" i="21"/>
  <c r="AA85" i="21" s="1"/>
  <c r="X83" i="21"/>
  <c r="X85" i="21" s="1"/>
  <c r="W93" i="21"/>
  <c r="U93" i="21"/>
  <c r="T93" i="21"/>
  <c r="T94" i="21" s="1"/>
  <c r="S83" i="21"/>
  <c r="S85" i="21" s="1"/>
  <c r="S7" i="21" s="1"/>
  <c r="P83" i="21"/>
  <c r="P85" i="21" s="1"/>
  <c r="P7" i="21" s="1"/>
  <c r="Q83" i="21"/>
  <c r="Q85" i="21" s="1"/>
  <c r="Q7" i="21" s="1"/>
  <c r="AG6" i="21"/>
  <c r="I82" i="20"/>
  <c r="I84" i="20" s="1"/>
  <c r="AG82" i="20"/>
  <c r="B103" i="20"/>
  <c r="H92" i="20"/>
  <c r="H93" i="20" s="1"/>
  <c r="X92" i="20"/>
  <c r="B93" i="20"/>
  <c r="B227" i="20"/>
  <c r="B92" i="20"/>
  <c r="D227" i="20"/>
  <c r="AC82" i="20"/>
  <c r="AC84" i="20" s="1"/>
  <c r="C92" i="20"/>
  <c r="AH106" i="20"/>
  <c r="D92" i="20"/>
  <c r="D93" i="20" s="1"/>
  <c r="O93" i="21"/>
  <c r="O94" i="21" s="1"/>
  <c r="M93" i="21"/>
  <c r="L93" i="21"/>
  <c r="L94" i="21" s="1"/>
  <c r="K93" i="21"/>
  <c r="K83" i="21"/>
  <c r="K85" i="21" s="1"/>
  <c r="K7" i="21" s="1"/>
  <c r="G93" i="21"/>
  <c r="I83" i="21"/>
  <c r="I85" i="21" s="1"/>
  <c r="AA242" i="21" s="1"/>
  <c r="H83" i="21"/>
  <c r="H85" i="21" s="1"/>
  <c r="H86" i="21" s="1"/>
  <c r="E93" i="21"/>
  <c r="E94" i="21" s="1"/>
  <c r="D93" i="21"/>
  <c r="D94" i="21" s="1"/>
  <c r="E228" i="21"/>
  <c r="E104" i="21"/>
  <c r="F222" i="21"/>
  <c r="F83" i="21"/>
  <c r="F85" i="21" s="1"/>
  <c r="X242" i="21" s="1"/>
  <c r="N83" i="21"/>
  <c r="N85" i="21" s="1"/>
  <c r="AF242" i="21" s="1"/>
  <c r="V83" i="21"/>
  <c r="V85" i="21" s="1"/>
  <c r="AN242" i="21" s="1"/>
  <c r="AD83" i="21"/>
  <c r="AD85" i="21" s="1"/>
  <c r="AD7" i="21" s="1"/>
  <c r="F93" i="21"/>
  <c r="N93" i="21"/>
  <c r="N94" i="21" s="1"/>
  <c r="V93" i="21"/>
  <c r="V94" i="21" s="1"/>
  <c r="AD93" i="21"/>
  <c r="AD94" i="21" s="1"/>
  <c r="AI91" i="21"/>
  <c r="D228" i="21"/>
  <c r="G83" i="21"/>
  <c r="G85" i="21" s="1"/>
  <c r="Y242" i="21" s="1"/>
  <c r="O83" i="21"/>
  <c r="O85" i="21" s="1"/>
  <c r="AG242" i="21" s="1"/>
  <c r="W83" i="21"/>
  <c r="W85" i="21" s="1"/>
  <c r="W86" i="21" s="1"/>
  <c r="AE83" i="21"/>
  <c r="AE85" i="21" s="1"/>
  <c r="AE7" i="21" s="1"/>
  <c r="AH48" i="21"/>
  <c r="AG85" i="21"/>
  <c r="H93" i="21"/>
  <c r="P93" i="21"/>
  <c r="P94" i="21" s="1"/>
  <c r="X93" i="21"/>
  <c r="X86" i="21" s="1"/>
  <c r="AF93" i="21"/>
  <c r="AF86" i="21" s="1"/>
  <c r="AH89" i="21"/>
  <c r="AG83" i="21"/>
  <c r="I93" i="21"/>
  <c r="Q93" i="21"/>
  <c r="Q94" i="21" s="1"/>
  <c r="Y93" i="21"/>
  <c r="Y94" i="21" s="1"/>
  <c r="AI88" i="21"/>
  <c r="F227" i="21"/>
  <c r="J83" i="21"/>
  <c r="J85" i="21" s="1"/>
  <c r="J7" i="21" s="1"/>
  <c r="R83" i="21"/>
  <c r="R85" i="21" s="1"/>
  <c r="AJ242" i="21" s="1"/>
  <c r="Z83" i="21"/>
  <c r="Z85" i="21" s="1"/>
  <c r="Z7" i="21" s="1"/>
  <c r="M94" i="21"/>
  <c r="U94" i="21"/>
  <c r="AC94" i="21"/>
  <c r="AI87" i="21"/>
  <c r="J93" i="21"/>
  <c r="J94" i="21" s="1"/>
  <c r="R93" i="21"/>
  <c r="R94" i="21" s="1"/>
  <c r="Z93" i="21"/>
  <c r="Z94" i="21" s="1"/>
  <c r="F94" i="21"/>
  <c r="AA93" i="21"/>
  <c r="AA94" i="21" s="1"/>
  <c r="B228" i="21"/>
  <c r="L83" i="21"/>
  <c r="L85" i="21" s="1"/>
  <c r="L7" i="21" s="1"/>
  <c r="T83" i="21"/>
  <c r="T85" i="21" s="1"/>
  <c r="T7" i="21" s="1"/>
  <c r="AB83" i="21"/>
  <c r="AB85" i="21" s="1"/>
  <c r="AB7" i="21" s="1"/>
  <c r="G94" i="21"/>
  <c r="W94" i="21"/>
  <c r="AE94" i="21"/>
  <c r="E83" i="21"/>
  <c r="E85" i="21" s="1"/>
  <c r="W242" i="21" s="1"/>
  <c r="M83" i="21"/>
  <c r="M85" i="21" s="1"/>
  <c r="M7" i="21" s="1"/>
  <c r="U83" i="21"/>
  <c r="U85" i="21" s="1"/>
  <c r="U86" i="21" s="1"/>
  <c r="AC83" i="21"/>
  <c r="AC85" i="21" s="1"/>
  <c r="AC86" i="21" s="1"/>
  <c r="D83" i="21"/>
  <c r="D85" i="21" s="1"/>
  <c r="D7" i="21" s="1"/>
  <c r="AI90" i="21"/>
  <c r="C93" i="21"/>
  <c r="C94" i="21" s="1"/>
  <c r="AI66" i="21"/>
  <c r="AI62" i="21"/>
  <c r="C83" i="21"/>
  <c r="C85" i="21" s="1"/>
  <c r="U242" i="21" s="1"/>
  <c r="AI48" i="21"/>
  <c r="AI89" i="21"/>
  <c r="AH90" i="21"/>
  <c r="B83" i="21"/>
  <c r="H4" i="21"/>
  <c r="X7" i="21"/>
  <c r="AP242" i="21"/>
  <c r="AI242" i="21"/>
  <c r="Y7" i="21"/>
  <c r="AQ242" i="21"/>
  <c r="AF7" i="21"/>
  <c r="AX242" i="21"/>
  <c r="K94" i="21"/>
  <c r="S94" i="21"/>
  <c r="AK242" i="21"/>
  <c r="S86" i="21"/>
  <c r="AA7" i="21"/>
  <c r="AS242" i="21"/>
  <c r="H94" i="21"/>
  <c r="D239" i="21"/>
  <c r="AH62" i="21"/>
  <c r="AH66" i="21"/>
  <c r="AH78" i="21"/>
  <c r="AI44" i="21"/>
  <c r="AI78" i="21"/>
  <c r="AH87" i="21"/>
  <c r="B93" i="21"/>
  <c r="B94" i="21" s="1"/>
  <c r="AH88" i="21"/>
  <c r="AH44" i="21"/>
  <c r="E5" i="21"/>
  <c r="M5" i="21"/>
  <c r="U5" i="21"/>
  <c r="AC5" i="21"/>
  <c r="AH91" i="21"/>
  <c r="AF92" i="20"/>
  <c r="AF93" i="20" s="1"/>
  <c r="AF82" i="20"/>
  <c r="AF84" i="20" s="1"/>
  <c r="AX241" i="20" s="1"/>
  <c r="AE92" i="20"/>
  <c r="AE93" i="20" s="1"/>
  <c r="AE82" i="20"/>
  <c r="AE84" i="20" s="1"/>
  <c r="AD92" i="20"/>
  <c r="AD93" i="20" s="1"/>
  <c r="AC5" i="20"/>
  <c r="AD82" i="20"/>
  <c r="AD84" i="20" s="1"/>
  <c r="AI88" i="20"/>
  <c r="AI87" i="20"/>
  <c r="AC92" i="20"/>
  <c r="AC93" i="20" s="1"/>
  <c r="AB5" i="20"/>
  <c r="AB92" i="20"/>
  <c r="AB93" i="20" s="1"/>
  <c r="AB82" i="20"/>
  <c r="AB84" i="20" s="1"/>
  <c r="AA92" i="20"/>
  <c r="AA82" i="20"/>
  <c r="AA84" i="20" s="1"/>
  <c r="Z92" i="20"/>
  <c r="Z82" i="20"/>
  <c r="Z84" i="20" s="1"/>
  <c r="Z85" i="20" s="1"/>
  <c r="Y92" i="20"/>
  <c r="Y93" i="20" s="1"/>
  <c r="Y82" i="20"/>
  <c r="Y84" i="20" s="1"/>
  <c r="X93" i="20"/>
  <c r="X82" i="20"/>
  <c r="X84" i="20" s="1"/>
  <c r="AP241" i="20" s="1"/>
  <c r="AH88" i="20"/>
  <c r="V5" i="20"/>
  <c r="W92" i="20"/>
  <c r="W93" i="20" s="1"/>
  <c r="W82" i="20"/>
  <c r="W84" i="20" s="1"/>
  <c r="AO241" i="20" s="1"/>
  <c r="AI86" i="20"/>
  <c r="U5" i="20"/>
  <c r="V82" i="20"/>
  <c r="V84" i="20" s="1"/>
  <c r="U93" i="20"/>
  <c r="U82" i="20"/>
  <c r="U84" i="20" s="1"/>
  <c r="T92" i="20"/>
  <c r="T93" i="20" s="1"/>
  <c r="S5" i="20"/>
  <c r="T82" i="20"/>
  <c r="T84" i="20" s="1"/>
  <c r="T85" i="20" s="1"/>
  <c r="S92" i="20"/>
  <c r="S85" i="20" s="1"/>
  <c r="S82" i="20"/>
  <c r="S84" i="20" s="1"/>
  <c r="R92" i="20"/>
  <c r="R82" i="20"/>
  <c r="R84" i="20" s="1"/>
  <c r="R7" i="20" s="1"/>
  <c r="Q82" i="20"/>
  <c r="Q84" i="20" s="1"/>
  <c r="P92" i="20"/>
  <c r="P93" i="20" s="1"/>
  <c r="P82" i="20"/>
  <c r="P84" i="20" s="1"/>
  <c r="P7" i="20" s="1"/>
  <c r="AI90" i="20"/>
  <c r="O93" i="20"/>
  <c r="AI65" i="20"/>
  <c r="O82" i="20"/>
  <c r="O84" i="20" s="1"/>
  <c r="N92" i="20"/>
  <c r="N93" i="20" s="1"/>
  <c r="N82" i="20"/>
  <c r="N84" i="20" s="1"/>
  <c r="N7" i="20" s="1"/>
  <c r="M93" i="20"/>
  <c r="L5" i="20"/>
  <c r="M82" i="20"/>
  <c r="M84" i="20" s="1"/>
  <c r="AE241" i="20" s="1"/>
  <c r="J92" i="20"/>
  <c r="J93" i="20" s="1"/>
  <c r="K92" i="20"/>
  <c r="K93" i="20" s="1"/>
  <c r="K5" i="20"/>
  <c r="L92" i="20"/>
  <c r="L93" i="20" s="1"/>
  <c r="L82" i="20"/>
  <c r="L84" i="20" s="1"/>
  <c r="AD241" i="20" s="1"/>
  <c r="K82" i="20"/>
  <c r="K84" i="20" s="1"/>
  <c r="K7" i="20" s="1"/>
  <c r="J82" i="20"/>
  <c r="J84" i="20" s="1"/>
  <c r="J7" i="20" s="1"/>
  <c r="I92" i="20"/>
  <c r="I93" i="20" s="1"/>
  <c r="G5" i="20"/>
  <c r="H82" i="20"/>
  <c r="H84" i="20" s="1"/>
  <c r="H7" i="20" s="1"/>
  <c r="G82" i="20"/>
  <c r="G84" i="20" s="1"/>
  <c r="G7" i="20" s="1"/>
  <c r="E5" i="20"/>
  <c r="F92" i="20"/>
  <c r="F93" i="20" s="1"/>
  <c r="AI89" i="20"/>
  <c r="AI61" i="20"/>
  <c r="E92" i="20"/>
  <c r="E93" i="20" s="1"/>
  <c r="AI47" i="20"/>
  <c r="E82" i="20"/>
  <c r="E84" i="20" s="1"/>
  <c r="W241" i="20" s="1"/>
  <c r="C5" i="20"/>
  <c r="D82" i="20"/>
  <c r="D84" i="20" s="1"/>
  <c r="C82" i="20"/>
  <c r="C84" i="20" s="1"/>
  <c r="C7" i="20" s="1"/>
  <c r="AH47" i="20"/>
  <c r="AI43" i="20"/>
  <c r="AF5" i="20"/>
  <c r="B82" i="20"/>
  <c r="B84" i="20" s="1"/>
  <c r="B85" i="20" s="1"/>
  <c r="H4" i="20"/>
  <c r="X7" i="20"/>
  <c r="X85" i="20"/>
  <c r="AF85" i="20"/>
  <c r="I7" i="20"/>
  <c r="AA241" i="20"/>
  <c r="Q7" i="20"/>
  <c r="AI241" i="20"/>
  <c r="Q85" i="20"/>
  <c r="Y7" i="20"/>
  <c r="AQ241" i="20"/>
  <c r="F222" i="20"/>
  <c r="G222" i="20" s="1"/>
  <c r="H222" i="20" s="1"/>
  <c r="I222" i="20" s="1"/>
  <c r="J222" i="20" s="1"/>
  <c r="K222" i="20" s="1"/>
  <c r="L222" i="20" s="1"/>
  <c r="M222" i="20" s="1"/>
  <c r="N222" i="20" s="1"/>
  <c r="O222" i="20" s="1"/>
  <c r="P222" i="20" s="1"/>
  <c r="AJ241" i="20"/>
  <c r="R85" i="20"/>
  <c r="Z7" i="20"/>
  <c r="AR241" i="20"/>
  <c r="S7" i="20"/>
  <c r="AK241" i="20"/>
  <c r="AA7" i="20"/>
  <c r="AS241" i="20"/>
  <c r="AA85" i="20"/>
  <c r="T7" i="20"/>
  <c r="AL241" i="20"/>
  <c r="AB7" i="20"/>
  <c r="AT241" i="20"/>
  <c r="AB85" i="20"/>
  <c r="AG84" i="20"/>
  <c r="AM241" i="20"/>
  <c r="U85" i="20"/>
  <c r="U7" i="20"/>
  <c r="AU241" i="20"/>
  <c r="AC7" i="20"/>
  <c r="Q93" i="20"/>
  <c r="X241" i="20"/>
  <c r="F7" i="20"/>
  <c r="AN241" i="20"/>
  <c r="V85" i="20"/>
  <c r="V7" i="20"/>
  <c r="AV241" i="20"/>
  <c r="AD85" i="20"/>
  <c r="AD7" i="20"/>
  <c r="R93" i="20"/>
  <c r="Z93" i="20"/>
  <c r="AG6" i="20"/>
  <c r="AG241" i="20"/>
  <c r="O85" i="20"/>
  <c r="O7" i="20"/>
  <c r="AW241" i="20"/>
  <c r="AE7" i="20"/>
  <c r="C93" i="20"/>
  <c r="AA93" i="20"/>
  <c r="G221" i="20"/>
  <c r="D238" i="20"/>
  <c r="AH61" i="20"/>
  <c r="AH65" i="20"/>
  <c r="AH77" i="20"/>
  <c r="E226" i="20"/>
  <c r="E227" i="20" s="1"/>
  <c r="AI77" i="20"/>
  <c r="AH86" i="20"/>
  <c r="AH87" i="20"/>
  <c r="AH43" i="20"/>
  <c r="AH89" i="20"/>
  <c r="AH90" i="20"/>
  <c r="AF93" i="19"/>
  <c r="AE5" i="19"/>
  <c r="AF82" i="19"/>
  <c r="AF84" i="19" s="1"/>
  <c r="AF7" i="19" s="1"/>
  <c r="AE92" i="19"/>
  <c r="AE93" i="19" s="1"/>
  <c r="AE82" i="19"/>
  <c r="AE84" i="19" s="1"/>
  <c r="AD92" i="19"/>
  <c r="AD82" i="19"/>
  <c r="AD84" i="19" s="1"/>
  <c r="AC82" i="19"/>
  <c r="AC84" i="19" s="1"/>
  <c r="AB93" i="19"/>
  <c r="AB82" i="19"/>
  <c r="AB84" i="19" s="1"/>
  <c r="AB7" i="19" s="1"/>
  <c r="Y92" i="19"/>
  <c r="Y93" i="19" s="1"/>
  <c r="Y82" i="19"/>
  <c r="Y84" i="19" s="1"/>
  <c r="X92" i="19"/>
  <c r="X93" i="19" s="1"/>
  <c r="Z82" i="19"/>
  <c r="Z84" i="19" s="1"/>
  <c r="W82" i="19"/>
  <c r="W84" i="19" s="1"/>
  <c r="V92" i="19"/>
  <c r="V82" i="19"/>
  <c r="V84" i="19" s="1"/>
  <c r="AN241" i="19" s="1"/>
  <c r="U92" i="19"/>
  <c r="U93" i="19" s="1"/>
  <c r="U82" i="19"/>
  <c r="U84" i="19" s="1"/>
  <c r="U7" i="19" s="1"/>
  <c r="W92" i="19"/>
  <c r="W93" i="19" s="1"/>
  <c r="X82" i="19"/>
  <c r="X84" i="19" s="1"/>
  <c r="Z92" i="19"/>
  <c r="Z93" i="19" s="1"/>
  <c r="AA92" i="19"/>
  <c r="AA93" i="19" s="1"/>
  <c r="T92" i="19"/>
  <c r="T93" i="19" s="1"/>
  <c r="T82" i="19"/>
  <c r="T84" i="19" s="1"/>
  <c r="T7" i="19" s="1"/>
  <c r="S92" i="19"/>
  <c r="S93" i="19" s="1"/>
  <c r="R5" i="19"/>
  <c r="S82" i="19"/>
  <c r="S84" i="19" s="1"/>
  <c r="S7" i="19" s="1"/>
  <c r="R92" i="19"/>
  <c r="R93" i="19" s="1"/>
  <c r="R82" i="19"/>
  <c r="R84" i="19" s="1"/>
  <c r="Q92" i="19"/>
  <c r="Q93" i="19" s="1"/>
  <c r="Q82" i="19"/>
  <c r="Q84" i="19" s="1"/>
  <c r="Q7" i="19" s="1"/>
  <c r="P92" i="19"/>
  <c r="P85" i="19" s="1"/>
  <c r="P93" i="19"/>
  <c r="P82" i="19"/>
  <c r="P84" i="19" s="1"/>
  <c r="O92" i="19"/>
  <c r="O93" i="19" s="1"/>
  <c r="O82" i="19"/>
  <c r="O84" i="19" s="1"/>
  <c r="M92" i="19"/>
  <c r="L82" i="19"/>
  <c r="L84" i="19" s="1"/>
  <c r="AD241" i="19" s="1"/>
  <c r="K92" i="19"/>
  <c r="K93" i="19" s="1"/>
  <c r="I82" i="19"/>
  <c r="I84" i="19" s="1"/>
  <c r="I7" i="19" s="1"/>
  <c r="H92" i="19"/>
  <c r="K82" i="19"/>
  <c r="K84" i="19" s="1"/>
  <c r="K7" i="19" s="1"/>
  <c r="AI90" i="19"/>
  <c r="E82" i="19"/>
  <c r="E84" i="19" s="1"/>
  <c r="AI89" i="19"/>
  <c r="AH89" i="19"/>
  <c r="F82" i="19"/>
  <c r="F84" i="19" s="1"/>
  <c r="X241" i="19" s="1"/>
  <c r="AI65" i="19"/>
  <c r="J82" i="19"/>
  <c r="J84" i="19" s="1"/>
  <c r="AB241" i="19" s="1"/>
  <c r="D82" i="19"/>
  <c r="D84" i="19" s="1"/>
  <c r="V241" i="19" s="1"/>
  <c r="C93" i="19"/>
  <c r="B5" i="19"/>
  <c r="AI61" i="19"/>
  <c r="C82" i="19"/>
  <c r="C84" i="19" s="1"/>
  <c r="U241" i="19" s="1"/>
  <c r="AH47" i="19"/>
  <c r="M82" i="19"/>
  <c r="M84" i="19" s="1"/>
  <c r="AE241" i="19" s="1"/>
  <c r="E92" i="19"/>
  <c r="E93" i="19" s="1"/>
  <c r="G82" i="19"/>
  <c r="G84" i="19" s="1"/>
  <c r="AI87" i="19"/>
  <c r="J92" i="19"/>
  <c r="J93" i="19" s="1"/>
  <c r="D92" i="19"/>
  <c r="D93" i="19" s="1"/>
  <c r="L92" i="19"/>
  <c r="L85" i="19" s="1"/>
  <c r="F92" i="19"/>
  <c r="F85" i="19" s="1"/>
  <c r="G92" i="19"/>
  <c r="G93" i="19" s="1"/>
  <c r="H82" i="19"/>
  <c r="H84" i="19" s="1"/>
  <c r="Z241" i="19" s="1"/>
  <c r="AI88" i="19"/>
  <c r="H93" i="19"/>
  <c r="I92" i="19"/>
  <c r="I93" i="19" s="1"/>
  <c r="AI86" i="19"/>
  <c r="B82" i="19"/>
  <c r="B84" i="19" s="1"/>
  <c r="AI47" i="19"/>
  <c r="D238" i="19"/>
  <c r="H4" i="19"/>
  <c r="AU241" i="19"/>
  <c r="AC85" i="19"/>
  <c r="AC7" i="19"/>
  <c r="AF241" i="19"/>
  <c r="N7" i="19"/>
  <c r="V85" i="19"/>
  <c r="V7" i="19"/>
  <c r="AV241" i="19"/>
  <c r="AD85" i="19"/>
  <c r="AD7" i="19"/>
  <c r="Y241" i="19"/>
  <c r="AG241" i="19"/>
  <c r="O7" i="19"/>
  <c r="AO241" i="19"/>
  <c r="W85" i="19"/>
  <c r="W7" i="19"/>
  <c r="AW241" i="19"/>
  <c r="AE85" i="19"/>
  <c r="AE7" i="19"/>
  <c r="P7" i="19"/>
  <c r="AH241" i="19"/>
  <c r="X7" i="19"/>
  <c r="X85" i="19"/>
  <c r="AP241" i="19"/>
  <c r="Y7" i="19"/>
  <c r="AQ241" i="19"/>
  <c r="R7" i="19"/>
  <c r="AJ241" i="19"/>
  <c r="R85" i="19"/>
  <c r="Z7" i="19"/>
  <c r="AR241" i="19"/>
  <c r="M93" i="19"/>
  <c r="AC93" i="19"/>
  <c r="AG6" i="19"/>
  <c r="AA7" i="19"/>
  <c r="AS241" i="19"/>
  <c r="AA85" i="19"/>
  <c r="V93" i="19"/>
  <c r="AD93" i="19"/>
  <c r="F221" i="19"/>
  <c r="E7" i="19"/>
  <c r="W241" i="19"/>
  <c r="L7" i="19"/>
  <c r="AT241" i="19"/>
  <c r="AB85" i="19"/>
  <c r="H5" i="19"/>
  <c r="P5" i="19"/>
  <c r="X5" i="19"/>
  <c r="AH61" i="19"/>
  <c r="AH65" i="19"/>
  <c r="AH77" i="19"/>
  <c r="E222" i="19"/>
  <c r="F222" i="19" s="1"/>
  <c r="G222" i="19" s="1"/>
  <c r="H222" i="19" s="1"/>
  <c r="I222" i="19" s="1"/>
  <c r="J222" i="19" s="1"/>
  <c r="K222" i="19" s="1"/>
  <c r="L222" i="19" s="1"/>
  <c r="M222" i="19" s="1"/>
  <c r="N222" i="19" s="1"/>
  <c r="O222" i="19" s="1"/>
  <c r="P222" i="19" s="1"/>
  <c r="E226" i="19"/>
  <c r="E103" i="19" s="1"/>
  <c r="AI77" i="19"/>
  <c r="AH86" i="19"/>
  <c r="B92" i="19"/>
  <c r="B93" i="19" s="1"/>
  <c r="AH87" i="19"/>
  <c r="AH43" i="19"/>
  <c r="AH88" i="19"/>
  <c r="AI43" i="19"/>
  <c r="AH90" i="19"/>
  <c r="AF92" i="18"/>
  <c r="AF93" i="18" s="1"/>
  <c r="AE82" i="18"/>
  <c r="AE84" i="18" s="1"/>
  <c r="AB92" i="18"/>
  <c r="AB82" i="18"/>
  <c r="AB84" i="18" s="1"/>
  <c r="AD82" i="18"/>
  <c r="AD84" i="18" s="1"/>
  <c r="Z92" i="18"/>
  <c r="Z93" i="18" s="1"/>
  <c r="Z82" i="18"/>
  <c r="Z84" i="18" s="1"/>
  <c r="Z85" i="18" s="1"/>
  <c r="D262" i="18"/>
  <c r="F226" i="18"/>
  <c r="E262" i="18" s="1"/>
  <c r="AF82" i="18"/>
  <c r="AF84" i="18" s="1"/>
  <c r="AF7" i="18" s="1"/>
  <c r="AB93" i="18"/>
  <c r="C262" i="18"/>
  <c r="AA92" i="18"/>
  <c r="S103" i="18"/>
  <c r="B227" i="18"/>
  <c r="AC92" i="18"/>
  <c r="AE92" i="18"/>
  <c r="AE93" i="18" s="1"/>
  <c r="AC82" i="18"/>
  <c r="AC84" i="18" s="1"/>
  <c r="AU241" i="18" s="1"/>
  <c r="AD92" i="18"/>
  <c r="AD93" i="18" s="1"/>
  <c r="AH106" i="18"/>
  <c r="D227" i="18"/>
  <c r="Y92" i="18"/>
  <c r="Y93" i="18" s="1"/>
  <c r="X92" i="18"/>
  <c r="X93" i="18" s="1"/>
  <c r="W5" i="18"/>
  <c r="Y82" i="18"/>
  <c r="Y84" i="18" s="1"/>
  <c r="AQ241" i="18" s="1"/>
  <c r="X5" i="18"/>
  <c r="W92" i="18"/>
  <c r="W93" i="18" s="1"/>
  <c r="V5" i="18"/>
  <c r="V92" i="18"/>
  <c r="V93" i="18" s="1"/>
  <c r="V82" i="18"/>
  <c r="V84" i="18" s="1"/>
  <c r="AN241" i="18" s="1"/>
  <c r="U92" i="18"/>
  <c r="U93" i="18" s="1"/>
  <c r="U82" i="18"/>
  <c r="U84" i="18" s="1"/>
  <c r="W82" i="18"/>
  <c r="W84" i="18" s="1"/>
  <c r="W7" i="18" s="1"/>
  <c r="X82" i="18"/>
  <c r="X84" i="18" s="1"/>
  <c r="AP241" i="18" s="1"/>
  <c r="AA82" i="18"/>
  <c r="AA84" i="18" s="1"/>
  <c r="AA85" i="18" s="1"/>
  <c r="T92" i="18"/>
  <c r="T93" i="18" s="1"/>
  <c r="T82" i="18"/>
  <c r="T84" i="18" s="1"/>
  <c r="T7" i="18" s="1"/>
  <c r="S92" i="18"/>
  <c r="S93" i="18" s="1"/>
  <c r="S82" i="18"/>
  <c r="S84" i="18" s="1"/>
  <c r="S7" i="18" s="1"/>
  <c r="R93" i="18"/>
  <c r="R82" i="18"/>
  <c r="R84" i="18" s="1"/>
  <c r="R7" i="18" s="1"/>
  <c r="Q92" i="18"/>
  <c r="Q93" i="18" s="1"/>
  <c r="P5" i="18"/>
  <c r="Q82" i="18"/>
  <c r="Q84" i="18" s="1"/>
  <c r="P92" i="18"/>
  <c r="P93" i="18" s="1"/>
  <c r="O5" i="18"/>
  <c r="P82" i="18"/>
  <c r="P84" i="18" s="1"/>
  <c r="P7" i="18" s="1"/>
  <c r="O92" i="18"/>
  <c r="O93" i="18" s="1"/>
  <c r="O82" i="18"/>
  <c r="O84" i="18" s="1"/>
  <c r="AG241" i="18" s="1"/>
  <c r="AI89" i="18"/>
  <c r="N92" i="18"/>
  <c r="N93" i="18" s="1"/>
  <c r="N82" i="18"/>
  <c r="N84" i="18" s="1"/>
  <c r="M92" i="18"/>
  <c r="M93" i="18" s="1"/>
  <c r="M82" i="18"/>
  <c r="M84" i="18" s="1"/>
  <c r="AE241" i="18" s="1"/>
  <c r="L92" i="18"/>
  <c r="L93" i="18" s="1"/>
  <c r="L82" i="18"/>
  <c r="L84" i="18" s="1"/>
  <c r="K92" i="18"/>
  <c r="K93" i="18" s="1"/>
  <c r="K82" i="18"/>
  <c r="K84" i="18" s="1"/>
  <c r="K7" i="18" s="1"/>
  <c r="J92" i="18"/>
  <c r="J93" i="18" s="1"/>
  <c r="I5" i="18"/>
  <c r="J82" i="18"/>
  <c r="J84" i="18" s="1"/>
  <c r="AB241" i="18" s="1"/>
  <c r="I92" i="18"/>
  <c r="I93" i="18" s="1"/>
  <c r="I82" i="18"/>
  <c r="I84" i="18" s="1"/>
  <c r="I7" i="18" s="1"/>
  <c r="H92" i="18"/>
  <c r="H93" i="18" s="1"/>
  <c r="G5" i="18"/>
  <c r="H82" i="18"/>
  <c r="H84" i="18" s="1"/>
  <c r="H7" i="18" s="1"/>
  <c r="AI86" i="18"/>
  <c r="AI87" i="18"/>
  <c r="G92" i="18"/>
  <c r="G93" i="18" s="1"/>
  <c r="F5" i="18"/>
  <c r="AI65" i="18"/>
  <c r="G82" i="18"/>
  <c r="G84" i="18" s="1"/>
  <c r="G7" i="18" s="1"/>
  <c r="AI88" i="18"/>
  <c r="F92" i="18"/>
  <c r="F93" i="18" s="1"/>
  <c r="F82" i="18"/>
  <c r="F84" i="18" s="1"/>
  <c r="X241" i="18" s="1"/>
  <c r="E5" i="18"/>
  <c r="E92" i="18"/>
  <c r="E93" i="18" s="1"/>
  <c r="E82" i="18"/>
  <c r="E84" i="18" s="1"/>
  <c r="W241" i="18" s="1"/>
  <c r="D92" i="18"/>
  <c r="D93" i="18" s="1"/>
  <c r="D82" i="18"/>
  <c r="D84" i="18" s="1"/>
  <c r="D7" i="18" s="1"/>
  <c r="AI61" i="18"/>
  <c r="AI90" i="18"/>
  <c r="C92" i="18"/>
  <c r="C93" i="18" s="1"/>
  <c r="AI47" i="18"/>
  <c r="C82" i="18"/>
  <c r="C84" i="18" s="1"/>
  <c r="C85" i="18" s="1"/>
  <c r="AI43" i="18"/>
  <c r="H4" i="18"/>
  <c r="AL241" i="18"/>
  <c r="R85" i="18"/>
  <c r="Z7" i="18"/>
  <c r="AR241" i="18"/>
  <c r="AB7" i="18"/>
  <c r="AT241" i="18"/>
  <c r="AB85" i="18"/>
  <c r="F221" i="18"/>
  <c r="E103" i="18"/>
  <c r="AM241" i="18"/>
  <c r="U85" i="18"/>
  <c r="U7" i="18"/>
  <c r="AV241" i="18"/>
  <c r="AD85" i="18"/>
  <c r="AD7" i="18"/>
  <c r="L7" i="18"/>
  <c r="AD241" i="18"/>
  <c r="F7" i="18"/>
  <c r="AF241" i="18"/>
  <c r="N85" i="18"/>
  <c r="N7" i="18"/>
  <c r="AG6" i="18"/>
  <c r="O7" i="18"/>
  <c r="AW241" i="18"/>
  <c r="AE85" i="18"/>
  <c r="AE7" i="18"/>
  <c r="AG84" i="18"/>
  <c r="AA93" i="18"/>
  <c r="S85" i="18"/>
  <c r="Z241" i="18"/>
  <c r="AI241" i="18"/>
  <c r="Q85" i="18"/>
  <c r="Q7" i="18"/>
  <c r="Y7" i="18"/>
  <c r="AG82" i="18"/>
  <c r="AC93" i="18"/>
  <c r="D103" i="18"/>
  <c r="D238" i="18"/>
  <c r="AH61" i="18"/>
  <c r="AH65" i="18"/>
  <c r="AH77" i="18"/>
  <c r="AI77" i="18"/>
  <c r="AH86" i="18"/>
  <c r="B92" i="18"/>
  <c r="AH87" i="18"/>
  <c r="G226" i="18"/>
  <c r="AH43" i="18"/>
  <c r="AH47" i="18"/>
  <c r="B82" i="18"/>
  <c r="AH88" i="18"/>
  <c r="AH89" i="18"/>
  <c r="E224" i="18"/>
  <c r="F224" i="18" s="1"/>
  <c r="G224" i="18" s="1"/>
  <c r="H224" i="18" s="1"/>
  <c r="I224" i="18" s="1"/>
  <c r="J224" i="18" s="1"/>
  <c r="K224" i="18" s="1"/>
  <c r="L224" i="18" s="1"/>
  <c r="M224" i="18" s="1"/>
  <c r="N224" i="18" s="1"/>
  <c r="O224" i="18" s="1"/>
  <c r="P224" i="18" s="1"/>
  <c r="AH90" i="18"/>
  <c r="B103" i="18"/>
  <c r="U43" i="17"/>
  <c r="T42" i="17"/>
  <c r="S42" i="17"/>
  <c r="S85" i="19" l="1"/>
  <c r="AA241" i="19"/>
  <c r="AF7" i="20"/>
  <c r="U85" i="19"/>
  <c r="AK241" i="18"/>
  <c r="O85" i="18"/>
  <c r="AJ241" i="18"/>
  <c r="T85" i="19"/>
  <c r="AK241" i="19"/>
  <c r="W7" i="20"/>
  <c r="N85" i="19"/>
  <c r="P85" i="18"/>
  <c r="AL241" i="19"/>
  <c r="AF85" i="19"/>
  <c r="O85" i="19"/>
  <c r="L93" i="19"/>
  <c r="AH93" i="19" s="1"/>
  <c r="W85" i="20"/>
  <c r="D85" i="20"/>
  <c r="AH242" i="21"/>
  <c r="AM241" i="19"/>
  <c r="AH241" i="18"/>
  <c r="T85" i="18"/>
  <c r="AX241" i="19"/>
  <c r="I85" i="20"/>
  <c r="AF94" i="21"/>
  <c r="Y85" i="18"/>
  <c r="M263" i="23"/>
  <c r="O227" i="23"/>
  <c r="L85" i="18"/>
  <c r="D7" i="19"/>
  <c r="Y85" i="19"/>
  <c r="Y85" i="20"/>
  <c r="P227" i="26"/>
  <c r="O263" i="26" s="1"/>
  <c r="N263" i="26"/>
  <c r="P222" i="26"/>
  <c r="O104" i="26"/>
  <c r="O228" i="26"/>
  <c r="M263" i="25"/>
  <c r="O227" i="25"/>
  <c r="O222" i="25"/>
  <c r="O104" i="25" s="1"/>
  <c r="N104" i="25"/>
  <c r="N228" i="25"/>
  <c r="M263" i="24"/>
  <c r="O227" i="24"/>
  <c r="N222" i="24"/>
  <c r="M104" i="24"/>
  <c r="M228" i="24"/>
  <c r="N222" i="23"/>
  <c r="M104" i="23"/>
  <c r="M228" i="23"/>
  <c r="N222" i="22"/>
  <c r="J263" i="22"/>
  <c r="L227" i="22"/>
  <c r="K104" i="22"/>
  <c r="K228" i="22"/>
  <c r="AE86" i="21"/>
  <c r="AW242" i="21"/>
  <c r="AD86" i="21"/>
  <c r="AV242" i="21"/>
  <c r="AU242" i="21"/>
  <c r="AA86" i="21"/>
  <c r="Z86" i="21"/>
  <c r="Y86" i="21"/>
  <c r="X94" i="21"/>
  <c r="W7" i="21"/>
  <c r="AO242" i="21"/>
  <c r="V7" i="21"/>
  <c r="V86" i="21"/>
  <c r="U7" i="21"/>
  <c r="AM242" i="21"/>
  <c r="T86" i="21"/>
  <c r="AL242" i="21"/>
  <c r="P86" i="21"/>
  <c r="Q86" i="21"/>
  <c r="R7" i="21"/>
  <c r="F85" i="20"/>
  <c r="S93" i="20"/>
  <c r="AI93" i="20" s="1"/>
  <c r="AE85" i="20"/>
  <c r="AC85" i="20"/>
  <c r="V241" i="20"/>
  <c r="P85" i="20"/>
  <c r="AH241" i="20"/>
  <c r="D7" i="20"/>
  <c r="C85" i="20"/>
  <c r="U241" i="20"/>
  <c r="O7" i="21"/>
  <c r="O86" i="21"/>
  <c r="N86" i="21"/>
  <c r="N7" i="21"/>
  <c r="AE242" i="21"/>
  <c r="I7" i="21"/>
  <c r="K86" i="21"/>
  <c r="AC242" i="21"/>
  <c r="J86" i="21"/>
  <c r="AB242" i="21"/>
  <c r="B237" i="21"/>
  <c r="Z242" i="21"/>
  <c r="H7" i="21"/>
  <c r="I86" i="21"/>
  <c r="G86" i="21"/>
  <c r="G7" i="21"/>
  <c r="C237" i="21"/>
  <c r="F7" i="21"/>
  <c r="F86" i="21"/>
  <c r="E86" i="21"/>
  <c r="E7" i="21"/>
  <c r="V242" i="21"/>
  <c r="I94" i="21"/>
  <c r="AC7" i="21"/>
  <c r="L86" i="21"/>
  <c r="AR242" i="21"/>
  <c r="AD242" i="21"/>
  <c r="E263" i="21"/>
  <c r="G227" i="21"/>
  <c r="AB86" i="21"/>
  <c r="F228" i="21"/>
  <c r="F104" i="21"/>
  <c r="G222" i="21"/>
  <c r="M86" i="21"/>
  <c r="AT242" i="21"/>
  <c r="R86" i="21"/>
  <c r="D86" i="21"/>
  <c r="AI83" i="21"/>
  <c r="AH83" i="21"/>
  <c r="C7" i="21"/>
  <c r="C86" i="21"/>
  <c r="B85" i="21"/>
  <c r="B7" i="21" s="1"/>
  <c r="AI93" i="21"/>
  <c r="AH93" i="21"/>
  <c r="N85" i="20"/>
  <c r="AF241" i="20"/>
  <c r="M7" i="20"/>
  <c r="M85" i="20"/>
  <c r="K85" i="20"/>
  <c r="L7" i="20"/>
  <c r="L85" i="20"/>
  <c r="AC241" i="20"/>
  <c r="J85" i="20"/>
  <c r="AB241" i="20"/>
  <c r="H85" i="20"/>
  <c r="Z241" i="20"/>
  <c r="B236" i="20"/>
  <c r="C236" i="20"/>
  <c r="G85" i="20"/>
  <c r="Y241" i="20"/>
  <c r="E7" i="20"/>
  <c r="E85" i="20"/>
  <c r="AH93" i="20"/>
  <c r="H221" i="20"/>
  <c r="D262" i="20"/>
  <c r="F226" i="20"/>
  <c r="F227" i="20" s="1"/>
  <c r="E103" i="20"/>
  <c r="AI92" i="20"/>
  <c r="AH92" i="20"/>
  <c r="AI82" i="20"/>
  <c r="AH82" i="20"/>
  <c r="Z85" i="19"/>
  <c r="Q85" i="19"/>
  <c r="C7" i="19"/>
  <c r="AI241" i="19"/>
  <c r="M7" i="19"/>
  <c r="M85" i="19"/>
  <c r="K85" i="19"/>
  <c r="AC241" i="19"/>
  <c r="J7" i="19"/>
  <c r="B236" i="19"/>
  <c r="J85" i="19"/>
  <c r="G85" i="19"/>
  <c r="E85" i="19"/>
  <c r="D85" i="19"/>
  <c r="G7" i="19"/>
  <c r="F7" i="19"/>
  <c r="C85" i="19"/>
  <c r="AF85" i="18"/>
  <c r="AX241" i="18"/>
  <c r="F93" i="19"/>
  <c r="C236" i="19"/>
  <c r="AH82" i="19"/>
  <c r="H85" i="19"/>
  <c r="AI82" i="19"/>
  <c r="I85" i="19"/>
  <c r="H7" i="19"/>
  <c r="D262" i="19"/>
  <c r="F226" i="19"/>
  <c r="G221" i="19"/>
  <c r="F103" i="19"/>
  <c r="E227" i="19"/>
  <c r="B7" i="19"/>
  <c r="T241" i="19"/>
  <c r="B85" i="19"/>
  <c r="AH84" i="19"/>
  <c r="AI84" i="19"/>
  <c r="AI92" i="19"/>
  <c r="AH92" i="19"/>
  <c r="AS241" i="18"/>
  <c r="AA7" i="18"/>
  <c r="V7" i="18"/>
  <c r="V85" i="18"/>
  <c r="AC7" i="18"/>
  <c r="AC85" i="18"/>
  <c r="H85" i="18"/>
  <c r="F85" i="18"/>
  <c r="E7" i="18"/>
  <c r="X7" i="18"/>
  <c r="X85" i="18"/>
  <c r="W85" i="18"/>
  <c r="AO241" i="18"/>
  <c r="M85" i="18"/>
  <c r="M7" i="18"/>
  <c r="AC241" i="18"/>
  <c r="K85" i="18"/>
  <c r="J85" i="18"/>
  <c r="J7" i="18"/>
  <c r="I85" i="18"/>
  <c r="AA241" i="18"/>
  <c r="B236" i="18"/>
  <c r="C236" i="18"/>
  <c r="G85" i="18"/>
  <c r="Y241" i="18"/>
  <c r="E85" i="18"/>
  <c r="D85" i="18"/>
  <c r="V241" i="18"/>
  <c r="C7" i="18"/>
  <c r="U241" i="18"/>
  <c r="AI92" i="18"/>
  <c r="AH92" i="18"/>
  <c r="E227" i="18"/>
  <c r="AI82" i="18"/>
  <c r="AH82" i="18"/>
  <c r="B84" i="18"/>
  <c r="F262" i="18"/>
  <c r="H226" i="18"/>
  <c r="B93" i="18"/>
  <c r="G221" i="18"/>
  <c r="F103" i="18"/>
  <c r="F227" i="18"/>
  <c r="AI94" i="21" l="1"/>
  <c r="N263" i="23"/>
  <c r="P227" i="23"/>
  <c r="O263" i="23" s="1"/>
  <c r="AI93" i="19"/>
  <c r="P104" i="26"/>
  <c r="P228" i="26"/>
  <c r="P222" i="25"/>
  <c r="P104" i="25" s="1"/>
  <c r="O228" i="25"/>
  <c r="N263" i="25"/>
  <c r="P227" i="25"/>
  <c r="O263" i="25" s="1"/>
  <c r="O222" i="24"/>
  <c r="N104" i="24"/>
  <c r="N228" i="24"/>
  <c r="N263" i="24"/>
  <c r="P227" i="24"/>
  <c r="O263" i="24" s="1"/>
  <c r="O222" i="23"/>
  <c r="N228" i="23"/>
  <c r="N104" i="23"/>
  <c r="K263" i="22"/>
  <c r="M227" i="22"/>
  <c r="L104" i="22"/>
  <c r="L228" i="22"/>
  <c r="O222" i="22"/>
  <c r="K6" i="21"/>
  <c r="AH94" i="21"/>
  <c r="A7" i="21"/>
  <c r="F263" i="21"/>
  <c r="H227" i="21"/>
  <c r="H222" i="21"/>
  <c r="G228" i="21"/>
  <c r="G104" i="21"/>
  <c r="AH85" i="21"/>
  <c r="AI85" i="21"/>
  <c r="B86" i="21"/>
  <c r="AI86" i="21" s="1"/>
  <c r="T242" i="21"/>
  <c r="K6" i="20"/>
  <c r="B7" i="20"/>
  <c r="A7" i="20" s="1"/>
  <c r="T241" i="20"/>
  <c r="AI84" i="20"/>
  <c r="AH84" i="20"/>
  <c r="I221" i="20"/>
  <c r="E262" i="20"/>
  <c r="G226" i="20"/>
  <c r="F103" i="20"/>
  <c r="K6" i="19"/>
  <c r="A7" i="19"/>
  <c r="H221" i="19"/>
  <c r="E262" i="19"/>
  <c r="G226" i="19"/>
  <c r="AI85" i="19"/>
  <c r="AH85" i="19"/>
  <c r="F227" i="19"/>
  <c r="K6" i="18"/>
  <c r="G262" i="18"/>
  <c r="I226" i="18"/>
  <c r="H221" i="18"/>
  <c r="G103" i="18"/>
  <c r="G227" i="18"/>
  <c r="B7" i="18"/>
  <c r="A7" i="18" s="1"/>
  <c r="T241" i="18"/>
  <c r="B85" i="18"/>
  <c r="AI84" i="18"/>
  <c r="AH84" i="18"/>
  <c r="AI93" i="18"/>
  <c r="AH93" i="18"/>
  <c r="R106" i="17"/>
  <c r="R42" i="17"/>
  <c r="AI104" i="26" l="1"/>
  <c r="AH104" i="26"/>
  <c r="P228" i="25"/>
  <c r="P222" i="24"/>
  <c r="O104" i="24"/>
  <c r="O228" i="24"/>
  <c r="P222" i="23"/>
  <c r="O228" i="23"/>
  <c r="O104" i="23"/>
  <c r="P222" i="22"/>
  <c r="L263" i="22"/>
  <c r="N227" i="22"/>
  <c r="M104" i="22"/>
  <c r="M228" i="22"/>
  <c r="AH86" i="21"/>
  <c r="I222" i="21"/>
  <c r="H104" i="21"/>
  <c r="H228" i="21"/>
  <c r="G263" i="21"/>
  <c r="I227" i="21"/>
  <c r="J221" i="20"/>
  <c r="F262" i="20"/>
  <c r="H226" i="20"/>
  <c r="G103" i="20"/>
  <c r="G227" i="20"/>
  <c r="AI85" i="20"/>
  <c r="AH85" i="20"/>
  <c r="F262" i="19"/>
  <c r="H226" i="19"/>
  <c r="G227" i="19"/>
  <c r="G103" i="19"/>
  <c r="I221" i="19"/>
  <c r="H103" i="19"/>
  <c r="H227" i="19"/>
  <c r="AI85" i="18"/>
  <c r="AH85" i="18"/>
  <c r="I221" i="18"/>
  <c r="H103" i="18"/>
  <c r="H227" i="18"/>
  <c r="H262" i="18"/>
  <c r="J226" i="18"/>
  <c r="N106" i="17"/>
  <c r="N42" i="17"/>
  <c r="AH104" i="25" l="1"/>
  <c r="AI104" i="25"/>
  <c r="P104" i="24"/>
  <c r="P228" i="24"/>
  <c r="P104" i="23"/>
  <c r="P228" i="23"/>
  <c r="O227" i="22"/>
  <c r="M263" i="22"/>
  <c r="N228" i="22"/>
  <c r="N104" i="22"/>
  <c r="H263" i="21"/>
  <c r="J227" i="21"/>
  <c r="I228" i="21"/>
  <c r="I104" i="21"/>
  <c r="J222" i="21"/>
  <c r="G262" i="20"/>
  <c r="I226" i="20"/>
  <c r="H103" i="20"/>
  <c r="H227" i="20"/>
  <c r="K221" i="20"/>
  <c r="J221" i="19"/>
  <c r="G262" i="19"/>
  <c r="I226" i="19"/>
  <c r="I103" i="18"/>
  <c r="I227" i="18"/>
  <c r="J221" i="18"/>
  <c r="K226" i="18"/>
  <c r="I262" i="18"/>
  <c r="M42" i="17"/>
  <c r="L106" i="17"/>
  <c r="L42" i="17"/>
  <c r="K106" i="17"/>
  <c r="K42" i="17"/>
  <c r="J106" i="17"/>
  <c r="J42" i="17"/>
  <c r="I106" i="17"/>
  <c r="I42" i="17"/>
  <c r="H106" i="17"/>
  <c r="H42" i="17"/>
  <c r="G106" i="17"/>
  <c r="AH106" i="17" s="1"/>
  <c r="G42" i="17"/>
  <c r="F106" i="17"/>
  <c r="F42" i="17"/>
  <c r="E106" i="17"/>
  <c r="E42" i="17"/>
  <c r="D42" i="17"/>
  <c r="C42" i="17"/>
  <c r="B42" i="17"/>
  <c r="AI42" i="17" s="1"/>
  <c r="AF266" i="17"/>
  <c r="AE266" i="17"/>
  <c r="AD266" i="17"/>
  <c r="AC266" i="17"/>
  <c r="AB266" i="17"/>
  <c r="AA266" i="17"/>
  <c r="Z266" i="17"/>
  <c r="Y266" i="17"/>
  <c r="X266" i="17"/>
  <c r="W266" i="17"/>
  <c r="V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F266" i="17"/>
  <c r="E266" i="17"/>
  <c r="D266" i="17"/>
  <c r="C266" i="17"/>
  <c r="B266" i="17"/>
  <c r="A266" i="17"/>
  <c r="AF265" i="17"/>
  <c r="AE265" i="17"/>
  <c r="AD265" i="17"/>
  <c r="AC265" i="17"/>
  <c r="AB265" i="17"/>
  <c r="AA265" i="17"/>
  <c r="Z265" i="17"/>
  <c r="Y265" i="17"/>
  <c r="X265" i="17"/>
  <c r="W265" i="17"/>
  <c r="V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F265" i="17"/>
  <c r="E265" i="17"/>
  <c r="D265" i="17"/>
  <c r="C265" i="17"/>
  <c r="B265" i="17"/>
  <c r="A265" i="17"/>
  <c r="AF264" i="17"/>
  <c r="AE264" i="17"/>
  <c r="AD264" i="17"/>
  <c r="AC264" i="17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B264" i="17"/>
  <c r="A264" i="17"/>
  <c r="AF263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F263" i="17"/>
  <c r="E263" i="17"/>
  <c r="D263" i="17"/>
  <c r="C263" i="17"/>
  <c r="B263" i="17"/>
  <c r="A263" i="17"/>
  <c r="AE262" i="17"/>
  <c r="AD262" i="17"/>
  <c r="AC262" i="17"/>
  <c r="AB262" i="17"/>
  <c r="AA262" i="17"/>
  <c r="Z262" i="17"/>
  <c r="Y262" i="17"/>
  <c r="X262" i="17"/>
  <c r="W262" i="17"/>
  <c r="V262" i="17"/>
  <c r="U262" i="17"/>
  <c r="T262" i="17"/>
  <c r="S262" i="17"/>
  <c r="R262" i="17"/>
  <c r="Q262" i="17"/>
  <c r="P262" i="17"/>
  <c r="B262" i="17"/>
  <c r="S237" i="17"/>
  <c r="AG227" i="17"/>
  <c r="AG60" i="17" s="1"/>
  <c r="AG61" i="17" s="1"/>
  <c r="AG3" i="17" s="1"/>
  <c r="AF227" i="17"/>
  <c r="AE227" i="17"/>
  <c r="AD227" i="17"/>
  <c r="AC227" i="17"/>
  <c r="AB227" i="17"/>
  <c r="AA227" i="17"/>
  <c r="Z227" i="17"/>
  <c r="Y227" i="17"/>
  <c r="X227" i="17"/>
  <c r="W227" i="17"/>
  <c r="V227" i="17"/>
  <c r="U227" i="17"/>
  <c r="T227" i="17"/>
  <c r="S227" i="17"/>
  <c r="R227" i="17"/>
  <c r="Q227" i="17"/>
  <c r="C227" i="17"/>
  <c r="E226" i="17"/>
  <c r="D262" i="17" s="1"/>
  <c r="D226" i="17"/>
  <c r="C262" i="17" s="1"/>
  <c r="B226" i="17"/>
  <c r="AF262" i="17" s="1"/>
  <c r="D225" i="17"/>
  <c r="E225" i="17" s="1"/>
  <c r="F225" i="17" s="1"/>
  <c r="G225" i="17" s="1"/>
  <c r="H225" i="17" s="1"/>
  <c r="I225" i="17" s="1"/>
  <c r="J225" i="17" s="1"/>
  <c r="K225" i="17" s="1"/>
  <c r="L225" i="17" s="1"/>
  <c r="M225" i="17" s="1"/>
  <c r="N225" i="17" s="1"/>
  <c r="O225" i="17" s="1"/>
  <c r="P225" i="17" s="1"/>
  <c r="B225" i="17"/>
  <c r="D224" i="17"/>
  <c r="E224" i="17" s="1"/>
  <c r="F224" i="17" s="1"/>
  <c r="G224" i="17" s="1"/>
  <c r="H224" i="17" s="1"/>
  <c r="I224" i="17" s="1"/>
  <c r="J224" i="17" s="1"/>
  <c r="K224" i="17" s="1"/>
  <c r="L224" i="17" s="1"/>
  <c r="M224" i="17" s="1"/>
  <c r="N224" i="17" s="1"/>
  <c r="O224" i="17" s="1"/>
  <c r="P224" i="17" s="1"/>
  <c r="B224" i="17"/>
  <c r="D223" i="17"/>
  <c r="E223" i="17" s="1"/>
  <c r="F223" i="17" s="1"/>
  <c r="G223" i="17" s="1"/>
  <c r="H223" i="17" s="1"/>
  <c r="I223" i="17" s="1"/>
  <c r="J223" i="17" s="1"/>
  <c r="K223" i="17" s="1"/>
  <c r="L223" i="17" s="1"/>
  <c r="M223" i="17" s="1"/>
  <c r="N223" i="17" s="1"/>
  <c r="O223" i="17" s="1"/>
  <c r="P223" i="17" s="1"/>
  <c r="B223" i="17"/>
  <c r="F222" i="17"/>
  <c r="G222" i="17" s="1"/>
  <c r="H222" i="17" s="1"/>
  <c r="I222" i="17" s="1"/>
  <c r="J222" i="17" s="1"/>
  <c r="K222" i="17" s="1"/>
  <c r="L222" i="17" s="1"/>
  <c r="M222" i="17" s="1"/>
  <c r="N222" i="17" s="1"/>
  <c r="O222" i="17" s="1"/>
  <c r="P222" i="17" s="1"/>
  <c r="E222" i="17"/>
  <c r="D222" i="17"/>
  <c r="B222" i="17"/>
  <c r="D221" i="17"/>
  <c r="E221" i="17" s="1"/>
  <c r="B221" i="17"/>
  <c r="AG219" i="17"/>
  <c r="AF219" i="17"/>
  <c r="AE219" i="17"/>
  <c r="AD219" i="17"/>
  <c r="AC219" i="17"/>
  <c r="AB219" i="17"/>
  <c r="AA219" i="17"/>
  <c r="Z219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AI112" i="17"/>
  <c r="AH112" i="17"/>
  <c r="AI111" i="17"/>
  <c r="AH111" i="17"/>
  <c r="AI110" i="17"/>
  <c r="AH110" i="17"/>
  <c r="AI109" i="17"/>
  <c r="AH109" i="17"/>
  <c r="AI108" i="17"/>
  <c r="AH108" i="17"/>
  <c r="AI107" i="17"/>
  <c r="AH107" i="17"/>
  <c r="AI106" i="17"/>
  <c r="AI105" i="17"/>
  <c r="AH105" i="17"/>
  <c r="AI104" i="17"/>
  <c r="AH104" i="17"/>
  <c r="AF103" i="17"/>
  <c r="AE103" i="17"/>
  <c r="AD103" i="17"/>
  <c r="AC103" i="17"/>
  <c r="AB103" i="17"/>
  <c r="AA103" i="17"/>
  <c r="Z103" i="17"/>
  <c r="Y103" i="17"/>
  <c r="W103" i="17"/>
  <c r="V103" i="17"/>
  <c r="U103" i="17"/>
  <c r="T103" i="17"/>
  <c r="S103" i="17"/>
  <c r="R103" i="17"/>
  <c r="Q103" i="17"/>
  <c r="C103" i="17"/>
  <c r="AI102" i="17"/>
  <c r="AH102" i="17"/>
  <c r="AI101" i="17"/>
  <c r="AH101" i="17"/>
  <c r="AI100" i="17"/>
  <c r="AH100" i="17"/>
  <c r="AI99" i="17"/>
  <c r="AH99" i="17"/>
  <c r="AI98" i="17"/>
  <c r="AH98" i="17"/>
  <c r="AI97" i="17"/>
  <c r="AH97" i="17"/>
  <c r="AI96" i="17"/>
  <c r="AH96" i="17"/>
  <c r="AI95" i="17"/>
  <c r="AH95" i="17"/>
  <c r="AI94" i="17"/>
  <c r="AH94" i="17"/>
  <c r="AI91" i="17"/>
  <c r="AH91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L92" i="17" s="1"/>
  <c r="K88" i="17"/>
  <c r="J88" i="17"/>
  <c r="I88" i="17"/>
  <c r="H88" i="17"/>
  <c r="G88" i="17"/>
  <c r="F88" i="17"/>
  <c r="E88" i="17"/>
  <c r="D88" i="17"/>
  <c r="C88" i="17"/>
  <c r="B88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I83" i="17"/>
  <c r="AH83" i="17"/>
  <c r="AI81" i="17"/>
  <c r="AH81" i="17"/>
  <c r="AG81" i="17"/>
  <c r="AI80" i="17"/>
  <c r="AH80" i="17"/>
  <c r="AI79" i="17"/>
  <c r="AH79" i="17"/>
  <c r="AI78" i="17"/>
  <c r="AH78" i="17"/>
  <c r="AG77" i="17"/>
  <c r="AF77" i="17"/>
  <c r="AE5" i="17" s="1"/>
  <c r="AE77" i="17"/>
  <c r="AD5" i="17" s="1"/>
  <c r="AD77" i="17"/>
  <c r="AC77" i="17"/>
  <c r="AB77" i="17"/>
  <c r="AA77" i="17"/>
  <c r="Z77" i="17"/>
  <c r="Y5" i="17" s="1"/>
  <c r="Y77" i="17"/>
  <c r="X5" i="17" s="1"/>
  <c r="X77" i="17"/>
  <c r="W5" i="17" s="1"/>
  <c r="W77" i="17"/>
  <c r="V5" i="17" s="1"/>
  <c r="V77" i="17"/>
  <c r="U77" i="17"/>
  <c r="T77" i="17"/>
  <c r="S77" i="17"/>
  <c r="R77" i="17"/>
  <c r="Q5" i="17" s="1"/>
  <c r="Q77" i="17"/>
  <c r="P77" i="17"/>
  <c r="O5" i="17" s="1"/>
  <c r="O77" i="17"/>
  <c r="N5" i="17" s="1"/>
  <c r="N77" i="17"/>
  <c r="M77" i="17"/>
  <c r="L77" i="17"/>
  <c r="K5" i="17" s="1"/>
  <c r="K77" i="17"/>
  <c r="J5" i="17" s="1"/>
  <c r="J77" i="17"/>
  <c r="I5" i="17" s="1"/>
  <c r="I77" i="17"/>
  <c r="H5" i="17" s="1"/>
  <c r="H77" i="17"/>
  <c r="G5" i="17" s="1"/>
  <c r="G77" i="17"/>
  <c r="F5" i="17" s="1"/>
  <c r="F77" i="17"/>
  <c r="E77" i="17"/>
  <c r="D77" i="17"/>
  <c r="C5" i="17" s="1"/>
  <c r="C77" i="17"/>
  <c r="B5" i="17" s="1"/>
  <c r="B77" i="17"/>
  <c r="AF5" i="17" s="1"/>
  <c r="AI76" i="17"/>
  <c r="AH76" i="17"/>
  <c r="AI75" i="17"/>
  <c r="AH75" i="17"/>
  <c r="AI74" i="17"/>
  <c r="AH74" i="17"/>
  <c r="AI73" i="17"/>
  <c r="AH73" i="17"/>
  <c r="AI72" i="17"/>
  <c r="AH72" i="17"/>
  <c r="AI71" i="17"/>
  <c r="AH71" i="17"/>
  <c r="AI70" i="17"/>
  <c r="AH70" i="17"/>
  <c r="AI69" i="17"/>
  <c r="AH69" i="17"/>
  <c r="AI68" i="17"/>
  <c r="AH68" i="17"/>
  <c r="AI67" i="17"/>
  <c r="AH67" i="17"/>
  <c r="AI66" i="17"/>
  <c r="AH66" i="17"/>
  <c r="AG65" i="17"/>
  <c r="AF65" i="17"/>
  <c r="AE65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I64" i="17"/>
  <c r="AH64" i="17"/>
  <c r="AI63" i="17"/>
  <c r="AH63" i="17"/>
  <c r="AI62" i="17"/>
  <c r="AH62" i="17"/>
  <c r="AF61" i="17"/>
  <c r="AE61" i="17"/>
  <c r="AD61" i="17"/>
  <c r="AC61" i="17"/>
  <c r="AB61" i="17"/>
  <c r="AA61" i="17"/>
  <c r="Z61" i="17"/>
  <c r="Y61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G47" i="17"/>
  <c r="AF47" i="17"/>
  <c r="AE47" i="17"/>
  <c r="AD47" i="17"/>
  <c r="AC47" i="17"/>
  <c r="AB47" i="17"/>
  <c r="AA47" i="17"/>
  <c r="Z47" i="17"/>
  <c r="Y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I46" i="17"/>
  <c r="AH46" i="17"/>
  <c r="AI45" i="17"/>
  <c r="AH45" i="17"/>
  <c r="AI44" i="17"/>
  <c r="AH44" i="17"/>
  <c r="AG43" i="17"/>
  <c r="AG82" i="17" s="1"/>
  <c r="AF43" i="17"/>
  <c r="AE43" i="17"/>
  <c r="AD43" i="17"/>
  <c r="AC43" i="17"/>
  <c r="AB43" i="17"/>
  <c r="AA43" i="17"/>
  <c r="Z43" i="17"/>
  <c r="Y43" i="17"/>
  <c r="X43" i="17"/>
  <c r="W43" i="17"/>
  <c r="V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G4" i="17"/>
  <c r="K4" i="17"/>
  <c r="B4" i="17"/>
  <c r="S238" i="17" s="1"/>
  <c r="AG2" i="17"/>
  <c r="AG6" i="17" s="1"/>
  <c r="AF42" i="16"/>
  <c r="AE42" i="16"/>
  <c r="AD42" i="16"/>
  <c r="E4" i="17"/>
  <c r="K92" i="17" l="1"/>
  <c r="AA92" i="17"/>
  <c r="D92" i="17"/>
  <c r="T92" i="17"/>
  <c r="Y92" i="17"/>
  <c r="Y93" i="17" s="1"/>
  <c r="AH42" i="17"/>
  <c r="B103" i="17"/>
  <c r="B227" i="17"/>
  <c r="F226" i="17"/>
  <c r="AI104" i="24"/>
  <c r="AH104" i="24"/>
  <c r="AI104" i="23"/>
  <c r="AH104" i="23"/>
  <c r="N263" i="22"/>
  <c r="P227" i="22"/>
  <c r="O104" i="22"/>
  <c r="O228" i="22"/>
  <c r="J104" i="21"/>
  <c r="K222" i="21"/>
  <c r="J228" i="21"/>
  <c r="I263" i="21"/>
  <c r="K227" i="21"/>
  <c r="L221" i="20"/>
  <c r="H262" i="20"/>
  <c r="J226" i="20"/>
  <c r="I103" i="20"/>
  <c r="I227" i="20"/>
  <c r="H262" i="19"/>
  <c r="J226" i="19"/>
  <c r="J103" i="19" s="1"/>
  <c r="K221" i="19"/>
  <c r="I227" i="19"/>
  <c r="I103" i="19"/>
  <c r="J262" i="18"/>
  <c r="L226" i="18"/>
  <c r="J103" i="18"/>
  <c r="J227" i="18"/>
  <c r="K221" i="18"/>
  <c r="AF82" i="17"/>
  <c r="AF84" i="17" s="1"/>
  <c r="AX241" i="17" s="1"/>
  <c r="AE82" i="17"/>
  <c r="AE84" i="17" s="1"/>
  <c r="AE7" i="17" s="1"/>
  <c r="AD92" i="17"/>
  <c r="AD82" i="17"/>
  <c r="AD84" i="17" s="1"/>
  <c r="AC92" i="17"/>
  <c r="AB92" i="17"/>
  <c r="AB93" i="17" s="1"/>
  <c r="AB82" i="17"/>
  <c r="AB84" i="17" s="1"/>
  <c r="AB7" i="17" s="1"/>
  <c r="AA93" i="17"/>
  <c r="Z5" i="17"/>
  <c r="Z92" i="17"/>
  <c r="Z93" i="17" s="1"/>
  <c r="Z82" i="17"/>
  <c r="Z84" i="17" s="1"/>
  <c r="AR241" i="17" s="1"/>
  <c r="Y82" i="17"/>
  <c r="Y84" i="17" s="1"/>
  <c r="AQ241" i="17" s="1"/>
  <c r="X82" i="17"/>
  <c r="X84" i="17" s="1"/>
  <c r="AP241" i="17" s="1"/>
  <c r="W82" i="17"/>
  <c r="W84" i="17" s="1"/>
  <c r="V92" i="17"/>
  <c r="V93" i="17" s="1"/>
  <c r="V82" i="17"/>
  <c r="V84" i="17" s="1"/>
  <c r="AN241" i="17" s="1"/>
  <c r="U92" i="17"/>
  <c r="T93" i="17"/>
  <c r="S5" i="17"/>
  <c r="S92" i="17"/>
  <c r="R92" i="17"/>
  <c r="R93" i="17" s="1"/>
  <c r="R82" i="17"/>
  <c r="R84" i="17" s="1"/>
  <c r="Q92" i="17"/>
  <c r="Q93" i="17"/>
  <c r="P5" i="17"/>
  <c r="O82" i="17"/>
  <c r="O84" i="17" s="1"/>
  <c r="P82" i="17"/>
  <c r="P84" i="17" s="1"/>
  <c r="P7" i="17" s="1"/>
  <c r="Q82" i="17"/>
  <c r="Q84" i="17" s="1"/>
  <c r="AI241" i="17" s="1"/>
  <c r="N92" i="17"/>
  <c r="N93" i="17" s="1"/>
  <c r="N82" i="17"/>
  <c r="N84" i="17" s="1"/>
  <c r="AF241" i="17" s="1"/>
  <c r="M92" i="17"/>
  <c r="J92" i="17"/>
  <c r="J93" i="17" s="1"/>
  <c r="J82" i="17"/>
  <c r="J84" i="17" s="1"/>
  <c r="AB241" i="17" s="1"/>
  <c r="I92" i="17"/>
  <c r="I93" i="17" s="1"/>
  <c r="I82" i="17"/>
  <c r="I84" i="17" s="1"/>
  <c r="I7" i="17" s="1"/>
  <c r="H82" i="17"/>
  <c r="H84" i="17" s="1"/>
  <c r="Z241" i="17" s="1"/>
  <c r="G82" i="17"/>
  <c r="G84" i="17" s="1"/>
  <c r="G7" i="17" s="1"/>
  <c r="F92" i="17"/>
  <c r="F93" i="17" s="1"/>
  <c r="AI87" i="17"/>
  <c r="F82" i="17"/>
  <c r="F84" i="17" s="1"/>
  <c r="F85" i="17" s="1"/>
  <c r="E92" i="17"/>
  <c r="AI61" i="17"/>
  <c r="C92" i="17"/>
  <c r="AH65" i="17"/>
  <c r="AH88" i="17"/>
  <c r="B82" i="17"/>
  <c r="B84" i="17" s="1"/>
  <c r="B92" i="17"/>
  <c r="B93" i="17" s="1"/>
  <c r="AH87" i="17"/>
  <c r="AI65" i="17"/>
  <c r="H4" i="17"/>
  <c r="AA241" i="17"/>
  <c r="I85" i="17"/>
  <c r="AV241" i="17"/>
  <c r="X7" i="17"/>
  <c r="S93" i="17"/>
  <c r="C82" i="17"/>
  <c r="C84" i="17" s="1"/>
  <c r="AA82" i="17"/>
  <c r="AA84" i="17" s="1"/>
  <c r="K93" i="17"/>
  <c r="AA5" i="17"/>
  <c r="AG84" i="17"/>
  <c r="G92" i="17"/>
  <c r="G93" i="17" s="1"/>
  <c r="O92" i="17"/>
  <c r="O93" i="17" s="1"/>
  <c r="W92" i="17"/>
  <c r="W93" i="17" s="1"/>
  <c r="AE92" i="17"/>
  <c r="AE93" i="17" s="1"/>
  <c r="AW241" i="17"/>
  <c r="R5" i="17"/>
  <c r="AI47" i="17"/>
  <c r="AH47" i="17"/>
  <c r="AH77" i="17"/>
  <c r="AI77" i="17"/>
  <c r="H92" i="17"/>
  <c r="H93" i="17" s="1"/>
  <c r="P92" i="17"/>
  <c r="P93" i="17" s="1"/>
  <c r="X92" i="17"/>
  <c r="X93" i="17" s="1"/>
  <c r="AF92" i="17"/>
  <c r="AF93" i="17" s="1"/>
  <c r="AH89" i="17"/>
  <c r="AH86" i="17"/>
  <c r="O7" i="17"/>
  <c r="K82" i="17"/>
  <c r="K84" i="17" s="1"/>
  <c r="L93" i="17"/>
  <c r="AI86" i="17"/>
  <c r="C93" i="17"/>
  <c r="D227" i="17"/>
  <c r="AI43" i="17"/>
  <c r="AH43" i="17"/>
  <c r="S82" i="17"/>
  <c r="S84" i="17" s="1"/>
  <c r="D93" i="17"/>
  <c r="L82" i="17"/>
  <c r="L84" i="17" s="1"/>
  <c r="AH61" i="17"/>
  <c r="E93" i="17"/>
  <c r="D5" i="17"/>
  <c r="M93" i="17"/>
  <c r="L5" i="17"/>
  <c r="U93" i="17"/>
  <c r="T5" i="17"/>
  <c r="AC93" i="17"/>
  <c r="AB5" i="17"/>
  <c r="AI90" i="17"/>
  <c r="E103" i="17"/>
  <c r="E227" i="17"/>
  <c r="AO241" i="17"/>
  <c r="D82" i="17"/>
  <c r="D84" i="17" s="1"/>
  <c r="T82" i="17"/>
  <c r="T84" i="17" s="1"/>
  <c r="W7" i="17"/>
  <c r="E82" i="17"/>
  <c r="E84" i="17" s="1"/>
  <c r="M82" i="17"/>
  <c r="M84" i="17" s="1"/>
  <c r="U82" i="17"/>
  <c r="U84" i="17" s="1"/>
  <c r="AC82" i="17"/>
  <c r="AC84" i="17" s="1"/>
  <c r="AD93" i="17"/>
  <c r="AI88" i="17"/>
  <c r="AI89" i="17"/>
  <c r="F221" i="17"/>
  <c r="D103" i="17"/>
  <c r="D238" i="17"/>
  <c r="E5" i="17"/>
  <c r="M5" i="17"/>
  <c r="U5" i="17"/>
  <c r="AC5" i="17"/>
  <c r="AH90" i="17"/>
  <c r="J227" i="19" l="1"/>
  <c r="X241" i="17"/>
  <c r="R85" i="17"/>
  <c r="AD85" i="17"/>
  <c r="H7" i="17"/>
  <c r="E262" i="17"/>
  <c r="G226" i="17"/>
  <c r="O263" i="22"/>
  <c r="P228" i="22"/>
  <c r="P104" i="22"/>
  <c r="J263" i="21"/>
  <c r="L227" i="21"/>
  <c r="L222" i="21"/>
  <c r="K104" i="21"/>
  <c r="K228" i="21"/>
  <c r="K226" i="20"/>
  <c r="I262" i="20"/>
  <c r="J103" i="20"/>
  <c r="J227" i="20"/>
  <c r="M221" i="20"/>
  <c r="L221" i="19"/>
  <c r="K226" i="19"/>
  <c r="K227" i="19" s="1"/>
  <c r="I262" i="19"/>
  <c r="AF7" i="17"/>
  <c r="K103" i="18"/>
  <c r="K227" i="18"/>
  <c r="L221" i="18"/>
  <c r="K262" i="18"/>
  <c r="M226" i="18"/>
  <c r="N7" i="17"/>
  <c r="N85" i="17"/>
  <c r="AT241" i="17"/>
  <c r="AB85" i="17"/>
  <c r="AD7" i="17"/>
  <c r="Z85" i="17"/>
  <c r="Z7" i="17"/>
  <c r="Y85" i="17"/>
  <c r="Y7" i="17"/>
  <c r="W85" i="17"/>
  <c r="V7" i="17"/>
  <c r="V85" i="17"/>
  <c r="R7" i="17"/>
  <c r="AJ241" i="17"/>
  <c r="AH241" i="17"/>
  <c r="O85" i="17"/>
  <c r="AG241" i="17"/>
  <c r="Q85" i="17"/>
  <c r="Q7" i="17"/>
  <c r="C236" i="17"/>
  <c r="K6" i="17" s="1"/>
  <c r="B236" i="17"/>
  <c r="J85" i="17"/>
  <c r="J7" i="17"/>
  <c r="H85" i="17"/>
  <c r="Y241" i="17"/>
  <c r="F7" i="17"/>
  <c r="T7" i="17"/>
  <c r="AL241" i="17"/>
  <c r="T85" i="17"/>
  <c r="K7" i="17"/>
  <c r="K85" i="17"/>
  <c r="AC241" i="17"/>
  <c r="C7" i="17"/>
  <c r="U241" i="17"/>
  <c r="C85" i="17"/>
  <c r="AI92" i="17"/>
  <c r="AH93" i="17"/>
  <c r="AI93" i="17"/>
  <c r="G85" i="17"/>
  <c r="AE85" i="17"/>
  <c r="AH92" i="17"/>
  <c r="AU241" i="17"/>
  <c r="AC7" i="17"/>
  <c r="AC85" i="17"/>
  <c r="L7" i="17"/>
  <c r="AD241" i="17"/>
  <c r="L85" i="17"/>
  <c r="P85" i="17"/>
  <c r="G221" i="17"/>
  <c r="F227" i="17"/>
  <c r="F103" i="17"/>
  <c r="AM241" i="17"/>
  <c r="U85" i="17"/>
  <c r="U7" i="17"/>
  <c r="X85" i="17"/>
  <c r="AE241" i="17"/>
  <c r="M7" i="17"/>
  <c r="M85" i="17"/>
  <c r="S7" i="17"/>
  <c r="S85" i="17"/>
  <c r="AK241" i="17"/>
  <c r="AH82" i="17"/>
  <c r="AF85" i="17"/>
  <c r="D7" i="17"/>
  <c r="V241" i="17"/>
  <c r="D85" i="17"/>
  <c r="W241" i="17"/>
  <c r="E85" i="17"/>
  <c r="E7" i="17"/>
  <c r="B7" i="17"/>
  <c r="T241" i="17"/>
  <c r="AI84" i="17"/>
  <c r="AH84" i="17"/>
  <c r="B85" i="17"/>
  <c r="AA7" i="17"/>
  <c r="AA85" i="17"/>
  <c r="AS241" i="17"/>
  <c r="AI82" i="17"/>
  <c r="F262" i="17" l="1"/>
  <c r="H226" i="17"/>
  <c r="AI104" i="22"/>
  <c r="AH104" i="22"/>
  <c r="M222" i="21"/>
  <c r="L104" i="21"/>
  <c r="L228" i="21"/>
  <c r="K263" i="21"/>
  <c r="M227" i="21"/>
  <c r="N221" i="20"/>
  <c r="J262" i="20"/>
  <c r="L226" i="20"/>
  <c r="K103" i="20"/>
  <c r="K227" i="20"/>
  <c r="M221" i="19"/>
  <c r="L226" i="19"/>
  <c r="J262" i="19"/>
  <c r="K103" i="19"/>
  <c r="L262" i="18"/>
  <c r="N226" i="18"/>
  <c r="L227" i="18"/>
  <c r="M221" i="18"/>
  <c r="L103" i="18"/>
  <c r="H221" i="17"/>
  <c r="G227" i="17"/>
  <c r="G103" i="17"/>
  <c r="AH85" i="17"/>
  <c r="AI85" i="17"/>
  <c r="A7" i="17"/>
  <c r="G262" i="17" l="1"/>
  <c r="I226" i="17"/>
  <c r="L263" i="21"/>
  <c r="N227" i="21"/>
  <c r="M104" i="21"/>
  <c r="N222" i="21"/>
  <c r="M228" i="21"/>
  <c r="K262" i="20"/>
  <c r="M226" i="20"/>
  <c r="L103" i="20"/>
  <c r="L227" i="20"/>
  <c r="O221" i="20"/>
  <c r="K262" i="19"/>
  <c r="M226" i="19"/>
  <c r="M227" i="19" s="1"/>
  <c r="L103" i="19"/>
  <c r="N221" i="19"/>
  <c r="L227" i="19"/>
  <c r="N221" i="18"/>
  <c r="M103" i="18"/>
  <c r="M227" i="18"/>
  <c r="M262" i="18"/>
  <c r="O226" i="18"/>
  <c r="I221" i="17"/>
  <c r="H103" i="17"/>
  <c r="H227" i="17"/>
  <c r="M103" i="19" l="1"/>
  <c r="H262" i="17"/>
  <c r="J226" i="17"/>
  <c r="N104" i="21"/>
  <c r="N228" i="21"/>
  <c r="O222" i="21"/>
  <c r="M263" i="21"/>
  <c r="O227" i="21"/>
  <c r="P221" i="20"/>
  <c r="L262" i="20"/>
  <c r="N226" i="20"/>
  <c r="M227" i="20"/>
  <c r="M103" i="20"/>
  <c r="O221" i="19"/>
  <c r="L262" i="19"/>
  <c r="N226" i="19"/>
  <c r="O221" i="18"/>
  <c r="N103" i="18"/>
  <c r="N227" i="18"/>
  <c r="N262" i="18"/>
  <c r="P226" i="18"/>
  <c r="O262" i="18" s="1"/>
  <c r="I103" i="17"/>
  <c r="J221" i="17"/>
  <c r="I227" i="17"/>
  <c r="K226" i="17" l="1"/>
  <c r="I262" i="17"/>
  <c r="P222" i="21"/>
  <c r="O104" i="21"/>
  <c r="O228" i="21"/>
  <c r="P227" i="21"/>
  <c r="O263" i="21" s="1"/>
  <c r="N263" i="21"/>
  <c r="M262" i="20"/>
  <c r="O226" i="20"/>
  <c r="N103" i="20"/>
  <c r="N227" i="20"/>
  <c r="M262" i="19"/>
  <c r="O226" i="19"/>
  <c r="O103" i="19" s="1"/>
  <c r="N227" i="19"/>
  <c r="N103" i="19"/>
  <c r="P221" i="19"/>
  <c r="P221" i="18"/>
  <c r="O103" i="18"/>
  <c r="O227" i="18"/>
  <c r="J103" i="17"/>
  <c r="J227" i="17"/>
  <c r="K221" i="17"/>
  <c r="O227" i="19" l="1"/>
  <c r="L226" i="17"/>
  <c r="J262" i="17"/>
  <c r="P104" i="21"/>
  <c r="AI104" i="21" s="1"/>
  <c r="P228" i="21"/>
  <c r="N262" i="20"/>
  <c r="P226" i="20"/>
  <c r="O103" i="20"/>
  <c r="O227" i="20"/>
  <c r="N262" i="19"/>
  <c r="P226" i="19"/>
  <c r="O262" i="19" s="1"/>
  <c r="P103" i="18"/>
  <c r="P227" i="18"/>
  <c r="K103" i="17"/>
  <c r="K227" i="17"/>
  <c r="L221" i="17"/>
  <c r="P103" i="19" l="1"/>
  <c r="K262" i="17"/>
  <c r="M226" i="17"/>
  <c r="AH104" i="21"/>
  <c r="O262" i="20"/>
  <c r="P227" i="20"/>
  <c r="P103" i="20"/>
  <c r="P227" i="19"/>
  <c r="AI103" i="19"/>
  <c r="AH103" i="19"/>
  <c r="AI103" i="18"/>
  <c r="AH103" i="18"/>
  <c r="L227" i="17"/>
  <c r="L103" i="17"/>
  <c r="M221" i="17"/>
  <c r="N226" i="17" l="1"/>
  <c r="L262" i="17"/>
  <c r="AH103" i="20"/>
  <c r="AI103" i="20"/>
  <c r="M103" i="17"/>
  <c r="M227" i="17"/>
  <c r="N221" i="17"/>
  <c r="M262" i="17" l="1"/>
  <c r="O226" i="17"/>
  <c r="O221" i="17"/>
  <c r="N227" i="17"/>
  <c r="N103" i="17"/>
  <c r="N262" i="17" l="1"/>
  <c r="P226" i="17"/>
  <c r="O262" i="17" s="1"/>
  <c r="P221" i="17"/>
  <c r="O227" i="17"/>
  <c r="O103" i="17"/>
  <c r="P227" i="17" l="1"/>
  <c r="P103" i="17"/>
  <c r="AI103" i="17" l="1"/>
  <c r="AH103" i="17"/>
  <c r="AC42" i="16" l="1"/>
  <c r="AB106" i="16"/>
  <c r="AB42" i="16"/>
  <c r="AA106" i="16"/>
  <c r="AA42" i="16"/>
  <c r="Z106" i="16"/>
  <c r="Z42" i="16"/>
  <c r="Y42" i="16"/>
  <c r="X106" i="16"/>
  <c r="W106" i="16" l="1"/>
  <c r="W42" i="16"/>
  <c r="V106" i="16"/>
  <c r="V42" i="16"/>
  <c r="U106" i="16"/>
  <c r="U42" i="16"/>
  <c r="AK39" i="16"/>
  <c r="S106" i="16"/>
  <c r="S103" i="16" s="1"/>
  <c r="S42" i="16"/>
  <c r="R106" i="16"/>
  <c r="R42" i="16"/>
  <c r="Q106" i="16"/>
  <c r="Q42" i="16"/>
  <c r="P42" i="16"/>
  <c r="O42" i="16"/>
  <c r="AI42" i="16" s="1"/>
  <c r="N106" i="16"/>
  <c r="N42" i="16"/>
  <c r="M106" i="16"/>
  <c r="M42" i="16"/>
  <c r="L106" i="16"/>
  <c r="H106" i="16"/>
  <c r="I106" i="16"/>
  <c r="J106" i="16"/>
  <c r="G106" i="16"/>
  <c r="F106" i="16"/>
  <c r="E106" i="16"/>
  <c r="AF266" i="16"/>
  <c r="AE266" i="16"/>
  <c r="AD266" i="16"/>
  <c r="AC266" i="16"/>
  <c r="AB266" i="16"/>
  <c r="AA266" i="16"/>
  <c r="Z266" i="16"/>
  <c r="Y266" i="16"/>
  <c r="X266" i="16"/>
  <c r="W266" i="16"/>
  <c r="V266" i="16"/>
  <c r="U266" i="16"/>
  <c r="T266" i="16"/>
  <c r="S266" i="16"/>
  <c r="R266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C266" i="16"/>
  <c r="B266" i="16"/>
  <c r="A266" i="16"/>
  <c r="AF265" i="16"/>
  <c r="AE265" i="16"/>
  <c r="AD265" i="16"/>
  <c r="AC265" i="16"/>
  <c r="AB265" i="16"/>
  <c r="AA265" i="16"/>
  <c r="Z265" i="16"/>
  <c r="Y265" i="16"/>
  <c r="X265" i="16"/>
  <c r="W265" i="16"/>
  <c r="V265" i="16"/>
  <c r="U265" i="16"/>
  <c r="T265" i="16"/>
  <c r="S265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C265" i="16"/>
  <c r="B265" i="16"/>
  <c r="A265" i="16"/>
  <c r="AF264" i="16"/>
  <c r="AE264" i="16"/>
  <c r="AD264" i="16"/>
  <c r="AC264" i="16"/>
  <c r="AB264" i="16"/>
  <c r="AA264" i="16"/>
  <c r="Z264" i="16"/>
  <c r="Y264" i="16"/>
  <c r="X264" i="16"/>
  <c r="W264" i="16"/>
  <c r="V264" i="16"/>
  <c r="U264" i="16"/>
  <c r="T264" i="16"/>
  <c r="S264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C264" i="16"/>
  <c r="B264" i="16"/>
  <c r="A264" i="16"/>
  <c r="AF263" i="16"/>
  <c r="AE263" i="16"/>
  <c r="AD263" i="16"/>
  <c r="AC263" i="16"/>
  <c r="AB263" i="16"/>
  <c r="AA263" i="16"/>
  <c r="Z263" i="16"/>
  <c r="Y263" i="16"/>
  <c r="X263" i="16"/>
  <c r="W263" i="16"/>
  <c r="V263" i="16"/>
  <c r="U263" i="16"/>
  <c r="T263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C263" i="16"/>
  <c r="B263" i="16"/>
  <c r="A263" i="16"/>
  <c r="AE262" i="16"/>
  <c r="AD262" i="16"/>
  <c r="AC262" i="16"/>
  <c r="AB262" i="16"/>
  <c r="AA262" i="16"/>
  <c r="Z262" i="16"/>
  <c r="Y262" i="16"/>
  <c r="X262" i="16"/>
  <c r="W262" i="16"/>
  <c r="V262" i="16"/>
  <c r="U262" i="16"/>
  <c r="T262" i="16"/>
  <c r="S262" i="16"/>
  <c r="R262" i="16"/>
  <c r="Q262" i="16"/>
  <c r="P262" i="16"/>
  <c r="B262" i="16"/>
  <c r="S237" i="16"/>
  <c r="AG227" i="16"/>
  <c r="AF227" i="16"/>
  <c r="AE227" i="16"/>
  <c r="AD227" i="16"/>
  <c r="AC227" i="16"/>
  <c r="AB227" i="16"/>
  <c r="AA227" i="16"/>
  <c r="Z227" i="16"/>
  <c r="Y227" i="16"/>
  <c r="X227" i="16"/>
  <c r="W227" i="16"/>
  <c r="V227" i="16"/>
  <c r="U227" i="16"/>
  <c r="T227" i="16"/>
  <c r="S227" i="16"/>
  <c r="R227" i="16"/>
  <c r="Q227" i="16"/>
  <c r="C227" i="16"/>
  <c r="D226" i="16"/>
  <c r="E226" i="16" s="1"/>
  <c r="B226" i="16"/>
  <c r="AF262" i="16" s="1"/>
  <c r="D225" i="16"/>
  <c r="E225" i="16" s="1"/>
  <c r="F225" i="16" s="1"/>
  <c r="G225" i="16" s="1"/>
  <c r="H225" i="16" s="1"/>
  <c r="I225" i="16" s="1"/>
  <c r="J225" i="16" s="1"/>
  <c r="K225" i="16" s="1"/>
  <c r="L225" i="16" s="1"/>
  <c r="M225" i="16" s="1"/>
  <c r="N225" i="16" s="1"/>
  <c r="O225" i="16" s="1"/>
  <c r="P225" i="16" s="1"/>
  <c r="B225" i="16"/>
  <c r="D224" i="16"/>
  <c r="E224" i="16" s="1"/>
  <c r="F224" i="16" s="1"/>
  <c r="G224" i="16" s="1"/>
  <c r="H224" i="16" s="1"/>
  <c r="I224" i="16" s="1"/>
  <c r="J224" i="16" s="1"/>
  <c r="K224" i="16" s="1"/>
  <c r="L224" i="16" s="1"/>
  <c r="M224" i="16" s="1"/>
  <c r="N224" i="16" s="1"/>
  <c r="O224" i="16" s="1"/>
  <c r="P224" i="16" s="1"/>
  <c r="B224" i="16"/>
  <c r="D223" i="16"/>
  <c r="E223" i="16" s="1"/>
  <c r="F223" i="16" s="1"/>
  <c r="G223" i="16" s="1"/>
  <c r="H223" i="16" s="1"/>
  <c r="I223" i="16" s="1"/>
  <c r="J223" i="16" s="1"/>
  <c r="K223" i="16" s="1"/>
  <c r="L223" i="16" s="1"/>
  <c r="M223" i="16" s="1"/>
  <c r="N223" i="16" s="1"/>
  <c r="O223" i="16" s="1"/>
  <c r="P223" i="16" s="1"/>
  <c r="B223" i="16"/>
  <c r="E222" i="16"/>
  <c r="F222" i="16" s="1"/>
  <c r="G222" i="16" s="1"/>
  <c r="H222" i="16" s="1"/>
  <c r="I222" i="16" s="1"/>
  <c r="J222" i="16" s="1"/>
  <c r="K222" i="16" s="1"/>
  <c r="L222" i="16" s="1"/>
  <c r="M222" i="16" s="1"/>
  <c r="N222" i="16" s="1"/>
  <c r="O222" i="16" s="1"/>
  <c r="P222" i="16" s="1"/>
  <c r="D222" i="16"/>
  <c r="B222" i="16"/>
  <c r="D221" i="16"/>
  <c r="B221" i="16"/>
  <c r="AG219" i="16"/>
  <c r="AF219" i="16"/>
  <c r="AE219" i="16"/>
  <c r="AD219" i="16"/>
  <c r="AC219" i="16"/>
  <c r="AB219" i="16"/>
  <c r="AA219" i="16"/>
  <c r="Z219" i="16"/>
  <c r="Y219" i="16"/>
  <c r="X219" i="16"/>
  <c r="W219" i="16"/>
  <c r="V219" i="16"/>
  <c r="U219" i="16"/>
  <c r="T219" i="16"/>
  <c r="S219" i="16"/>
  <c r="R219" i="16"/>
  <c r="Q219" i="16"/>
  <c r="P219" i="16"/>
  <c r="O219" i="16"/>
  <c r="N219" i="16"/>
  <c r="M219" i="16"/>
  <c r="L219" i="16"/>
  <c r="K219" i="16"/>
  <c r="J219" i="16"/>
  <c r="I219" i="16"/>
  <c r="H219" i="16"/>
  <c r="G219" i="16"/>
  <c r="F219" i="16"/>
  <c r="E219" i="16"/>
  <c r="D219" i="16"/>
  <c r="C219" i="16"/>
  <c r="B219" i="16"/>
  <c r="AI112" i="16"/>
  <c r="AH112" i="16"/>
  <c r="AI111" i="16"/>
  <c r="AH111" i="16"/>
  <c r="AI110" i="16"/>
  <c r="AH110" i="16"/>
  <c r="AI109" i="16"/>
  <c r="AH109" i="16"/>
  <c r="AI108" i="16"/>
  <c r="AH108" i="16"/>
  <c r="AI107" i="16"/>
  <c r="AH107" i="16"/>
  <c r="AI105" i="16"/>
  <c r="AH105" i="16"/>
  <c r="AI104" i="16"/>
  <c r="AH104" i="16"/>
  <c r="AF103" i="16"/>
  <c r="AE103" i="16"/>
  <c r="AD103" i="16"/>
  <c r="AC103" i="16"/>
  <c r="AB103" i="16"/>
  <c r="AA103" i="16"/>
  <c r="Z103" i="16"/>
  <c r="Y103" i="16"/>
  <c r="X103" i="16"/>
  <c r="W103" i="16"/>
  <c r="V103" i="16"/>
  <c r="U103" i="16"/>
  <c r="T103" i="16"/>
  <c r="R103" i="16"/>
  <c r="C103" i="16"/>
  <c r="AI102" i="16"/>
  <c r="AH102" i="16"/>
  <c r="AI101" i="16"/>
  <c r="AH101" i="16"/>
  <c r="AI100" i="16"/>
  <c r="AH100" i="16"/>
  <c r="AI99" i="16"/>
  <c r="AH99" i="16"/>
  <c r="AI98" i="16"/>
  <c r="AH98" i="16"/>
  <c r="AI97" i="16"/>
  <c r="AH97" i="16"/>
  <c r="AI96" i="16"/>
  <c r="AH96" i="16"/>
  <c r="AI95" i="16"/>
  <c r="AH95" i="16"/>
  <c r="AI94" i="16"/>
  <c r="AH94" i="16"/>
  <c r="AI91" i="16"/>
  <c r="AH91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D90" i="16"/>
  <c r="C90" i="16"/>
  <c r="B90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AI83" i="16"/>
  <c r="AH83" i="16"/>
  <c r="AI81" i="16"/>
  <c r="AH81" i="16"/>
  <c r="AG81" i="16"/>
  <c r="AI80" i="16"/>
  <c r="AH80" i="16"/>
  <c r="AI79" i="16"/>
  <c r="AH79" i="16"/>
  <c r="AI78" i="16"/>
  <c r="AH78" i="16"/>
  <c r="AG77" i="16"/>
  <c r="AF77" i="16"/>
  <c r="AE5" i="16" s="1"/>
  <c r="AE77" i="16"/>
  <c r="AD5" i="16" s="1"/>
  <c r="AD77" i="16"/>
  <c r="AC77" i="16"/>
  <c r="AB5" i="16" s="1"/>
  <c r="AB77" i="16"/>
  <c r="AA5" i="16" s="1"/>
  <c r="AA77" i="16"/>
  <c r="Z5" i="16" s="1"/>
  <c r="Z77" i="16"/>
  <c r="Y5" i="16" s="1"/>
  <c r="Y77" i="16"/>
  <c r="X5" i="16" s="1"/>
  <c r="X77" i="16"/>
  <c r="W5" i="16" s="1"/>
  <c r="W77" i="16"/>
  <c r="V5" i="16" s="1"/>
  <c r="V77" i="16"/>
  <c r="U77" i="16"/>
  <c r="T77" i="16"/>
  <c r="S5" i="16" s="1"/>
  <c r="S77" i="16"/>
  <c r="R77" i="16"/>
  <c r="Q77" i="16"/>
  <c r="P5" i="16" s="1"/>
  <c r="P77" i="16"/>
  <c r="O5" i="16" s="1"/>
  <c r="O77" i="16"/>
  <c r="N77" i="16"/>
  <c r="M77" i="16"/>
  <c r="L5" i="16" s="1"/>
  <c r="L77" i="16"/>
  <c r="K5" i="16" s="1"/>
  <c r="K77" i="16"/>
  <c r="J77" i="16"/>
  <c r="I5" i="16" s="1"/>
  <c r="I77" i="16"/>
  <c r="H5" i="16" s="1"/>
  <c r="H77" i="16"/>
  <c r="G5" i="16" s="1"/>
  <c r="G77" i="16"/>
  <c r="F77" i="16"/>
  <c r="E77" i="16"/>
  <c r="D5" i="16" s="1"/>
  <c r="D77" i="16"/>
  <c r="C5" i="16" s="1"/>
  <c r="C77" i="16"/>
  <c r="B5" i="16" s="1"/>
  <c r="B77" i="16"/>
  <c r="AF5" i="16" s="1"/>
  <c r="AI76" i="16"/>
  <c r="AH76" i="16"/>
  <c r="AI75" i="16"/>
  <c r="AH75" i="16"/>
  <c r="AI74" i="16"/>
  <c r="AH74" i="16"/>
  <c r="AI73" i="16"/>
  <c r="AH73" i="16"/>
  <c r="AI72" i="16"/>
  <c r="AH72" i="16"/>
  <c r="AI71" i="16"/>
  <c r="AH71" i="16"/>
  <c r="AI70" i="16"/>
  <c r="AH70" i="16"/>
  <c r="AI69" i="16"/>
  <c r="AH69" i="16"/>
  <c r="AI68" i="16"/>
  <c r="AH68" i="16"/>
  <c r="AI67" i="16"/>
  <c r="AH67" i="16"/>
  <c r="AI66" i="16"/>
  <c r="AH66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  <c r="AI64" i="16"/>
  <c r="AH64" i="16"/>
  <c r="AI63" i="16"/>
  <c r="AH63" i="16"/>
  <c r="AI62" i="16"/>
  <c r="AH62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M61" i="16"/>
  <c r="L61" i="16"/>
  <c r="K61" i="16"/>
  <c r="J61" i="16"/>
  <c r="I61" i="16"/>
  <c r="H61" i="16"/>
  <c r="G61" i="16"/>
  <c r="F61" i="16"/>
  <c r="E61" i="16"/>
  <c r="D61" i="16"/>
  <c r="C61" i="16"/>
  <c r="B61" i="16"/>
  <c r="AI60" i="16"/>
  <c r="AH60" i="16"/>
  <c r="AG60" i="16"/>
  <c r="AG61" i="16" s="1"/>
  <c r="AG3" i="16" s="1"/>
  <c r="AI59" i="16"/>
  <c r="AH59" i="16"/>
  <c r="AI58" i="16"/>
  <c r="AH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AI46" i="16"/>
  <c r="AH46" i="16"/>
  <c r="AI45" i="16"/>
  <c r="AH45" i="16"/>
  <c r="AI44" i="16"/>
  <c r="AH44" i="16"/>
  <c r="AG43" i="16"/>
  <c r="AF43" i="16"/>
  <c r="AE43" i="16"/>
  <c r="AD43" i="16"/>
  <c r="AC43" i="16"/>
  <c r="AB43" i="16"/>
  <c r="AB82" i="16" s="1"/>
  <c r="AB84" i="16" s="1"/>
  <c r="AA43" i="16"/>
  <c r="Z43" i="16"/>
  <c r="Y43" i="16"/>
  <c r="X43" i="16"/>
  <c r="W43" i="16"/>
  <c r="V43" i="16"/>
  <c r="U43" i="16"/>
  <c r="T43" i="16"/>
  <c r="T82" i="16" s="1"/>
  <c r="T84" i="16" s="1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G4" i="16"/>
  <c r="K4" i="16"/>
  <c r="B4" i="16"/>
  <c r="S238" i="16" s="1"/>
  <c r="AG2" i="16"/>
  <c r="AA106" i="15"/>
  <c r="AA42" i="15"/>
  <c r="E4" i="16"/>
  <c r="B103" i="16" l="1"/>
  <c r="AH42" i="16"/>
  <c r="AF82" i="16"/>
  <c r="AF84" i="16" s="1"/>
  <c r="AC92" i="16"/>
  <c r="AC82" i="16"/>
  <c r="AC84" i="16" s="1"/>
  <c r="AU241" i="16" s="1"/>
  <c r="Y92" i="16"/>
  <c r="Y93" i="16" s="1"/>
  <c r="D262" i="16"/>
  <c r="F226" i="16"/>
  <c r="E262" i="16" s="1"/>
  <c r="F92" i="16"/>
  <c r="F93" i="16" s="1"/>
  <c r="AD92" i="16"/>
  <c r="AD93" i="16" s="1"/>
  <c r="AG84" i="16"/>
  <c r="AD82" i="16"/>
  <c r="AD84" i="16" s="1"/>
  <c r="B227" i="16"/>
  <c r="AG6" i="16"/>
  <c r="AE82" i="16"/>
  <c r="AE84" i="16" s="1"/>
  <c r="AE7" i="16" s="1"/>
  <c r="AG82" i="16"/>
  <c r="D227" i="16"/>
  <c r="C262" i="16"/>
  <c r="Z82" i="16"/>
  <c r="Z84" i="16" s="1"/>
  <c r="Z7" i="16" s="1"/>
  <c r="M92" i="16"/>
  <c r="AA82" i="16"/>
  <c r="AA84" i="16" s="1"/>
  <c r="AA7" i="16" s="1"/>
  <c r="W92" i="16"/>
  <c r="W93" i="16" s="1"/>
  <c r="AE92" i="16"/>
  <c r="AE93" i="16" s="1"/>
  <c r="X92" i="16"/>
  <c r="X93" i="16" s="1"/>
  <c r="AF92" i="16"/>
  <c r="AF93" i="16" s="1"/>
  <c r="Z92" i="16"/>
  <c r="AC93" i="16"/>
  <c r="AA92" i="16"/>
  <c r="AA93" i="16" s="1"/>
  <c r="L92" i="16"/>
  <c r="T92" i="16"/>
  <c r="T93" i="16" s="1"/>
  <c r="AB92" i="16"/>
  <c r="AB93" i="16" s="1"/>
  <c r="U92" i="16"/>
  <c r="Y82" i="16"/>
  <c r="Y84" i="16" s="1"/>
  <c r="AQ241" i="16" s="1"/>
  <c r="X82" i="16"/>
  <c r="X84" i="16" s="1"/>
  <c r="AP241" i="16" s="1"/>
  <c r="W82" i="16"/>
  <c r="W84" i="16" s="1"/>
  <c r="V82" i="16"/>
  <c r="V84" i="16" s="1"/>
  <c r="V92" i="16"/>
  <c r="V93" i="16" s="1"/>
  <c r="U93" i="16"/>
  <c r="T5" i="16"/>
  <c r="U82" i="16"/>
  <c r="U84" i="16" s="1"/>
  <c r="U7" i="16" s="1"/>
  <c r="R5" i="16"/>
  <c r="S92" i="16"/>
  <c r="S93" i="16" s="1"/>
  <c r="S82" i="16"/>
  <c r="S84" i="16" s="1"/>
  <c r="AI106" i="16"/>
  <c r="R92" i="16"/>
  <c r="R93" i="16" s="1"/>
  <c r="Q103" i="16"/>
  <c r="AH106" i="16"/>
  <c r="P92" i="16"/>
  <c r="P93" i="16" s="1"/>
  <c r="P82" i="16"/>
  <c r="P84" i="16" s="1"/>
  <c r="Q92" i="16"/>
  <c r="Q93" i="16" s="1"/>
  <c r="Q82" i="16"/>
  <c r="Q84" i="16" s="1"/>
  <c r="R82" i="16"/>
  <c r="R84" i="16" s="1"/>
  <c r="R7" i="16" s="1"/>
  <c r="O92" i="16"/>
  <c r="O93" i="16" s="1"/>
  <c r="N5" i="16"/>
  <c r="O82" i="16"/>
  <c r="O84" i="16" s="1"/>
  <c r="AG241" i="16" s="1"/>
  <c r="N92" i="16"/>
  <c r="N93" i="16" s="1"/>
  <c r="N82" i="16"/>
  <c r="N84" i="16" s="1"/>
  <c r="M93" i="16"/>
  <c r="M82" i="16"/>
  <c r="M84" i="16" s="1"/>
  <c r="AE241" i="16" s="1"/>
  <c r="L93" i="16"/>
  <c r="L82" i="16"/>
  <c r="L84" i="16" s="1"/>
  <c r="L7" i="16" s="1"/>
  <c r="K92" i="16"/>
  <c r="K93" i="16" s="1"/>
  <c r="K82" i="16"/>
  <c r="K84" i="16" s="1"/>
  <c r="H92" i="16"/>
  <c r="H93" i="16" s="1"/>
  <c r="J92" i="16"/>
  <c r="I92" i="16"/>
  <c r="I93" i="16" s="1"/>
  <c r="I82" i="16"/>
  <c r="I84" i="16" s="1"/>
  <c r="I7" i="16" s="1"/>
  <c r="J5" i="16"/>
  <c r="J82" i="16"/>
  <c r="J84" i="16" s="1"/>
  <c r="J7" i="16" s="1"/>
  <c r="H82" i="16"/>
  <c r="H84" i="16" s="1"/>
  <c r="H7" i="16" s="1"/>
  <c r="AI86" i="16"/>
  <c r="G92" i="16"/>
  <c r="G93" i="16" s="1"/>
  <c r="F82" i="16"/>
  <c r="F84" i="16" s="1"/>
  <c r="X241" i="16" s="1"/>
  <c r="F5" i="16"/>
  <c r="AI47" i="16"/>
  <c r="G82" i="16"/>
  <c r="G84" i="16" s="1"/>
  <c r="E92" i="16"/>
  <c r="E93" i="16" s="1"/>
  <c r="AI89" i="16"/>
  <c r="E82" i="16"/>
  <c r="E84" i="16" s="1"/>
  <c r="E7" i="16" s="1"/>
  <c r="D92" i="16"/>
  <c r="D93" i="16" s="1"/>
  <c r="AH88" i="16"/>
  <c r="D82" i="16"/>
  <c r="D84" i="16" s="1"/>
  <c r="D7" i="16" s="1"/>
  <c r="AH47" i="16"/>
  <c r="C92" i="16"/>
  <c r="AI90" i="16"/>
  <c r="C93" i="16"/>
  <c r="AI87" i="16"/>
  <c r="AI65" i="16"/>
  <c r="AH61" i="16"/>
  <c r="AH89" i="16"/>
  <c r="B82" i="16"/>
  <c r="B84" i="16" s="1"/>
  <c r="AI43" i="16"/>
  <c r="H4" i="16"/>
  <c r="Q7" i="16"/>
  <c r="AI241" i="16"/>
  <c r="Q85" i="16"/>
  <c r="AB7" i="16"/>
  <c r="AT241" i="16"/>
  <c r="T7" i="16"/>
  <c r="AL241" i="16"/>
  <c r="T85" i="16"/>
  <c r="E85" i="16"/>
  <c r="M85" i="16"/>
  <c r="AF241" i="16"/>
  <c r="N7" i="16"/>
  <c r="AN241" i="16"/>
  <c r="V85" i="16"/>
  <c r="V7" i="16"/>
  <c r="AV241" i="16"/>
  <c r="AD7" i="16"/>
  <c r="S7" i="16"/>
  <c r="AK241" i="16"/>
  <c r="S85" i="16"/>
  <c r="AO241" i="16"/>
  <c r="W7" i="16"/>
  <c r="P7" i="16"/>
  <c r="AH241" i="16"/>
  <c r="AF7" i="16"/>
  <c r="AX241" i="16"/>
  <c r="C82" i="16"/>
  <c r="C84" i="16" s="1"/>
  <c r="AI88" i="16"/>
  <c r="D103" i="16"/>
  <c r="D238" i="16"/>
  <c r="AH77" i="16"/>
  <c r="AH65" i="16"/>
  <c r="AI61" i="16"/>
  <c r="AI77" i="16"/>
  <c r="AH86" i="16"/>
  <c r="B92" i="16"/>
  <c r="B93" i="16" s="1"/>
  <c r="Q5" i="16"/>
  <c r="AH87" i="16"/>
  <c r="J93" i="16"/>
  <c r="Z93" i="16"/>
  <c r="E221" i="16"/>
  <c r="G226" i="16"/>
  <c r="AH43" i="16"/>
  <c r="E5" i="16"/>
  <c r="M5" i="16"/>
  <c r="U5" i="16"/>
  <c r="AC5" i="16"/>
  <c r="AH90" i="16"/>
  <c r="Z106" i="15"/>
  <c r="Z42" i="15"/>
  <c r="Y106" i="15"/>
  <c r="Y42" i="15"/>
  <c r="X106" i="15"/>
  <c r="W43" i="15"/>
  <c r="W106" i="15"/>
  <c r="W103" i="15" s="1"/>
  <c r="W42" i="15"/>
  <c r="V106" i="15"/>
  <c r="V42" i="15"/>
  <c r="U106" i="15"/>
  <c r="U42" i="15"/>
  <c r="T106" i="15"/>
  <c r="T42" i="15"/>
  <c r="S42" i="15"/>
  <c r="R42" i="15"/>
  <c r="Q106" i="15"/>
  <c r="Q42" i="15"/>
  <c r="P42" i="15"/>
  <c r="O106" i="15"/>
  <c r="O42" i="15"/>
  <c r="N42" i="15"/>
  <c r="M42" i="15"/>
  <c r="AI42" i="15" s="1"/>
  <c r="B90" i="15"/>
  <c r="B89" i="15"/>
  <c r="B88" i="15"/>
  <c r="B87" i="15"/>
  <c r="B86" i="15"/>
  <c r="B77" i="15"/>
  <c r="B65" i="15"/>
  <c r="B61" i="15"/>
  <c r="B47" i="15"/>
  <c r="B43" i="15"/>
  <c r="AF266" i="15"/>
  <c r="AE266" i="15"/>
  <c r="AD266" i="15"/>
  <c r="AC266" i="15"/>
  <c r="AB266" i="15"/>
  <c r="AA266" i="15"/>
  <c r="Z266" i="15"/>
  <c r="Y266" i="15"/>
  <c r="X266" i="15"/>
  <c r="W266" i="15"/>
  <c r="V266" i="15"/>
  <c r="U266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AF265" i="15"/>
  <c r="AE265" i="15"/>
  <c r="AD265" i="15"/>
  <c r="AC265" i="15"/>
  <c r="AB265" i="15"/>
  <c r="AA265" i="15"/>
  <c r="Z265" i="15"/>
  <c r="Y265" i="15"/>
  <c r="X265" i="15"/>
  <c r="W265" i="15"/>
  <c r="V265" i="15"/>
  <c r="U265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AF264" i="15"/>
  <c r="AE264" i="15"/>
  <c r="AD264" i="15"/>
  <c r="AC264" i="15"/>
  <c r="AB264" i="15"/>
  <c r="AA264" i="15"/>
  <c r="Z264" i="15"/>
  <c r="Y264" i="15"/>
  <c r="X264" i="15"/>
  <c r="W264" i="15"/>
  <c r="V264" i="15"/>
  <c r="U264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AF263" i="15"/>
  <c r="AE263" i="15"/>
  <c r="AD263" i="15"/>
  <c r="AC263" i="15"/>
  <c r="AB263" i="15"/>
  <c r="AA263" i="15"/>
  <c r="Z263" i="15"/>
  <c r="Y263" i="15"/>
  <c r="X263" i="15"/>
  <c r="W263" i="15"/>
  <c r="V263" i="15"/>
  <c r="U263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AE262" i="15"/>
  <c r="AD262" i="15"/>
  <c r="AC262" i="15"/>
  <c r="AB262" i="15"/>
  <c r="AA262" i="15"/>
  <c r="Z262" i="15"/>
  <c r="Y262" i="15"/>
  <c r="X262" i="15"/>
  <c r="W262" i="15"/>
  <c r="V262" i="15"/>
  <c r="U262" i="15"/>
  <c r="T262" i="15"/>
  <c r="S262" i="15"/>
  <c r="R262" i="15"/>
  <c r="Q262" i="15"/>
  <c r="P262" i="15"/>
  <c r="B262" i="15"/>
  <c r="S237" i="15"/>
  <c r="AG227" i="15"/>
  <c r="AF227" i="15"/>
  <c r="AE227" i="15"/>
  <c r="AD227" i="15"/>
  <c r="AC227" i="15"/>
  <c r="AB227" i="15"/>
  <c r="AA227" i="15"/>
  <c r="Z227" i="15"/>
  <c r="Y227" i="15"/>
  <c r="X227" i="15"/>
  <c r="W227" i="15"/>
  <c r="V227" i="15"/>
  <c r="U227" i="15"/>
  <c r="T227" i="15"/>
  <c r="S227" i="15"/>
  <c r="R227" i="15"/>
  <c r="Q227" i="15"/>
  <c r="C227" i="15"/>
  <c r="D226" i="15"/>
  <c r="E226" i="15" s="1"/>
  <c r="B226" i="15"/>
  <c r="AF262" i="15" s="1"/>
  <c r="D225" i="15"/>
  <c r="E225" i="15" s="1"/>
  <c r="F225" i="15" s="1"/>
  <c r="G225" i="15" s="1"/>
  <c r="H225" i="15" s="1"/>
  <c r="I225" i="15" s="1"/>
  <c r="J225" i="15" s="1"/>
  <c r="K225" i="15" s="1"/>
  <c r="L225" i="15" s="1"/>
  <c r="M225" i="15" s="1"/>
  <c r="N225" i="15" s="1"/>
  <c r="O225" i="15" s="1"/>
  <c r="P225" i="15" s="1"/>
  <c r="B225" i="15"/>
  <c r="D224" i="15"/>
  <c r="E224" i="15" s="1"/>
  <c r="F224" i="15" s="1"/>
  <c r="G224" i="15" s="1"/>
  <c r="H224" i="15" s="1"/>
  <c r="I224" i="15" s="1"/>
  <c r="J224" i="15" s="1"/>
  <c r="K224" i="15" s="1"/>
  <c r="L224" i="15" s="1"/>
  <c r="M224" i="15" s="1"/>
  <c r="N224" i="15" s="1"/>
  <c r="O224" i="15" s="1"/>
  <c r="P224" i="15" s="1"/>
  <c r="B224" i="15"/>
  <c r="D223" i="15"/>
  <c r="E223" i="15" s="1"/>
  <c r="F223" i="15" s="1"/>
  <c r="G223" i="15" s="1"/>
  <c r="H223" i="15" s="1"/>
  <c r="I223" i="15" s="1"/>
  <c r="J223" i="15" s="1"/>
  <c r="K223" i="15" s="1"/>
  <c r="L223" i="15" s="1"/>
  <c r="M223" i="15" s="1"/>
  <c r="N223" i="15" s="1"/>
  <c r="O223" i="15" s="1"/>
  <c r="P223" i="15" s="1"/>
  <c r="B223" i="15"/>
  <c r="D222" i="15"/>
  <c r="E222" i="15" s="1"/>
  <c r="F222" i="15" s="1"/>
  <c r="G222" i="15" s="1"/>
  <c r="H222" i="15" s="1"/>
  <c r="I222" i="15" s="1"/>
  <c r="J222" i="15" s="1"/>
  <c r="K222" i="15" s="1"/>
  <c r="L222" i="15" s="1"/>
  <c r="M222" i="15" s="1"/>
  <c r="N222" i="15" s="1"/>
  <c r="O222" i="15" s="1"/>
  <c r="P222" i="15" s="1"/>
  <c r="B222" i="15"/>
  <c r="D221" i="15"/>
  <c r="E221" i="15" s="1"/>
  <c r="B221" i="15"/>
  <c r="AG219" i="15"/>
  <c r="AF219" i="15"/>
  <c r="AE219" i="15"/>
  <c r="AD219" i="15"/>
  <c r="AC219" i="15"/>
  <c r="AB219" i="15"/>
  <c r="AA219" i="15"/>
  <c r="Z219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I112" i="15"/>
  <c r="AH112" i="15"/>
  <c r="AI111" i="15"/>
  <c r="AH111" i="15"/>
  <c r="AI110" i="15"/>
  <c r="AH110" i="15"/>
  <c r="AI109" i="15"/>
  <c r="AH109" i="15"/>
  <c r="AI108" i="15"/>
  <c r="AH108" i="15"/>
  <c r="AI107" i="15"/>
  <c r="AH107" i="15"/>
  <c r="AI106" i="15"/>
  <c r="AI105" i="15"/>
  <c r="AH105" i="15"/>
  <c r="AI104" i="15"/>
  <c r="AH104" i="15"/>
  <c r="AF103" i="15"/>
  <c r="AE103" i="15"/>
  <c r="AD103" i="15"/>
  <c r="AC103" i="15"/>
  <c r="AB103" i="15"/>
  <c r="AA103" i="15"/>
  <c r="Z103" i="15"/>
  <c r="Y103" i="15"/>
  <c r="X103" i="15"/>
  <c r="V103" i="15"/>
  <c r="U103" i="15"/>
  <c r="T103" i="15"/>
  <c r="S103" i="15"/>
  <c r="R103" i="15"/>
  <c r="Q103" i="15"/>
  <c r="C103" i="15"/>
  <c r="AI102" i="15"/>
  <c r="AH102" i="15"/>
  <c r="AI101" i="15"/>
  <c r="AH101" i="15"/>
  <c r="AI100" i="15"/>
  <c r="AH100" i="15"/>
  <c r="AI99" i="15"/>
  <c r="AH99" i="15"/>
  <c r="AI98" i="15"/>
  <c r="AH98" i="15"/>
  <c r="AI97" i="15"/>
  <c r="AH97" i="15"/>
  <c r="AI96" i="15"/>
  <c r="AH96" i="15"/>
  <c r="AI95" i="15"/>
  <c r="AH95" i="15"/>
  <c r="AI94" i="15"/>
  <c r="AH94" i="15"/>
  <c r="AI91" i="15"/>
  <c r="AH91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AI83" i="15"/>
  <c r="AH83" i="15"/>
  <c r="AI81" i="15"/>
  <c r="AH81" i="15"/>
  <c r="AG81" i="15"/>
  <c r="AI80" i="15"/>
  <c r="AH80" i="15"/>
  <c r="AI79" i="15"/>
  <c r="AH79" i="15"/>
  <c r="AI78" i="15"/>
  <c r="AH78" i="15"/>
  <c r="AG77" i="15"/>
  <c r="AF77" i="15"/>
  <c r="AE77" i="15"/>
  <c r="AD5" i="15" s="1"/>
  <c r="AD77" i="15"/>
  <c r="AC5" i="15" s="1"/>
  <c r="AC77" i="15"/>
  <c r="AB5" i="15" s="1"/>
  <c r="AB77" i="15"/>
  <c r="AA5" i="15" s="1"/>
  <c r="AA77" i="15"/>
  <c r="Z5" i="15" s="1"/>
  <c r="Z77" i="15"/>
  <c r="Y77" i="15"/>
  <c r="X77" i="15"/>
  <c r="W77" i="15"/>
  <c r="V77" i="15"/>
  <c r="U5" i="15" s="1"/>
  <c r="U77" i="15"/>
  <c r="T77" i="15"/>
  <c r="S77" i="15"/>
  <c r="R5" i="15" s="1"/>
  <c r="R77" i="15"/>
  <c r="Q77" i="15"/>
  <c r="P5" i="15" s="1"/>
  <c r="P77" i="15"/>
  <c r="O77" i="15"/>
  <c r="N5" i="15" s="1"/>
  <c r="N77" i="15"/>
  <c r="M5" i="15" s="1"/>
  <c r="M77" i="15"/>
  <c r="L5" i="15" s="1"/>
  <c r="L77" i="15"/>
  <c r="K5" i="15" s="1"/>
  <c r="K77" i="15"/>
  <c r="J5" i="15" s="1"/>
  <c r="J77" i="15"/>
  <c r="I77" i="15"/>
  <c r="H5" i="15" s="1"/>
  <c r="H77" i="15"/>
  <c r="G77" i="15"/>
  <c r="F77" i="15"/>
  <c r="E5" i="15" s="1"/>
  <c r="E77" i="15"/>
  <c r="D77" i="15"/>
  <c r="C5" i="15" s="1"/>
  <c r="C77" i="15"/>
  <c r="B5" i="15" s="1"/>
  <c r="AI76" i="15"/>
  <c r="AH76" i="15"/>
  <c r="AI75" i="15"/>
  <c r="AH75" i="15"/>
  <c r="AI74" i="15"/>
  <c r="AH74" i="15"/>
  <c r="AI73" i="15"/>
  <c r="AH73" i="15"/>
  <c r="AI72" i="15"/>
  <c r="AH72" i="15"/>
  <c r="AI71" i="15"/>
  <c r="AH71" i="15"/>
  <c r="AI70" i="15"/>
  <c r="AH70" i="15"/>
  <c r="AI69" i="15"/>
  <c r="AH69" i="15"/>
  <c r="AI68" i="15"/>
  <c r="AH68" i="15"/>
  <c r="AI67" i="15"/>
  <c r="AH67" i="15"/>
  <c r="AI66" i="15"/>
  <c r="AH66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AI64" i="15"/>
  <c r="AH64" i="15"/>
  <c r="AI63" i="15"/>
  <c r="AH63" i="15"/>
  <c r="AI62" i="15"/>
  <c r="AH62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AI60" i="15"/>
  <c r="AH60" i="15"/>
  <c r="AG60" i="15"/>
  <c r="AG61" i="15" s="1"/>
  <c r="AG3" i="15" s="1"/>
  <c r="AI59" i="15"/>
  <c r="AH59" i="15"/>
  <c r="AI58" i="15"/>
  <c r="AH58" i="15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AI46" i="15"/>
  <c r="AH46" i="15"/>
  <c r="AI45" i="15"/>
  <c r="AH45" i="15"/>
  <c r="AI44" i="15"/>
  <c r="AH44" i="15"/>
  <c r="AG43" i="15"/>
  <c r="AF43" i="15"/>
  <c r="AE43" i="15"/>
  <c r="AD43" i="15"/>
  <c r="AC43" i="15"/>
  <c r="AB43" i="15"/>
  <c r="AA43" i="15"/>
  <c r="Z43" i="15"/>
  <c r="Y43" i="15"/>
  <c r="X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X5" i="15"/>
  <c r="S5" i="15"/>
  <c r="AG4" i="15"/>
  <c r="K4" i="15"/>
  <c r="B4" i="15"/>
  <c r="S238" i="15" s="1"/>
  <c r="E4" i="15"/>
  <c r="AH106" i="15" l="1"/>
  <c r="E92" i="15"/>
  <c r="AE92" i="15"/>
  <c r="N85" i="16"/>
  <c r="AH42" i="15"/>
  <c r="B103" i="15"/>
  <c r="I92" i="15"/>
  <c r="Y92" i="15"/>
  <c r="Y93" i="15" s="1"/>
  <c r="G92" i="15"/>
  <c r="M7" i="16"/>
  <c r="AF85" i="16"/>
  <c r="AW241" i="16"/>
  <c r="AE85" i="16"/>
  <c r="AD85" i="16"/>
  <c r="AC7" i="16"/>
  <c r="AC85" i="16"/>
  <c r="AB85" i="16"/>
  <c r="AS241" i="16"/>
  <c r="X7" i="16"/>
  <c r="X85" i="16"/>
  <c r="AR241" i="16"/>
  <c r="Z85" i="16"/>
  <c r="Y7" i="16"/>
  <c r="AM241" i="16"/>
  <c r="U85" i="16"/>
  <c r="W85" i="16"/>
  <c r="O7" i="16"/>
  <c r="AA85" i="16"/>
  <c r="W241" i="16"/>
  <c r="Y85" i="16"/>
  <c r="P85" i="16"/>
  <c r="K85" i="16"/>
  <c r="O85" i="16"/>
  <c r="R85" i="16"/>
  <c r="AJ241" i="16"/>
  <c r="K7" i="16"/>
  <c r="L85" i="16"/>
  <c r="AD241" i="16"/>
  <c r="AC241" i="16"/>
  <c r="C236" i="16"/>
  <c r="H85" i="16"/>
  <c r="J85" i="16"/>
  <c r="Z241" i="16"/>
  <c r="AB241" i="16"/>
  <c r="I85" i="16"/>
  <c r="AA241" i="16"/>
  <c r="F7" i="16"/>
  <c r="F85" i="16"/>
  <c r="G7" i="16"/>
  <c r="B236" i="16"/>
  <c r="G85" i="16"/>
  <c r="Y241" i="16"/>
  <c r="V241" i="16"/>
  <c r="D85" i="16"/>
  <c r="H226" i="16"/>
  <c r="F262" i="16"/>
  <c r="F221" i="16"/>
  <c r="E103" i="16"/>
  <c r="E227" i="16"/>
  <c r="B7" i="16"/>
  <c r="T241" i="16"/>
  <c r="B85" i="16"/>
  <c r="AI84" i="16"/>
  <c r="AH84" i="16"/>
  <c r="AI93" i="16"/>
  <c r="AH93" i="16"/>
  <c r="AH82" i="16"/>
  <c r="AI82" i="16"/>
  <c r="AI92" i="16"/>
  <c r="AH92" i="16"/>
  <c r="C7" i="16"/>
  <c r="U241" i="16"/>
  <c r="C85" i="16"/>
  <c r="AE82" i="15"/>
  <c r="AE84" i="15" s="1"/>
  <c r="AD92" i="15"/>
  <c r="AD93" i="15" s="1"/>
  <c r="D262" i="15"/>
  <c r="F226" i="15"/>
  <c r="E262" i="15" s="1"/>
  <c r="AG84" i="15"/>
  <c r="AF82" i="15"/>
  <c r="AF84" i="15" s="1"/>
  <c r="AX241" i="15" s="1"/>
  <c r="AE93" i="15"/>
  <c r="D92" i="15"/>
  <c r="AB92" i="15"/>
  <c r="AC92" i="15"/>
  <c r="AC93" i="15" s="1"/>
  <c r="D227" i="15"/>
  <c r="AG82" i="15"/>
  <c r="D103" i="15"/>
  <c r="B92" i="15"/>
  <c r="B93" i="15" s="1"/>
  <c r="AG6" i="15"/>
  <c r="X92" i="15"/>
  <c r="AF92" i="15"/>
  <c r="AF93" i="15" s="1"/>
  <c r="C262" i="15"/>
  <c r="T82" i="15"/>
  <c r="T84" i="15" s="1"/>
  <c r="AG2" i="15"/>
  <c r="AD82" i="15"/>
  <c r="AD84" i="15" s="1"/>
  <c r="AD7" i="15" s="1"/>
  <c r="E93" i="15"/>
  <c r="J92" i="15"/>
  <c r="J93" i="15" s="1"/>
  <c r="K92" i="15"/>
  <c r="AC82" i="15"/>
  <c r="AC84" i="15" s="1"/>
  <c r="AB82" i="15"/>
  <c r="AB84" i="15" s="1"/>
  <c r="AA92" i="15"/>
  <c r="AA82" i="15"/>
  <c r="AA84" i="15" s="1"/>
  <c r="Y5" i="15"/>
  <c r="Z92" i="15"/>
  <c r="Z93" i="15" s="1"/>
  <c r="Z82" i="15"/>
  <c r="Z84" i="15" s="1"/>
  <c r="Y82" i="15"/>
  <c r="Y84" i="15" s="1"/>
  <c r="X93" i="15"/>
  <c r="X82" i="15"/>
  <c r="X84" i="15" s="1"/>
  <c r="W92" i="15"/>
  <c r="W93" i="15"/>
  <c r="V5" i="15"/>
  <c r="W82" i="15"/>
  <c r="W84" i="15" s="1"/>
  <c r="W7" i="15" s="1"/>
  <c r="V92" i="15"/>
  <c r="V93" i="15" s="1"/>
  <c r="V82" i="15"/>
  <c r="V84" i="15" s="1"/>
  <c r="U92" i="15"/>
  <c r="U93" i="15" s="1"/>
  <c r="T5" i="15"/>
  <c r="U82" i="15"/>
  <c r="U84" i="15" s="1"/>
  <c r="T92" i="15"/>
  <c r="T93" i="15" s="1"/>
  <c r="S92" i="15"/>
  <c r="S93" i="15" s="1"/>
  <c r="S82" i="15"/>
  <c r="S84" i="15" s="1"/>
  <c r="S7" i="15" s="1"/>
  <c r="R82" i="15"/>
  <c r="R84" i="15" s="1"/>
  <c r="R92" i="15"/>
  <c r="R93" i="15" s="1"/>
  <c r="Q5" i="15"/>
  <c r="Q92" i="15"/>
  <c r="Q82" i="15"/>
  <c r="Q84" i="15" s="1"/>
  <c r="P92" i="15"/>
  <c r="P93" i="15" s="1"/>
  <c r="AH65" i="15"/>
  <c r="P82" i="15"/>
  <c r="P84" i="15" s="1"/>
  <c r="AH241" i="15" s="1"/>
  <c r="O92" i="15"/>
  <c r="AI88" i="15"/>
  <c r="AI86" i="15"/>
  <c r="AH90" i="15"/>
  <c r="O93" i="15"/>
  <c r="O82" i="15"/>
  <c r="O84" i="15" s="1"/>
  <c r="O85" i="15" s="1"/>
  <c r="AI87" i="15"/>
  <c r="N92" i="15"/>
  <c r="N93" i="15" s="1"/>
  <c r="N82" i="15"/>
  <c r="N84" i="15" s="1"/>
  <c r="M92" i="15"/>
  <c r="M93" i="15" s="1"/>
  <c r="AI65" i="15"/>
  <c r="M82" i="15"/>
  <c r="M84" i="15" s="1"/>
  <c r="L92" i="15"/>
  <c r="L93" i="15" s="1"/>
  <c r="K82" i="15"/>
  <c r="K84" i="15" s="1"/>
  <c r="AC241" i="15" s="1"/>
  <c r="I5" i="15"/>
  <c r="I82" i="15"/>
  <c r="I84" i="15" s="1"/>
  <c r="I7" i="15" s="1"/>
  <c r="H92" i="15"/>
  <c r="H93" i="15" s="1"/>
  <c r="J82" i="15"/>
  <c r="J84" i="15" s="1"/>
  <c r="J7" i="15" s="1"/>
  <c r="G93" i="15"/>
  <c r="AI89" i="15"/>
  <c r="F5" i="15"/>
  <c r="G82" i="15"/>
  <c r="G84" i="15" s="1"/>
  <c r="G7" i="15" s="1"/>
  <c r="F92" i="15"/>
  <c r="F93" i="15" s="1"/>
  <c r="AH87" i="15"/>
  <c r="H82" i="15"/>
  <c r="H84" i="15" s="1"/>
  <c r="H85" i="15" s="1"/>
  <c r="F82" i="15"/>
  <c r="F84" i="15" s="1"/>
  <c r="D5" i="15"/>
  <c r="L82" i="15"/>
  <c r="L84" i="15" s="1"/>
  <c r="L7" i="15" s="1"/>
  <c r="E82" i="15"/>
  <c r="E84" i="15" s="1"/>
  <c r="E85" i="15" s="1"/>
  <c r="AI61" i="15"/>
  <c r="D82" i="15"/>
  <c r="D84" i="15" s="1"/>
  <c r="V241" i="15" s="1"/>
  <c r="C92" i="15"/>
  <c r="C93" i="15" s="1"/>
  <c r="C82" i="15"/>
  <c r="C84" i="15" s="1"/>
  <c r="U241" i="15" s="1"/>
  <c r="AH61" i="15"/>
  <c r="AI47" i="15"/>
  <c r="AF5" i="15"/>
  <c r="B82" i="15"/>
  <c r="B84" i="15" s="1"/>
  <c r="AI43" i="15"/>
  <c r="H4" i="15"/>
  <c r="W241" i="15"/>
  <c r="E7" i="15"/>
  <c r="AE241" i="15"/>
  <c r="M85" i="15"/>
  <c r="M7" i="15"/>
  <c r="AM241" i="15"/>
  <c r="U85" i="15"/>
  <c r="U7" i="15"/>
  <c r="AU241" i="15"/>
  <c r="AC85" i="15"/>
  <c r="AC7" i="15"/>
  <c r="I93" i="15"/>
  <c r="Q93" i="15"/>
  <c r="Z7" i="15"/>
  <c r="AR241" i="15"/>
  <c r="AL241" i="15"/>
  <c r="T7" i="15"/>
  <c r="AF241" i="15"/>
  <c r="N85" i="15"/>
  <c r="N7" i="15"/>
  <c r="AW241" i="15"/>
  <c r="AE7" i="15"/>
  <c r="AE85" i="15"/>
  <c r="K7" i="15"/>
  <c r="AN241" i="15"/>
  <c r="V85" i="15"/>
  <c r="V7" i="15"/>
  <c r="X7" i="15"/>
  <c r="AP241" i="15"/>
  <c r="X85" i="15"/>
  <c r="K93" i="15"/>
  <c r="AA93" i="15"/>
  <c r="R7" i="15"/>
  <c r="AJ241" i="15"/>
  <c r="R85" i="15"/>
  <c r="AA7" i="15"/>
  <c r="AS241" i="15"/>
  <c r="AA85" i="15"/>
  <c r="F221" i="15"/>
  <c r="E103" i="15"/>
  <c r="E227" i="15"/>
  <c r="AT241" i="15"/>
  <c r="AB85" i="15"/>
  <c r="AB7" i="15"/>
  <c r="Q7" i="15"/>
  <c r="AI241" i="15"/>
  <c r="Q85" i="15"/>
  <c r="Y7" i="15"/>
  <c r="AQ241" i="15"/>
  <c r="D93" i="15"/>
  <c r="AB93" i="15"/>
  <c r="G5" i="15"/>
  <c r="O5" i="15"/>
  <c r="W5" i="15"/>
  <c r="AE5" i="15"/>
  <c r="D238" i="15"/>
  <c r="AH77" i="15"/>
  <c r="AI90" i="15"/>
  <c r="AI77" i="15"/>
  <c r="AH86" i="15"/>
  <c r="G226" i="15"/>
  <c r="AH43" i="15"/>
  <c r="AH47" i="15"/>
  <c r="AH88" i="15"/>
  <c r="AH89" i="15"/>
  <c r="B227" i="15"/>
  <c r="S85" i="15" l="1"/>
  <c r="AK241" i="15"/>
  <c r="B85" i="15"/>
  <c r="I85" i="15"/>
  <c r="AO241" i="15"/>
  <c r="C85" i="15"/>
  <c r="P7" i="15"/>
  <c r="AA241" i="15"/>
  <c r="W85" i="15"/>
  <c r="K85" i="15"/>
  <c r="Y85" i="15"/>
  <c r="K6" i="16"/>
  <c r="A7" i="16"/>
  <c r="F103" i="16"/>
  <c r="F227" i="16"/>
  <c r="G221" i="16"/>
  <c r="AI85" i="16"/>
  <c r="AH85" i="16"/>
  <c r="G262" i="16"/>
  <c r="I226" i="16"/>
  <c r="AF85" i="15"/>
  <c r="AF7" i="15"/>
  <c r="AD85" i="15"/>
  <c r="AV241" i="15"/>
  <c r="T85" i="15"/>
  <c r="AG241" i="15"/>
  <c r="F85" i="15"/>
  <c r="P85" i="15"/>
  <c r="O7" i="15"/>
  <c r="C7" i="15"/>
  <c r="Z85" i="15"/>
  <c r="D7" i="15"/>
  <c r="J85" i="15"/>
  <c r="AB241" i="15"/>
  <c r="C236" i="15"/>
  <c r="Z241" i="15"/>
  <c r="H7" i="15"/>
  <c r="B236" i="15"/>
  <c r="G85" i="15"/>
  <c r="Y241" i="15"/>
  <c r="X241" i="15"/>
  <c r="F7" i="15"/>
  <c r="L85" i="15"/>
  <c r="AD241" i="15"/>
  <c r="D85" i="15"/>
  <c r="AI93" i="15"/>
  <c r="AH93" i="15"/>
  <c r="AI92" i="15"/>
  <c r="AH92" i="15"/>
  <c r="F262" i="15"/>
  <c r="H226" i="15"/>
  <c r="G221" i="15"/>
  <c r="F103" i="15"/>
  <c r="F227" i="15"/>
  <c r="AI82" i="15"/>
  <c r="AH82" i="15"/>
  <c r="H221" i="16" l="1"/>
  <c r="G103" i="16"/>
  <c r="G227" i="16"/>
  <c r="H262" i="16"/>
  <c r="J226" i="16"/>
  <c r="K6" i="15"/>
  <c r="H221" i="15"/>
  <c r="G103" i="15"/>
  <c r="G227" i="15"/>
  <c r="G262" i="15"/>
  <c r="I226" i="15"/>
  <c r="B7" i="15"/>
  <c r="A7" i="15" s="1"/>
  <c r="T241" i="15"/>
  <c r="AI84" i="15"/>
  <c r="AH84" i="15"/>
  <c r="K226" i="16" l="1"/>
  <c r="I262" i="16"/>
  <c r="I221" i="16"/>
  <c r="H103" i="16"/>
  <c r="H227" i="16"/>
  <c r="J226" i="15"/>
  <c r="H262" i="15"/>
  <c r="H103" i="15"/>
  <c r="H227" i="15"/>
  <c r="I221" i="15"/>
  <c r="AI85" i="15"/>
  <c r="AH85" i="15"/>
  <c r="I103" i="16" l="1"/>
  <c r="I227" i="16"/>
  <c r="J221" i="16"/>
  <c r="J262" i="16"/>
  <c r="L226" i="16"/>
  <c r="I103" i="15"/>
  <c r="I227" i="15"/>
  <c r="J221" i="15"/>
  <c r="K226" i="15"/>
  <c r="I262" i="15"/>
  <c r="K262" i="16" l="1"/>
  <c r="M226" i="16"/>
  <c r="J103" i="16"/>
  <c r="K221" i="16"/>
  <c r="J227" i="16"/>
  <c r="J103" i="15"/>
  <c r="J227" i="15"/>
  <c r="K221" i="15"/>
  <c r="J262" i="15"/>
  <c r="L226" i="15"/>
  <c r="K103" i="16" l="1"/>
  <c r="K227" i="16"/>
  <c r="L221" i="16"/>
  <c r="L262" i="16"/>
  <c r="N226" i="16"/>
  <c r="K262" i="15"/>
  <c r="M226" i="15"/>
  <c r="K227" i="15"/>
  <c r="K103" i="15"/>
  <c r="L221" i="15"/>
  <c r="M262" i="16" l="1"/>
  <c r="O226" i="16"/>
  <c r="L227" i="16"/>
  <c r="M221" i="16"/>
  <c r="L103" i="16"/>
  <c r="M221" i="15"/>
  <c r="L227" i="15"/>
  <c r="L103" i="15"/>
  <c r="L262" i="15"/>
  <c r="N226" i="15"/>
  <c r="N221" i="16" l="1"/>
  <c r="M103" i="16"/>
  <c r="M227" i="16"/>
  <c r="N262" i="16"/>
  <c r="P226" i="16"/>
  <c r="O262" i="16" s="1"/>
  <c r="M262" i="15"/>
  <c r="O226" i="15"/>
  <c r="N221" i="15"/>
  <c r="M103" i="15"/>
  <c r="M227" i="15"/>
  <c r="O221" i="16" l="1"/>
  <c r="N103" i="16"/>
  <c r="N227" i="16"/>
  <c r="O221" i="15"/>
  <c r="N103" i="15"/>
  <c r="N227" i="15"/>
  <c r="N262" i="15"/>
  <c r="P226" i="15"/>
  <c r="O262" i="15" s="1"/>
  <c r="P221" i="16" l="1"/>
  <c r="O103" i="16"/>
  <c r="O227" i="16"/>
  <c r="P221" i="15"/>
  <c r="O103" i="15"/>
  <c r="O227" i="15"/>
  <c r="P103" i="16" l="1"/>
  <c r="P227" i="16"/>
  <c r="P103" i="15"/>
  <c r="P227" i="15"/>
  <c r="AH103" i="16" l="1"/>
  <c r="AI103" i="16"/>
  <c r="AI103" i="15"/>
  <c r="AH103" i="15"/>
  <c r="AA106" i="14" l="1"/>
  <c r="AA42" i="14"/>
  <c r="Y106" i="14"/>
  <c r="Y42" i="14"/>
  <c r="X42" i="14"/>
  <c r="W106" i="14"/>
  <c r="W42" i="14"/>
  <c r="V106" i="14"/>
  <c r="V42" i="14"/>
  <c r="U42" i="14"/>
  <c r="U106" i="14"/>
  <c r="T106" i="14"/>
  <c r="T42" i="14"/>
  <c r="S68" i="14"/>
  <c r="S89" i="14" s="1"/>
  <c r="S42" i="14"/>
  <c r="R42" i="14"/>
  <c r="Q106" i="14"/>
  <c r="Q42" i="14"/>
  <c r="P42" i="14"/>
  <c r="O42" i="14"/>
  <c r="N42" i="14"/>
  <c r="M106" i="14"/>
  <c r="AI106" i="14" s="1"/>
  <c r="L106" i="14"/>
  <c r="M42" i="14"/>
  <c r="AN12" i="14"/>
  <c r="AN13" i="14"/>
  <c r="AN14" i="14"/>
  <c r="AN15" i="14"/>
  <c r="AN16" i="14"/>
  <c r="AN17" i="14"/>
  <c r="AN11" i="14"/>
  <c r="AN18" i="14" s="1"/>
  <c r="D42" i="14"/>
  <c r="D106" i="14"/>
  <c r="C106" i="14"/>
  <c r="C42" i="14"/>
  <c r="B106" i="14"/>
  <c r="B89" i="14"/>
  <c r="B88" i="14"/>
  <c r="B87" i="14"/>
  <c r="B86" i="14"/>
  <c r="B77" i="14"/>
  <c r="AF5" i="14" s="1"/>
  <c r="B65" i="14"/>
  <c r="B61" i="14"/>
  <c r="B47" i="14"/>
  <c r="B43" i="14"/>
  <c r="B42" i="14"/>
  <c r="AF266" i="14"/>
  <c r="AE266" i="14"/>
  <c r="AD266" i="14"/>
  <c r="AC266" i="14"/>
  <c r="AB266" i="14"/>
  <c r="AA266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E266" i="14"/>
  <c r="D266" i="14"/>
  <c r="C266" i="14"/>
  <c r="B266" i="14"/>
  <c r="A266" i="14"/>
  <c r="AF265" i="14"/>
  <c r="AE265" i="14"/>
  <c r="AD265" i="14"/>
  <c r="AC265" i="14"/>
  <c r="AB265" i="14"/>
  <c r="AA265" i="14"/>
  <c r="Z265" i="14"/>
  <c r="Y265" i="14"/>
  <c r="X265" i="14"/>
  <c r="W265" i="14"/>
  <c r="V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E265" i="14"/>
  <c r="D265" i="14"/>
  <c r="C265" i="14"/>
  <c r="B265" i="14"/>
  <c r="A265" i="14"/>
  <c r="AF264" i="14"/>
  <c r="AE264" i="14"/>
  <c r="AD264" i="14"/>
  <c r="AC264" i="14"/>
  <c r="AB264" i="14"/>
  <c r="AA264" i="14"/>
  <c r="Z264" i="14"/>
  <c r="Y264" i="14"/>
  <c r="X264" i="14"/>
  <c r="W264" i="14"/>
  <c r="V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E264" i="14"/>
  <c r="D264" i="14"/>
  <c r="C264" i="14"/>
  <c r="B264" i="14"/>
  <c r="A264" i="14"/>
  <c r="AF263" i="14"/>
  <c r="AE263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H263" i="14"/>
  <c r="G263" i="14"/>
  <c r="F263" i="14"/>
  <c r="E263" i="14"/>
  <c r="D263" i="14"/>
  <c r="C263" i="14"/>
  <c r="B263" i="14"/>
  <c r="A263" i="14"/>
  <c r="AE262" i="14"/>
  <c r="AD262" i="14"/>
  <c r="AC262" i="14"/>
  <c r="AB262" i="14"/>
  <c r="AA262" i="14"/>
  <c r="Z262" i="14"/>
  <c r="Y262" i="14"/>
  <c r="X262" i="14"/>
  <c r="W262" i="14"/>
  <c r="V262" i="14"/>
  <c r="U262" i="14"/>
  <c r="T262" i="14"/>
  <c r="S262" i="14"/>
  <c r="R262" i="14"/>
  <c r="Q262" i="14"/>
  <c r="P262" i="14"/>
  <c r="B262" i="14"/>
  <c r="S237" i="14"/>
  <c r="AG227" i="14"/>
  <c r="AF227" i="14"/>
  <c r="AE227" i="14"/>
  <c r="AD227" i="14"/>
  <c r="AC227" i="14"/>
  <c r="AB227" i="14"/>
  <c r="AA227" i="14"/>
  <c r="Z227" i="14"/>
  <c r="Y227" i="14"/>
  <c r="X227" i="14"/>
  <c r="W227" i="14"/>
  <c r="V227" i="14"/>
  <c r="U227" i="14"/>
  <c r="T227" i="14"/>
  <c r="S227" i="14"/>
  <c r="R227" i="14"/>
  <c r="Q227" i="14"/>
  <c r="C227" i="14"/>
  <c r="E226" i="14"/>
  <c r="D262" i="14" s="1"/>
  <c r="D226" i="14"/>
  <c r="C262" i="14" s="1"/>
  <c r="B226" i="14"/>
  <c r="AF262" i="14" s="1"/>
  <c r="D225" i="14"/>
  <c r="E225" i="14" s="1"/>
  <c r="F225" i="14" s="1"/>
  <c r="G225" i="14" s="1"/>
  <c r="H225" i="14" s="1"/>
  <c r="I225" i="14" s="1"/>
  <c r="J225" i="14" s="1"/>
  <c r="K225" i="14" s="1"/>
  <c r="L225" i="14" s="1"/>
  <c r="M225" i="14" s="1"/>
  <c r="N225" i="14" s="1"/>
  <c r="O225" i="14" s="1"/>
  <c r="P225" i="14" s="1"/>
  <c r="B225" i="14"/>
  <c r="D224" i="14"/>
  <c r="E224" i="14" s="1"/>
  <c r="F224" i="14" s="1"/>
  <c r="G224" i="14" s="1"/>
  <c r="H224" i="14" s="1"/>
  <c r="I224" i="14" s="1"/>
  <c r="J224" i="14" s="1"/>
  <c r="K224" i="14" s="1"/>
  <c r="L224" i="14" s="1"/>
  <c r="M224" i="14" s="1"/>
  <c r="N224" i="14" s="1"/>
  <c r="O224" i="14" s="1"/>
  <c r="P224" i="14" s="1"/>
  <c r="B224" i="14"/>
  <c r="D223" i="14"/>
  <c r="E223" i="14" s="1"/>
  <c r="F223" i="14" s="1"/>
  <c r="G223" i="14" s="1"/>
  <c r="H223" i="14" s="1"/>
  <c r="I223" i="14" s="1"/>
  <c r="J223" i="14" s="1"/>
  <c r="K223" i="14" s="1"/>
  <c r="L223" i="14" s="1"/>
  <c r="M223" i="14" s="1"/>
  <c r="N223" i="14" s="1"/>
  <c r="O223" i="14" s="1"/>
  <c r="P223" i="14" s="1"/>
  <c r="B223" i="14"/>
  <c r="D222" i="14"/>
  <c r="E222" i="14" s="1"/>
  <c r="F222" i="14" s="1"/>
  <c r="G222" i="14" s="1"/>
  <c r="H222" i="14" s="1"/>
  <c r="I222" i="14" s="1"/>
  <c r="J222" i="14" s="1"/>
  <c r="K222" i="14" s="1"/>
  <c r="L222" i="14" s="1"/>
  <c r="M222" i="14" s="1"/>
  <c r="N222" i="14" s="1"/>
  <c r="O222" i="14" s="1"/>
  <c r="P222" i="14" s="1"/>
  <c r="B222" i="14"/>
  <c r="D221" i="14"/>
  <c r="D227" i="14" s="1"/>
  <c r="B221" i="14"/>
  <c r="AG219" i="14"/>
  <c r="AF219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AI112" i="14"/>
  <c r="AH112" i="14"/>
  <c r="AI111" i="14"/>
  <c r="AH111" i="14"/>
  <c r="AI110" i="14"/>
  <c r="AH110" i="14"/>
  <c r="AI109" i="14"/>
  <c r="AH109" i="14"/>
  <c r="AI108" i="14"/>
  <c r="AH108" i="14"/>
  <c r="AI107" i="14"/>
  <c r="AH107" i="14"/>
  <c r="AI105" i="14"/>
  <c r="AH105" i="14"/>
  <c r="AI104" i="14"/>
  <c r="AH104" i="14"/>
  <c r="AF103" i="14"/>
  <c r="AE103" i="14"/>
  <c r="AD103" i="14"/>
  <c r="AC103" i="14"/>
  <c r="AB103" i="14"/>
  <c r="AA103" i="14"/>
  <c r="Z103" i="14"/>
  <c r="Y103" i="14"/>
  <c r="W103" i="14"/>
  <c r="V103" i="14"/>
  <c r="U103" i="14"/>
  <c r="T103" i="14"/>
  <c r="S103" i="14"/>
  <c r="R103" i="14"/>
  <c r="Q103" i="14"/>
  <c r="C103" i="14"/>
  <c r="B103" i="14"/>
  <c r="AI102" i="14"/>
  <c r="AH102" i="14"/>
  <c r="AI101" i="14"/>
  <c r="AH101" i="14"/>
  <c r="AI100" i="14"/>
  <c r="AH100" i="14"/>
  <c r="AI99" i="14"/>
  <c r="AH99" i="14"/>
  <c r="AI98" i="14"/>
  <c r="AH98" i="14"/>
  <c r="AI97" i="14"/>
  <c r="AH97" i="14"/>
  <c r="AI96" i="14"/>
  <c r="AH96" i="14"/>
  <c r="AI95" i="14"/>
  <c r="AH95" i="14"/>
  <c r="AI94" i="14"/>
  <c r="AH94" i="14"/>
  <c r="AI91" i="14"/>
  <c r="AH91" i="14"/>
  <c r="AF90" i="14"/>
  <c r="AE90" i="14"/>
  <c r="AD90" i="14"/>
  <c r="AC90" i="14"/>
  <c r="AB90" i="14"/>
  <c r="AA90" i="14"/>
  <c r="Z90" i="14"/>
  <c r="Y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B92" i="14" s="1"/>
  <c r="B93" i="14" s="1"/>
  <c r="AF89" i="14"/>
  <c r="AE89" i="14"/>
  <c r="AD89" i="14"/>
  <c r="AC89" i="14"/>
  <c r="AB89" i="14"/>
  <c r="AA89" i="14"/>
  <c r="Z89" i="14"/>
  <c r="Y89" i="14"/>
  <c r="W89" i="14"/>
  <c r="V89" i="14"/>
  <c r="U89" i="14"/>
  <c r="T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AF88" i="14"/>
  <c r="AE88" i="14"/>
  <c r="AD88" i="14"/>
  <c r="AC88" i="14"/>
  <c r="AB88" i="14"/>
  <c r="AA88" i="14"/>
  <c r="Z88" i="14"/>
  <c r="Y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AF87" i="14"/>
  <c r="AE87" i="14"/>
  <c r="AD87" i="14"/>
  <c r="AC87" i="14"/>
  <c r="AB87" i="14"/>
  <c r="AA87" i="14"/>
  <c r="Z87" i="14"/>
  <c r="Y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AF86" i="14"/>
  <c r="AF92" i="14" s="1"/>
  <c r="AE86" i="14"/>
  <c r="AD86" i="14"/>
  <c r="AC86" i="14"/>
  <c r="AB86" i="14"/>
  <c r="AB92" i="14" s="1"/>
  <c r="AA86" i="14"/>
  <c r="Z86" i="14"/>
  <c r="Y86" i="14"/>
  <c r="W86" i="14"/>
  <c r="V86" i="14"/>
  <c r="V92" i="14" s="1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H92" i="14" s="1"/>
  <c r="G86" i="14"/>
  <c r="F86" i="14"/>
  <c r="E86" i="14"/>
  <c r="D86" i="14"/>
  <c r="C86" i="14"/>
  <c r="AI83" i="14"/>
  <c r="AH83" i="14"/>
  <c r="AI81" i="14"/>
  <c r="AH81" i="14"/>
  <c r="AG81" i="14"/>
  <c r="AI80" i="14"/>
  <c r="AH80" i="14"/>
  <c r="AI79" i="14"/>
  <c r="AH79" i="14"/>
  <c r="AI78" i="14"/>
  <c r="AH78" i="14"/>
  <c r="AG77" i="14"/>
  <c r="AF77" i="14"/>
  <c r="AE5" i="14" s="1"/>
  <c r="AE77" i="14"/>
  <c r="AD77" i="14"/>
  <c r="AC5" i="14" s="1"/>
  <c r="AC77" i="14"/>
  <c r="AB5" i="14" s="1"/>
  <c r="AB77" i="14"/>
  <c r="AA5" i="14" s="1"/>
  <c r="AA77" i="14"/>
  <c r="Z77" i="14"/>
  <c r="Y5" i="14" s="1"/>
  <c r="Y77" i="14"/>
  <c r="W77" i="14"/>
  <c r="V5" i="14" s="1"/>
  <c r="V77" i="14"/>
  <c r="U77" i="14"/>
  <c r="T5" i="14" s="1"/>
  <c r="T77" i="14"/>
  <c r="S5" i="14" s="1"/>
  <c r="S77" i="14"/>
  <c r="R5" i="14" s="1"/>
  <c r="R77" i="14"/>
  <c r="Q5" i="14" s="1"/>
  <c r="Q77" i="14"/>
  <c r="P77" i="14"/>
  <c r="O5" i="14" s="1"/>
  <c r="O77" i="14"/>
  <c r="N5" i="14" s="1"/>
  <c r="N77" i="14"/>
  <c r="M77" i="14"/>
  <c r="L5" i="14" s="1"/>
  <c r="L77" i="14"/>
  <c r="K5" i="14" s="1"/>
  <c r="K77" i="14"/>
  <c r="J5" i="14" s="1"/>
  <c r="J77" i="14"/>
  <c r="I5" i="14" s="1"/>
  <c r="I77" i="14"/>
  <c r="H5" i="14" s="1"/>
  <c r="H77" i="14"/>
  <c r="H93" i="14" s="1"/>
  <c r="G77" i="14"/>
  <c r="F77" i="14"/>
  <c r="E5" i="14" s="1"/>
  <c r="E77" i="14"/>
  <c r="D77" i="14"/>
  <c r="C5" i="14" s="1"/>
  <c r="C77" i="14"/>
  <c r="B5" i="14" s="1"/>
  <c r="AI76" i="14"/>
  <c r="AH76" i="14"/>
  <c r="AI75" i="14"/>
  <c r="AH75" i="14"/>
  <c r="AI74" i="14"/>
  <c r="AH74" i="14"/>
  <c r="AI73" i="14"/>
  <c r="AH73" i="14"/>
  <c r="AI72" i="14"/>
  <c r="AH72" i="14"/>
  <c r="AI71" i="14"/>
  <c r="AH71" i="14"/>
  <c r="AI70" i="14"/>
  <c r="AH70" i="14"/>
  <c r="AI69" i="14"/>
  <c r="AH69" i="14"/>
  <c r="AI68" i="14"/>
  <c r="AH68" i="14"/>
  <c r="AI67" i="14"/>
  <c r="AH67" i="14"/>
  <c r="AI66" i="14"/>
  <c r="AH66" i="14"/>
  <c r="AG65" i="14"/>
  <c r="AF65" i="14"/>
  <c r="AE65" i="14"/>
  <c r="AD65" i="14"/>
  <c r="AC65" i="14"/>
  <c r="AB65" i="14"/>
  <c r="AA65" i="14"/>
  <c r="Z65" i="14"/>
  <c r="Y65" i="14"/>
  <c r="W65" i="14"/>
  <c r="V65" i="14"/>
  <c r="U65" i="14"/>
  <c r="T65" i="14"/>
  <c r="S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AI64" i="14"/>
  <c r="AH64" i="14"/>
  <c r="AI63" i="14"/>
  <c r="AH63" i="14"/>
  <c r="AI62" i="14"/>
  <c r="AH62" i="14"/>
  <c r="AF61" i="14"/>
  <c r="AE61" i="14"/>
  <c r="AD61" i="14"/>
  <c r="AC61" i="14"/>
  <c r="AB61" i="14"/>
  <c r="AA61" i="14"/>
  <c r="Z61" i="14"/>
  <c r="Y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AI60" i="14"/>
  <c r="AH60" i="14"/>
  <c r="AG60" i="14"/>
  <c r="AG61" i="14" s="1"/>
  <c r="AG3" i="14" s="1"/>
  <c r="AI59" i="14"/>
  <c r="AH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G47" i="14"/>
  <c r="AF47" i="14"/>
  <c r="AE47" i="14"/>
  <c r="AD47" i="14"/>
  <c r="AC47" i="14"/>
  <c r="AB47" i="14"/>
  <c r="AA47" i="14"/>
  <c r="Z47" i="14"/>
  <c r="Y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AI46" i="14"/>
  <c r="AH46" i="14"/>
  <c r="AI45" i="14"/>
  <c r="AH45" i="14"/>
  <c r="AI44" i="14"/>
  <c r="AH44" i="14"/>
  <c r="AG43" i="14"/>
  <c r="AG82" i="14" s="1"/>
  <c r="AF43" i="14"/>
  <c r="AE43" i="14"/>
  <c r="AD43" i="14"/>
  <c r="AC43" i="14"/>
  <c r="AB43" i="14"/>
  <c r="AA43" i="14"/>
  <c r="Z43" i="14"/>
  <c r="Y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Z5" i="14"/>
  <c r="X5" i="14"/>
  <c r="W5" i="14"/>
  <c r="AG4" i="14"/>
  <c r="K4" i="14"/>
  <c r="B4" i="14"/>
  <c r="S238" i="14" s="1"/>
  <c r="AG2" i="14"/>
  <c r="AG6" i="14" s="1"/>
  <c r="AF106" i="13"/>
  <c r="AF42" i="13"/>
  <c r="AE106" i="13"/>
  <c r="AE42" i="13"/>
  <c r="AD106" i="13"/>
  <c r="AD42" i="13"/>
  <c r="AC106" i="13"/>
  <c r="AC42" i="13"/>
  <c r="AB106" i="13"/>
  <c r="AB42" i="13"/>
  <c r="AA106" i="13"/>
  <c r="E4" i="14"/>
  <c r="B227" i="14" l="1"/>
  <c r="AH106" i="14"/>
  <c r="F226" i="14"/>
  <c r="E262" i="14" s="1"/>
  <c r="Y92" i="14"/>
  <c r="D103" i="14"/>
  <c r="AF93" i="14"/>
  <c r="AF82" i="14"/>
  <c r="AF84" i="14" s="1"/>
  <c r="AX241" i="14" s="1"/>
  <c r="AD5" i="14"/>
  <c r="AE92" i="14"/>
  <c r="AE93" i="14" s="1"/>
  <c r="AE82" i="14"/>
  <c r="AE84" i="14" s="1"/>
  <c r="AD92" i="14"/>
  <c r="AD93" i="14"/>
  <c r="AD82" i="14"/>
  <c r="AD84" i="14" s="1"/>
  <c r="AD7" i="14" s="1"/>
  <c r="AC92" i="14"/>
  <c r="AC93" i="14" s="1"/>
  <c r="AC82" i="14"/>
  <c r="AC84" i="14" s="1"/>
  <c r="AB82" i="14"/>
  <c r="AB84" i="14" s="1"/>
  <c r="AT241" i="14" s="1"/>
  <c r="AA92" i="14"/>
  <c r="AA82" i="14"/>
  <c r="AA84" i="14" s="1"/>
  <c r="Z92" i="14"/>
  <c r="Z93" i="14" s="1"/>
  <c r="Z82" i="14"/>
  <c r="Z84" i="14" s="1"/>
  <c r="AI42" i="14"/>
  <c r="Y93" i="14"/>
  <c r="Y82" i="14"/>
  <c r="Y84" i="14" s="1"/>
  <c r="Y7" i="14" s="1"/>
  <c r="W92" i="14"/>
  <c r="W93" i="14" s="1"/>
  <c r="W82" i="14"/>
  <c r="W84" i="14" s="1"/>
  <c r="V93" i="14"/>
  <c r="U5" i="14"/>
  <c r="V82" i="14"/>
  <c r="V84" i="14" s="1"/>
  <c r="U92" i="14"/>
  <c r="U93" i="14" s="1"/>
  <c r="U82" i="14"/>
  <c r="U84" i="14" s="1"/>
  <c r="T92" i="14"/>
  <c r="T82" i="14"/>
  <c r="T84" i="14" s="1"/>
  <c r="T7" i="14" s="1"/>
  <c r="AI89" i="14"/>
  <c r="S92" i="14"/>
  <c r="S82" i="14"/>
  <c r="S84" i="14" s="1"/>
  <c r="AH42" i="14"/>
  <c r="R92" i="14"/>
  <c r="R93" i="14" s="1"/>
  <c r="R82" i="14"/>
  <c r="R84" i="14" s="1"/>
  <c r="AJ241" i="14" s="1"/>
  <c r="Q92" i="14"/>
  <c r="Q93" i="14" s="1"/>
  <c r="P5" i="14"/>
  <c r="Q82" i="14"/>
  <c r="Q84" i="14" s="1"/>
  <c r="P92" i="14"/>
  <c r="P93" i="14"/>
  <c r="P82" i="14"/>
  <c r="P84" i="14" s="1"/>
  <c r="AH88" i="14"/>
  <c r="O92" i="14"/>
  <c r="O93" i="14" s="1"/>
  <c r="O82" i="14"/>
  <c r="O84" i="14" s="1"/>
  <c r="O7" i="14" s="1"/>
  <c r="N82" i="14"/>
  <c r="N84" i="14" s="1"/>
  <c r="N92" i="14"/>
  <c r="N93" i="14" s="1"/>
  <c r="M5" i="14"/>
  <c r="M92" i="14"/>
  <c r="M93" i="14" s="1"/>
  <c r="M82" i="14"/>
  <c r="M84" i="14" s="1"/>
  <c r="M7" i="14" s="1"/>
  <c r="L82" i="14"/>
  <c r="L84" i="14" s="1"/>
  <c r="L7" i="14" s="1"/>
  <c r="J92" i="14"/>
  <c r="J93" i="14" s="1"/>
  <c r="AI65" i="14"/>
  <c r="J82" i="14"/>
  <c r="J84" i="14" s="1"/>
  <c r="AI88" i="14"/>
  <c r="K92" i="14"/>
  <c r="K93" i="14" s="1"/>
  <c r="L92" i="14"/>
  <c r="L85" i="14" s="1"/>
  <c r="I82" i="14"/>
  <c r="I84" i="14" s="1"/>
  <c r="AA241" i="14" s="1"/>
  <c r="G5" i="14"/>
  <c r="H82" i="14"/>
  <c r="H84" i="14" s="1"/>
  <c r="H7" i="14" s="1"/>
  <c r="AH86" i="14"/>
  <c r="AI87" i="14"/>
  <c r="G92" i="14"/>
  <c r="G93" i="14" s="1"/>
  <c r="F5" i="14"/>
  <c r="G82" i="14"/>
  <c r="G84" i="14" s="1"/>
  <c r="F92" i="14"/>
  <c r="F93" i="14" s="1"/>
  <c r="AI86" i="14"/>
  <c r="E92" i="14"/>
  <c r="E93" i="14" s="1"/>
  <c r="D5" i="14"/>
  <c r="F82" i="14"/>
  <c r="F84" i="14" s="1"/>
  <c r="X241" i="14" s="1"/>
  <c r="K82" i="14"/>
  <c r="K84" i="14" s="1"/>
  <c r="AI61" i="14"/>
  <c r="E82" i="14"/>
  <c r="E84" i="14" s="1"/>
  <c r="W241" i="14" s="1"/>
  <c r="AI47" i="14"/>
  <c r="D92" i="14"/>
  <c r="D93" i="14" s="1"/>
  <c r="D82" i="14"/>
  <c r="D84" i="14" s="1"/>
  <c r="D85" i="14" s="1"/>
  <c r="AI90" i="14"/>
  <c r="C92" i="14"/>
  <c r="C82" i="14"/>
  <c r="C84" i="14" s="1"/>
  <c r="AH47" i="14"/>
  <c r="AI43" i="14"/>
  <c r="B82" i="14"/>
  <c r="B84" i="14" s="1"/>
  <c r="B85" i="14" s="1"/>
  <c r="H4" i="14"/>
  <c r="R7" i="14"/>
  <c r="Z7" i="14"/>
  <c r="AR241" i="14"/>
  <c r="Z85" i="14"/>
  <c r="AA7" i="14"/>
  <c r="AS241" i="14"/>
  <c r="AA85" i="14"/>
  <c r="AD241" i="14"/>
  <c r="AB85" i="14"/>
  <c r="AM241" i="14"/>
  <c r="U85" i="14"/>
  <c r="U7" i="14"/>
  <c r="AU241" i="14"/>
  <c r="AC85" i="14"/>
  <c r="AC7" i="14"/>
  <c r="AG84" i="14"/>
  <c r="Q7" i="14"/>
  <c r="AI241" i="14"/>
  <c r="AF241" i="14"/>
  <c r="AN241" i="14"/>
  <c r="V85" i="14"/>
  <c r="V7" i="14"/>
  <c r="AV241" i="14"/>
  <c r="AD85" i="14"/>
  <c r="AQ241" i="14"/>
  <c r="S7" i="14"/>
  <c r="AK241" i="14"/>
  <c r="S85" i="14"/>
  <c r="O85" i="14"/>
  <c r="AO241" i="14"/>
  <c r="W7" i="14"/>
  <c r="AW241" i="14"/>
  <c r="AE85" i="14"/>
  <c r="AE7" i="14"/>
  <c r="C93" i="14"/>
  <c r="S93" i="14"/>
  <c r="AA93" i="14"/>
  <c r="P7" i="14"/>
  <c r="AH241" i="14"/>
  <c r="P85" i="14"/>
  <c r="X7" i="14"/>
  <c r="AP241" i="14"/>
  <c r="AF7" i="14"/>
  <c r="AF85" i="14"/>
  <c r="T93" i="14"/>
  <c r="AB93" i="14"/>
  <c r="D238" i="14"/>
  <c r="AH61" i="14"/>
  <c r="AH65" i="14"/>
  <c r="AH77" i="14"/>
  <c r="I92" i="14"/>
  <c r="I93" i="14" s="1"/>
  <c r="AI77" i="14"/>
  <c r="AH87" i="14"/>
  <c r="E221" i="14"/>
  <c r="G226" i="14"/>
  <c r="AH43" i="14"/>
  <c r="AH89" i="14"/>
  <c r="AH90" i="14"/>
  <c r="W106" i="13"/>
  <c r="W42" i="13"/>
  <c r="AB7" i="14" l="1"/>
  <c r="AG241" i="14"/>
  <c r="T85" i="14"/>
  <c r="AL241" i="14"/>
  <c r="W85" i="14"/>
  <c r="Y85" i="14"/>
  <c r="C85" i="14"/>
  <c r="Q85" i="14"/>
  <c r="R85" i="14"/>
  <c r="J85" i="14"/>
  <c r="N85" i="14"/>
  <c r="N7" i="14"/>
  <c r="M85" i="14"/>
  <c r="AE241" i="14"/>
  <c r="L93" i="14"/>
  <c r="AH93" i="14" s="1"/>
  <c r="K85" i="14"/>
  <c r="K7" i="14"/>
  <c r="AC241" i="14"/>
  <c r="AB241" i="14"/>
  <c r="J7" i="14"/>
  <c r="I7" i="14"/>
  <c r="H85" i="14"/>
  <c r="Z241" i="14"/>
  <c r="C236" i="14"/>
  <c r="I85" i="14"/>
  <c r="AH92" i="14"/>
  <c r="AI92" i="14"/>
  <c r="Y241" i="14"/>
  <c r="G85" i="14"/>
  <c r="G7" i="14"/>
  <c r="B236" i="14"/>
  <c r="F7" i="14"/>
  <c r="F85" i="14"/>
  <c r="E7" i="14"/>
  <c r="E85" i="14"/>
  <c r="D7" i="14"/>
  <c r="V241" i="14"/>
  <c r="C7" i="14"/>
  <c r="AI93" i="14"/>
  <c r="U241" i="14"/>
  <c r="AI82" i="14"/>
  <c r="AH82" i="14"/>
  <c r="F221" i="14"/>
  <c r="E103" i="14"/>
  <c r="E227" i="14"/>
  <c r="F262" i="14"/>
  <c r="H226" i="14"/>
  <c r="K6" i="14" l="1"/>
  <c r="G262" i="14"/>
  <c r="I226" i="14"/>
  <c r="G221" i="14"/>
  <c r="F103" i="14"/>
  <c r="F227" i="14"/>
  <c r="B7" i="14"/>
  <c r="A7" i="14" s="1"/>
  <c r="T241" i="14"/>
  <c r="AI84" i="14"/>
  <c r="AH84" i="14"/>
  <c r="H262" i="14" l="1"/>
  <c r="J226" i="14"/>
  <c r="H221" i="14"/>
  <c r="G103" i="14"/>
  <c r="G227" i="14"/>
  <c r="AI85" i="14"/>
  <c r="AH85" i="14"/>
  <c r="I221" i="14" l="1"/>
  <c r="H103" i="14"/>
  <c r="H227" i="14"/>
  <c r="K226" i="14"/>
  <c r="I262" i="14"/>
  <c r="J262" i="14" l="1"/>
  <c r="L226" i="14"/>
  <c r="I103" i="14"/>
  <c r="I227" i="14"/>
  <c r="J221" i="14"/>
  <c r="J103" i="14" l="1"/>
  <c r="J227" i="14"/>
  <c r="K221" i="14"/>
  <c r="K262" i="14"/>
  <c r="M226" i="14"/>
  <c r="V106" i="13"/>
  <c r="V42" i="13"/>
  <c r="U106" i="13"/>
  <c r="U42" i="13"/>
  <c r="T106" i="13"/>
  <c r="T42" i="13"/>
  <c r="S42" i="13"/>
  <c r="R106" i="13"/>
  <c r="R42" i="13"/>
  <c r="Q106" i="13"/>
  <c r="Q42" i="13"/>
  <c r="P106" i="13"/>
  <c r="P42" i="13"/>
  <c r="O106" i="13"/>
  <c r="O42" i="13"/>
  <c r="L262" i="14" l="1"/>
  <c r="N226" i="14"/>
  <c r="K103" i="14"/>
  <c r="K227" i="14"/>
  <c r="L221" i="14"/>
  <c r="L227" i="14" l="1"/>
  <c r="M221" i="14"/>
  <c r="L103" i="14"/>
  <c r="M262" i="14"/>
  <c r="O226" i="14"/>
  <c r="N262" i="14" l="1"/>
  <c r="P226" i="14"/>
  <c r="O262" i="14" s="1"/>
  <c r="N221" i="14"/>
  <c r="M103" i="14"/>
  <c r="M227" i="14"/>
  <c r="O221" i="14" l="1"/>
  <c r="N103" i="14"/>
  <c r="N227" i="14"/>
  <c r="P221" i="14" l="1"/>
  <c r="O103" i="14"/>
  <c r="O227" i="14"/>
  <c r="P103" i="14" l="1"/>
  <c r="P227" i="14"/>
  <c r="AH103" i="14" l="1"/>
  <c r="AI103" i="14"/>
  <c r="N106" i="13" l="1"/>
  <c r="N42" i="13"/>
  <c r="M42" i="13"/>
  <c r="L106" i="13"/>
  <c r="L42" i="13"/>
  <c r="K106" i="13"/>
  <c r="K42" i="13"/>
  <c r="J106" i="13"/>
  <c r="J42" i="13"/>
  <c r="I106" i="13"/>
  <c r="I42" i="13"/>
  <c r="H106" i="13"/>
  <c r="H42" i="13"/>
  <c r="G106" i="13"/>
  <c r="G42" i="13"/>
  <c r="F106" i="13"/>
  <c r="F42" i="13"/>
  <c r="E106" i="13"/>
  <c r="E42" i="13"/>
  <c r="D106" i="13"/>
  <c r="D42" i="13"/>
  <c r="C106" i="13"/>
  <c r="C42" i="13"/>
  <c r="B106" i="13"/>
  <c r="B103" i="13" s="1"/>
  <c r="B42" i="13"/>
  <c r="B90" i="13"/>
  <c r="B89" i="13"/>
  <c r="B88" i="13"/>
  <c r="B87" i="13"/>
  <c r="B86" i="13"/>
  <c r="B77" i="13"/>
  <c r="B65" i="13"/>
  <c r="B61" i="13"/>
  <c r="B47" i="13"/>
  <c r="B43" i="13"/>
  <c r="AF266" i="13"/>
  <c r="AE266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AF265" i="13"/>
  <c r="AE265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AF263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AE262" i="13"/>
  <c r="AD262" i="13"/>
  <c r="AC262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B262" i="13"/>
  <c r="S237" i="13"/>
  <c r="AG227" i="13"/>
  <c r="AF227" i="13"/>
  <c r="AE227" i="13"/>
  <c r="AD227" i="13"/>
  <c r="AC227" i="13"/>
  <c r="AB227" i="13"/>
  <c r="AA227" i="13"/>
  <c r="Z227" i="13"/>
  <c r="Y227" i="13"/>
  <c r="X227" i="13"/>
  <c r="W227" i="13"/>
  <c r="V227" i="13"/>
  <c r="U227" i="13"/>
  <c r="T227" i="13"/>
  <c r="S227" i="13"/>
  <c r="R227" i="13"/>
  <c r="Q227" i="13"/>
  <c r="C227" i="13"/>
  <c r="D226" i="13"/>
  <c r="E226" i="13" s="1"/>
  <c r="B226" i="13"/>
  <c r="AF262" i="13" s="1"/>
  <c r="E225" i="13"/>
  <c r="F225" i="13" s="1"/>
  <c r="G225" i="13" s="1"/>
  <c r="H225" i="13" s="1"/>
  <c r="I225" i="13" s="1"/>
  <c r="J225" i="13" s="1"/>
  <c r="K225" i="13" s="1"/>
  <c r="L225" i="13" s="1"/>
  <c r="M225" i="13" s="1"/>
  <c r="N225" i="13" s="1"/>
  <c r="O225" i="13" s="1"/>
  <c r="P225" i="13" s="1"/>
  <c r="D225" i="13"/>
  <c r="B225" i="13"/>
  <c r="D224" i="13"/>
  <c r="E224" i="13" s="1"/>
  <c r="F224" i="13" s="1"/>
  <c r="G224" i="13" s="1"/>
  <c r="H224" i="13" s="1"/>
  <c r="I224" i="13" s="1"/>
  <c r="J224" i="13" s="1"/>
  <c r="K224" i="13" s="1"/>
  <c r="L224" i="13" s="1"/>
  <c r="M224" i="13" s="1"/>
  <c r="N224" i="13" s="1"/>
  <c r="O224" i="13" s="1"/>
  <c r="P224" i="13" s="1"/>
  <c r="B224" i="13"/>
  <c r="D223" i="13"/>
  <c r="B223" i="13"/>
  <c r="B227" i="13" s="1"/>
  <c r="D222" i="13"/>
  <c r="E222" i="13" s="1"/>
  <c r="F222" i="13" s="1"/>
  <c r="G222" i="13" s="1"/>
  <c r="H222" i="13" s="1"/>
  <c r="I222" i="13" s="1"/>
  <c r="J222" i="13" s="1"/>
  <c r="K222" i="13" s="1"/>
  <c r="L222" i="13" s="1"/>
  <c r="M222" i="13" s="1"/>
  <c r="N222" i="13" s="1"/>
  <c r="O222" i="13" s="1"/>
  <c r="P222" i="13" s="1"/>
  <c r="B222" i="13"/>
  <c r="D221" i="13"/>
  <c r="E221" i="13" s="1"/>
  <c r="F221" i="13" s="1"/>
  <c r="G221" i="13" s="1"/>
  <c r="H221" i="13" s="1"/>
  <c r="B221" i="13"/>
  <c r="AG219" i="13"/>
  <c r="AF219" i="13"/>
  <c r="AE219" i="13"/>
  <c r="AD219" i="13"/>
  <c r="AC219" i="13"/>
  <c r="AB219" i="13"/>
  <c r="AA219" i="13"/>
  <c r="Z219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AI112" i="13"/>
  <c r="AH112" i="13"/>
  <c r="AI111" i="13"/>
  <c r="AH111" i="13"/>
  <c r="AI110" i="13"/>
  <c r="AH110" i="13"/>
  <c r="AI109" i="13"/>
  <c r="AH109" i="13"/>
  <c r="AI108" i="13"/>
  <c r="AH108" i="13"/>
  <c r="AI107" i="13"/>
  <c r="AH107" i="13"/>
  <c r="AI105" i="13"/>
  <c r="AH105" i="13"/>
  <c r="AI104" i="13"/>
  <c r="AH104" i="13"/>
  <c r="AF103" i="13"/>
  <c r="AE103" i="13"/>
  <c r="AD103" i="13"/>
  <c r="AC103" i="13"/>
  <c r="AB103" i="13"/>
  <c r="AA103" i="13"/>
  <c r="Z103" i="13"/>
  <c r="Y103" i="13"/>
  <c r="W103" i="13"/>
  <c r="V103" i="13"/>
  <c r="U103" i="13"/>
  <c r="T103" i="13"/>
  <c r="S103" i="13"/>
  <c r="R103" i="13"/>
  <c r="Q103" i="13"/>
  <c r="C103" i="13"/>
  <c r="AI102" i="13"/>
  <c r="AH102" i="13"/>
  <c r="AI101" i="13"/>
  <c r="AH101" i="13"/>
  <c r="AI100" i="13"/>
  <c r="AH100" i="13"/>
  <c r="AI99" i="13"/>
  <c r="AH99" i="13"/>
  <c r="AI98" i="13"/>
  <c r="AH98" i="13"/>
  <c r="AI97" i="13"/>
  <c r="AH97" i="13"/>
  <c r="AI96" i="13"/>
  <c r="AH96" i="13"/>
  <c r="AI95" i="13"/>
  <c r="AH95" i="13"/>
  <c r="AI94" i="13"/>
  <c r="AH94" i="13"/>
  <c r="AI91" i="13"/>
  <c r="AH91" i="13"/>
  <c r="AF90" i="13"/>
  <c r="AE90" i="13"/>
  <c r="AD90" i="13"/>
  <c r="AC90" i="13"/>
  <c r="AB90" i="13"/>
  <c r="AA90" i="13"/>
  <c r="Z90" i="13"/>
  <c r="Y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AF89" i="13"/>
  <c r="AE89" i="13"/>
  <c r="AD89" i="13"/>
  <c r="AC89" i="13"/>
  <c r="AB89" i="13"/>
  <c r="AA89" i="13"/>
  <c r="Z89" i="13"/>
  <c r="Y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AF88" i="13"/>
  <c r="AE88" i="13"/>
  <c r="AD88" i="13"/>
  <c r="AC88" i="13"/>
  <c r="AB88" i="13"/>
  <c r="AA88" i="13"/>
  <c r="Z88" i="13"/>
  <c r="Y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AF87" i="13"/>
  <c r="AE87" i="13"/>
  <c r="AD87" i="13"/>
  <c r="AC87" i="13"/>
  <c r="AB87" i="13"/>
  <c r="AA87" i="13"/>
  <c r="Z87" i="13"/>
  <c r="Y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AF86" i="13"/>
  <c r="AE86" i="13"/>
  <c r="AD86" i="13"/>
  <c r="AC86" i="13"/>
  <c r="AB86" i="13"/>
  <c r="AA86" i="13"/>
  <c r="Z86" i="13"/>
  <c r="Y86" i="13"/>
  <c r="W86" i="13"/>
  <c r="V86" i="13"/>
  <c r="U86" i="13"/>
  <c r="U92" i="13" s="1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AI83" i="13"/>
  <c r="AH83" i="13"/>
  <c r="AI81" i="13"/>
  <c r="AH81" i="13"/>
  <c r="AG81" i="13"/>
  <c r="AI80" i="13"/>
  <c r="AH80" i="13"/>
  <c r="AI79" i="13"/>
  <c r="AH79" i="13"/>
  <c r="AI78" i="13"/>
  <c r="AH78" i="13"/>
  <c r="AG77" i="13"/>
  <c r="AF77" i="13"/>
  <c r="AE77" i="13"/>
  <c r="AD77" i="13"/>
  <c r="AC77" i="13"/>
  <c r="AB5" i="13" s="1"/>
  <c r="AB77" i="13"/>
  <c r="AA5" i="13" s="1"/>
  <c r="AA77" i="13"/>
  <c r="Z5" i="13" s="1"/>
  <c r="Z77" i="13"/>
  <c r="Y5" i="13" s="1"/>
  <c r="Y77" i="13"/>
  <c r="X5" i="13" s="1"/>
  <c r="W77" i="13"/>
  <c r="V5" i="13" s="1"/>
  <c r="V77" i="13"/>
  <c r="U77" i="13"/>
  <c r="T5" i="13" s="1"/>
  <c r="T77" i="13"/>
  <c r="S5" i="13" s="1"/>
  <c r="S77" i="13"/>
  <c r="R5" i="13" s="1"/>
  <c r="R77" i="13"/>
  <c r="Q5" i="13" s="1"/>
  <c r="Q77" i="13"/>
  <c r="P5" i="13" s="1"/>
  <c r="P77" i="13"/>
  <c r="O77" i="13"/>
  <c r="N5" i="13" s="1"/>
  <c r="N77" i="13"/>
  <c r="M77" i="13"/>
  <c r="L5" i="13" s="1"/>
  <c r="L77" i="13"/>
  <c r="K5" i="13" s="1"/>
  <c r="K77" i="13"/>
  <c r="J5" i="13" s="1"/>
  <c r="J77" i="13"/>
  <c r="I5" i="13" s="1"/>
  <c r="I77" i="13"/>
  <c r="H5" i="13" s="1"/>
  <c r="H77" i="13"/>
  <c r="G77" i="13"/>
  <c r="F77" i="13"/>
  <c r="E77" i="13"/>
  <c r="D5" i="13" s="1"/>
  <c r="D77" i="13"/>
  <c r="C77" i="13"/>
  <c r="AI76" i="13"/>
  <c r="AH76" i="13"/>
  <c r="AI75" i="13"/>
  <c r="AH75" i="13"/>
  <c r="AI74" i="13"/>
  <c r="AH74" i="13"/>
  <c r="AI73" i="13"/>
  <c r="AH73" i="13"/>
  <c r="AI72" i="13"/>
  <c r="AH72" i="13"/>
  <c r="AI71" i="13"/>
  <c r="AH71" i="13"/>
  <c r="AI70" i="13"/>
  <c r="AH70" i="13"/>
  <c r="AI69" i="13"/>
  <c r="AH69" i="13"/>
  <c r="AI68" i="13"/>
  <c r="AH68" i="13"/>
  <c r="AI67" i="13"/>
  <c r="AH67" i="13"/>
  <c r="AI66" i="13"/>
  <c r="AH66" i="13"/>
  <c r="AG65" i="13"/>
  <c r="AF65" i="13"/>
  <c r="AE65" i="13"/>
  <c r="AD65" i="13"/>
  <c r="AC65" i="13"/>
  <c r="AB65" i="13"/>
  <c r="AA65" i="13"/>
  <c r="Z65" i="13"/>
  <c r="Y65" i="13"/>
  <c r="W65" i="13"/>
  <c r="V65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AI64" i="13"/>
  <c r="AH64" i="13"/>
  <c r="AI63" i="13"/>
  <c r="AH63" i="13"/>
  <c r="AI62" i="13"/>
  <c r="AH62" i="13"/>
  <c r="AF61" i="13"/>
  <c r="AE61" i="13"/>
  <c r="AD61" i="13"/>
  <c r="AC61" i="13"/>
  <c r="AB61" i="13"/>
  <c r="AA61" i="13"/>
  <c r="Z61" i="13"/>
  <c r="Y61" i="13"/>
  <c r="W61" i="13"/>
  <c r="V61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AI60" i="13"/>
  <c r="AH60" i="13"/>
  <c r="AG60" i="13"/>
  <c r="AG61" i="13" s="1"/>
  <c r="AG84" i="13" s="1"/>
  <c r="AI59" i="13"/>
  <c r="AH59" i="13"/>
  <c r="AI58" i="13"/>
  <c r="AH58" i="13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G47" i="13"/>
  <c r="AF47" i="13"/>
  <c r="AE47" i="13"/>
  <c r="AD47" i="13"/>
  <c r="AC47" i="13"/>
  <c r="AB47" i="13"/>
  <c r="AA47" i="13"/>
  <c r="Z47" i="13"/>
  <c r="Y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AI46" i="13"/>
  <c r="AH46" i="13"/>
  <c r="AI45" i="13"/>
  <c r="AH45" i="13"/>
  <c r="AI44" i="13"/>
  <c r="AH44" i="13"/>
  <c r="AG43" i="13"/>
  <c r="AF43" i="13"/>
  <c r="AE43" i="13"/>
  <c r="AD43" i="13"/>
  <c r="AC43" i="13"/>
  <c r="AB43" i="13"/>
  <c r="AA43" i="13"/>
  <c r="Z43" i="13"/>
  <c r="Y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C5" i="13"/>
  <c r="AG4" i="13"/>
  <c r="K4" i="13"/>
  <c r="B4" i="13"/>
  <c r="S238" i="13" s="1"/>
  <c r="AG2" i="13"/>
  <c r="AF106" i="12"/>
  <c r="AF42" i="12"/>
  <c r="AE106" i="12"/>
  <c r="AE42" i="12"/>
  <c r="AD106" i="12"/>
  <c r="AD42" i="12"/>
  <c r="E4" i="13"/>
  <c r="Q92" i="13" l="1"/>
  <c r="D227" i="13"/>
  <c r="B92" i="13"/>
  <c r="J92" i="13"/>
  <c r="C262" i="13"/>
  <c r="AG82" i="13"/>
  <c r="S92" i="13"/>
  <c r="S93" i="13" s="1"/>
  <c r="AI106" i="13"/>
  <c r="AG3" i="13"/>
  <c r="AH42" i="13"/>
  <c r="AF82" i="13"/>
  <c r="AF84" i="13" s="1"/>
  <c r="AF92" i="13"/>
  <c r="AE92" i="13"/>
  <c r="AE93" i="13" s="1"/>
  <c r="AE82" i="13"/>
  <c r="AE84" i="13" s="1"/>
  <c r="AD92" i="13"/>
  <c r="AC92" i="13"/>
  <c r="AC93" i="13" s="1"/>
  <c r="AC82" i="13"/>
  <c r="AC84" i="13" s="1"/>
  <c r="AB92" i="13"/>
  <c r="AB93" i="13" s="1"/>
  <c r="AB82" i="13"/>
  <c r="AB84" i="13" s="1"/>
  <c r="AA92" i="13"/>
  <c r="AA93" i="13" s="1"/>
  <c r="Z92" i="13"/>
  <c r="Z93" i="13" s="1"/>
  <c r="Z82" i="13"/>
  <c r="Z84" i="13" s="1"/>
  <c r="Z7" i="13" s="1"/>
  <c r="AA82" i="13"/>
  <c r="AA84" i="13" s="1"/>
  <c r="AA85" i="13" s="1"/>
  <c r="Y92" i="13"/>
  <c r="Y93" i="13" s="1"/>
  <c r="Y82" i="13"/>
  <c r="Y84" i="13" s="1"/>
  <c r="W92" i="13"/>
  <c r="W82" i="13"/>
  <c r="W84" i="13" s="1"/>
  <c r="V92" i="13"/>
  <c r="U93" i="13"/>
  <c r="U82" i="13"/>
  <c r="U84" i="13" s="1"/>
  <c r="T82" i="13"/>
  <c r="T84" i="13" s="1"/>
  <c r="AL241" i="13" s="1"/>
  <c r="T92" i="13"/>
  <c r="T93" i="13" s="1"/>
  <c r="S82" i="13"/>
  <c r="S84" i="13" s="1"/>
  <c r="R92" i="13"/>
  <c r="R93" i="13" s="1"/>
  <c r="R82" i="13"/>
  <c r="R84" i="13" s="1"/>
  <c r="R7" i="13" s="1"/>
  <c r="Q93" i="13"/>
  <c r="Q82" i="13"/>
  <c r="Q84" i="13" s="1"/>
  <c r="P92" i="13"/>
  <c r="P85" i="13" s="1"/>
  <c r="AH88" i="13"/>
  <c r="P82" i="13"/>
  <c r="P84" i="13" s="1"/>
  <c r="O92" i="13"/>
  <c r="O82" i="13"/>
  <c r="O84" i="13" s="1"/>
  <c r="N92" i="13"/>
  <c r="M92" i="13"/>
  <c r="M93" i="13" s="1"/>
  <c r="AI88" i="13"/>
  <c r="M82" i="13"/>
  <c r="M84" i="13" s="1"/>
  <c r="M85" i="13" s="1"/>
  <c r="AI65" i="13"/>
  <c r="L92" i="13"/>
  <c r="L93" i="13" s="1"/>
  <c r="L82" i="13"/>
  <c r="L84" i="13" s="1"/>
  <c r="L85" i="13" s="1"/>
  <c r="K92" i="13"/>
  <c r="K93" i="13" s="1"/>
  <c r="K82" i="13"/>
  <c r="K84" i="13" s="1"/>
  <c r="AC241" i="13" s="1"/>
  <c r="J93" i="13"/>
  <c r="AH89" i="13"/>
  <c r="J82" i="13"/>
  <c r="J84" i="13" s="1"/>
  <c r="J7" i="13" s="1"/>
  <c r="I92" i="13"/>
  <c r="I93" i="13" s="1"/>
  <c r="I82" i="13"/>
  <c r="I84" i="13" s="1"/>
  <c r="I7" i="13" s="1"/>
  <c r="H92" i="13"/>
  <c r="H82" i="13"/>
  <c r="H84" i="13" s="1"/>
  <c r="Z241" i="13" s="1"/>
  <c r="G82" i="13"/>
  <c r="G84" i="13" s="1"/>
  <c r="Y241" i="13" s="1"/>
  <c r="AI86" i="13"/>
  <c r="G92" i="13"/>
  <c r="G93" i="13" s="1"/>
  <c r="F92" i="13"/>
  <c r="F93" i="13" s="1"/>
  <c r="E92" i="13"/>
  <c r="E93" i="13" s="1"/>
  <c r="E82" i="13"/>
  <c r="E84" i="13" s="1"/>
  <c r="AH47" i="13"/>
  <c r="D103" i="13"/>
  <c r="AH106" i="13"/>
  <c r="AI90" i="13"/>
  <c r="D92" i="13"/>
  <c r="D93" i="13" s="1"/>
  <c r="AI77" i="13"/>
  <c r="AI87" i="13"/>
  <c r="AI47" i="13"/>
  <c r="D82" i="13"/>
  <c r="D84" i="13" s="1"/>
  <c r="AI43" i="13"/>
  <c r="C92" i="13"/>
  <c r="C93" i="13" s="1"/>
  <c r="B5" i="13"/>
  <c r="AI42" i="13"/>
  <c r="B93" i="13"/>
  <c r="B82" i="13"/>
  <c r="B84" i="13" s="1"/>
  <c r="B85" i="13" s="1"/>
  <c r="AH90" i="13"/>
  <c r="AH77" i="13"/>
  <c r="AF5" i="13"/>
  <c r="H4" i="13"/>
  <c r="W7" i="13"/>
  <c r="W85" i="13"/>
  <c r="AO241" i="13"/>
  <c r="O7" i="13"/>
  <c r="AG241" i="13"/>
  <c r="O85" i="13"/>
  <c r="G7" i="13"/>
  <c r="G85" i="13"/>
  <c r="AK241" i="13"/>
  <c r="S7" i="13"/>
  <c r="AS241" i="13"/>
  <c r="AE7" i="13"/>
  <c r="AW241" i="13"/>
  <c r="AE85" i="13"/>
  <c r="H7" i="13"/>
  <c r="P7" i="13"/>
  <c r="AH241" i="13"/>
  <c r="X7" i="13"/>
  <c r="AP241" i="13"/>
  <c r="AF7" i="13"/>
  <c r="AX241" i="13"/>
  <c r="AF85" i="13"/>
  <c r="Q7" i="13"/>
  <c r="AI241" i="13"/>
  <c r="Q85" i="13"/>
  <c r="C82" i="13"/>
  <c r="C84" i="13" s="1"/>
  <c r="D262" i="13"/>
  <c r="F226" i="13"/>
  <c r="F103" i="13" s="1"/>
  <c r="Y7" i="13"/>
  <c r="AQ241" i="13"/>
  <c r="Y85" i="13"/>
  <c r="AJ241" i="13"/>
  <c r="R85" i="13"/>
  <c r="AR241" i="13"/>
  <c r="Z85" i="13"/>
  <c r="AH65" i="13"/>
  <c r="AT241" i="13"/>
  <c r="AB85" i="13"/>
  <c r="AB7" i="13"/>
  <c r="E5" i="13"/>
  <c r="M5" i="13"/>
  <c r="N93" i="13"/>
  <c r="U5" i="13"/>
  <c r="V93" i="13"/>
  <c r="AD93" i="13"/>
  <c r="AC5" i="13"/>
  <c r="AU241" i="13"/>
  <c r="AC7" i="13"/>
  <c r="AH61" i="13"/>
  <c r="T7" i="13"/>
  <c r="W241" i="13"/>
  <c r="AM241" i="13"/>
  <c r="U85" i="13"/>
  <c r="U7" i="13"/>
  <c r="AG6" i="13"/>
  <c r="F82" i="13"/>
  <c r="F84" i="13" s="1"/>
  <c r="N82" i="13"/>
  <c r="N84" i="13" s="1"/>
  <c r="V82" i="13"/>
  <c r="V84" i="13" s="1"/>
  <c r="AD82" i="13"/>
  <c r="AD84" i="13" s="1"/>
  <c r="AI61" i="13"/>
  <c r="H93" i="13"/>
  <c r="AF93" i="13"/>
  <c r="E103" i="13"/>
  <c r="F5" i="13"/>
  <c r="AD5" i="13"/>
  <c r="I221" i="13"/>
  <c r="E223" i="13"/>
  <c r="F223" i="13" s="1"/>
  <c r="G223" i="13" s="1"/>
  <c r="H223" i="13" s="1"/>
  <c r="I223" i="13" s="1"/>
  <c r="J223" i="13" s="1"/>
  <c r="K223" i="13" s="1"/>
  <c r="L223" i="13" s="1"/>
  <c r="M223" i="13" s="1"/>
  <c r="N223" i="13" s="1"/>
  <c r="O223" i="13" s="1"/>
  <c r="P223" i="13" s="1"/>
  <c r="G5" i="13"/>
  <c r="O5" i="13"/>
  <c r="W5" i="13"/>
  <c r="AE5" i="13"/>
  <c r="O93" i="13"/>
  <c r="W93" i="13"/>
  <c r="E227" i="13"/>
  <c r="D238" i="13"/>
  <c r="AH86" i="13"/>
  <c r="AI89" i="13"/>
  <c r="AH87" i="13"/>
  <c r="AH43" i="13"/>
  <c r="T85" i="13" l="1"/>
  <c r="S85" i="13"/>
  <c r="P93" i="13"/>
  <c r="F227" i="13"/>
  <c r="AC85" i="13"/>
  <c r="AA7" i="13"/>
  <c r="D85" i="13"/>
  <c r="E85" i="13"/>
  <c r="AE241" i="13"/>
  <c r="M7" i="13"/>
  <c r="AD241" i="13"/>
  <c r="L7" i="13"/>
  <c r="K7" i="13"/>
  <c r="K85" i="13"/>
  <c r="J85" i="13"/>
  <c r="AB241" i="13"/>
  <c r="B236" i="13"/>
  <c r="I85" i="13"/>
  <c r="AA241" i="13"/>
  <c r="H85" i="13"/>
  <c r="E7" i="13"/>
  <c r="V241" i="13"/>
  <c r="D7" i="13"/>
  <c r="F85" i="13"/>
  <c r="F7" i="13"/>
  <c r="X241" i="13"/>
  <c r="AI92" i="13"/>
  <c r="AH92" i="13"/>
  <c r="AH82" i="13"/>
  <c r="E262" i="13"/>
  <c r="G226" i="13"/>
  <c r="V85" i="13"/>
  <c r="AN241" i="13"/>
  <c r="V7" i="13"/>
  <c r="AF241" i="13"/>
  <c r="N7" i="13"/>
  <c r="N85" i="13"/>
  <c r="T241" i="13"/>
  <c r="AI84" i="13"/>
  <c r="AH84" i="13"/>
  <c r="B7" i="13"/>
  <c r="J221" i="13"/>
  <c r="AD7" i="13"/>
  <c r="AV241" i="13"/>
  <c r="AD85" i="13"/>
  <c r="AI82" i="13"/>
  <c r="C7" i="13"/>
  <c r="U241" i="13"/>
  <c r="C85" i="13"/>
  <c r="C236" i="13"/>
  <c r="K6" i="13" l="1"/>
  <c r="A7" i="13"/>
  <c r="AI85" i="13"/>
  <c r="AH85" i="13"/>
  <c r="K221" i="13"/>
  <c r="AI93" i="13"/>
  <c r="AH93" i="13"/>
  <c r="F262" i="13"/>
  <c r="H226" i="13"/>
  <c r="G103" i="13"/>
  <c r="G227" i="13"/>
  <c r="L221" i="13" l="1"/>
  <c r="I226" i="13"/>
  <c r="G262" i="13"/>
  <c r="H227" i="13"/>
  <c r="H103" i="13"/>
  <c r="H262" i="13" l="1"/>
  <c r="J226" i="13"/>
  <c r="I227" i="13"/>
  <c r="I103" i="13"/>
  <c r="M221" i="13"/>
  <c r="N221" i="13" l="1"/>
  <c r="K226" i="13"/>
  <c r="I262" i="13"/>
  <c r="J227" i="13"/>
  <c r="J103" i="13"/>
  <c r="J262" i="13" l="1"/>
  <c r="L226" i="13"/>
  <c r="K103" i="13"/>
  <c r="K227" i="13"/>
  <c r="O221" i="13"/>
  <c r="P221" i="13" l="1"/>
  <c r="K262" i="13"/>
  <c r="M226" i="13"/>
  <c r="L103" i="13"/>
  <c r="L227" i="13"/>
  <c r="L262" i="13" l="1"/>
  <c r="N226" i="13"/>
  <c r="M103" i="13"/>
  <c r="M227" i="13"/>
  <c r="M262" i="13" l="1"/>
  <c r="O226" i="13"/>
  <c r="N227" i="13"/>
  <c r="N103" i="13"/>
  <c r="N262" i="13" l="1"/>
  <c r="P226" i="13"/>
  <c r="O103" i="13"/>
  <c r="O227" i="13"/>
  <c r="O262" i="13" l="1"/>
  <c r="P103" i="13"/>
  <c r="P227" i="13"/>
  <c r="AH103" i="13" l="1"/>
  <c r="AI103" i="13"/>
  <c r="AC106" i="12" l="1"/>
  <c r="AC42" i="12"/>
  <c r="AB106" i="12"/>
  <c r="AB42" i="12"/>
  <c r="AA42" i="12"/>
  <c r="Z42" i="12"/>
  <c r="Y42" i="12"/>
  <c r="V42" i="12"/>
  <c r="U42" i="12"/>
  <c r="T42" i="12"/>
  <c r="S106" i="12"/>
  <c r="S42" i="12"/>
  <c r="R106" i="12"/>
  <c r="R42" i="12"/>
  <c r="Q106" i="12"/>
  <c r="Q42" i="12"/>
  <c r="P106" i="12"/>
  <c r="P42" i="12"/>
  <c r="O106" i="12"/>
  <c r="O42" i="12"/>
  <c r="N106" i="12" l="1"/>
  <c r="N42" i="12"/>
  <c r="M42" i="12"/>
  <c r="L42" i="12"/>
  <c r="K42" i="12"/>
  <c r="J42" i="12"/>
  <c r="I42" i="12"/>
  <c r="H42" i="12"/>
  <c r="G42" i="12"/>
  <c r="F42" i="12"/>
  <c r="E42" i="12"/>
  <c r="D106" i="12"/>
  <c r="D42" i="12"/>
  <c r="C106" i="12"/>
  <c r="C42" i="12"/>
  <c r="AH42" i="12" s="1"/>
  <c r="B106" i="12"/>
  <c r="B42" i="12"/>
  <c r="B90" i="12"/>
  <c r="B89" i="12"/>
  <c r="B88" i="12"/>
  <c r="B87" i="12"/>
  <c r="B86" i="12"/>
  <c r="B77" i="12"/>
  <c r="B65" i="12"/>
  <c r="B61" i="12"/>
  <c r="B47" i="12"/>
  <c r="B43" i="12"/>
  <c r="AF266" i="12"/>
  <c r="AE266" i="12"/>
  <c r="AD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M266" i="12"/>
  <c r="L266" i="12"/>
  <c r="K266" i="12"/>
  <c r="J266" i="12"/>
  <c r="I266" i="12"/>
  <c r="H266" i="12"/>
  <c r="G266" i="12"/>
  <c r="F266" i="12"/>
  <c r="E266" i="12"/>
  <c r="D266" i="12"/>
  <c r="C266" i="12"/>
  <c r="B266" i="12"/>
  <c r="A266" i="12"/>
  <c r="AF265" i="12"/>
  <c r="AE265" i="12"/>
  <c r="AD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G265" i="12"/>
  <c r="F265" i="12"/>
  <c r="E265" i="12"/>
  <c r="D265" i="12"/>
  <c r="C265" i="12"/>
  <c r="B265" i="12"/>
  <c r="A265" i="12"/>
  <c r="AF264" i="12"/>
  <c r="AE264" i="12"/>
  <c r="AD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G264" i="12"/>
  <c r="F264" i="12"/>
  <c r="E264" i="12"/>
  <c r="D264" i="12"/>
  <c r="C264" i="12"/>
  <c r="B264" i="12"/>
  <c r="A264" i="12"/>
  <c r="AF263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D263" i="12"/>
  <c r="C263" i="12"/>
  <c r="B263" i="12"/>
  <c r="A263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C262" i="12"/>
  <c r="B262" i="12"/>
  <c r="S237" i="12"/>
  <c r="AG227" i="12"/>
  <c r="AG60" i="12" s="1"/>
  <c r="AG61" i="12" s="1"/>
  <c r="AF227" i="12"/>
  <c r="AE227" i="12"/>
  <c r="AD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C227" i="12"/>
  <c r="H226" i="12"/>
  <c r="E226" i="12"/>
  <c r="F226" i="12" s="1"/>
  <c r="G226" i="12" s="1"/>
  <c r="F262" i="12" s="1"/>
  <c r="D226" i="12"/>
  <c r="B226" i="12"/>
  <c r="AF262" i="12" s="1"/>
  <c r="D225" i="12"/>
  <c r="E225" i="12" s="1"/>
  <c r="F225" i="12" s="1"/>
  <c r="G225" i="12" s="1"/>
  <c r="H225" i="12" s="1"/>
  <c r="I225" i="12" s="1"/>
  <c r="J225" i="12" s="1"/>
  <c r="K225" i="12" s="1"/>
  <c r="L225" i="12" s="1"/>
  <c r="M225" i="12" s="1"/>
  <c r="N225" i="12" s="1"/>
  <c r="O225" i="12" s="1"/>
  <c r="P225" i="12" s="1"/>
  <c r="B225" i="12"/>
  <c r="D224" i="12"/>
  <c r="E224" i="12" s="1"/>
  <c r="F224" i="12" s="1"/>
  <c r="G224" i="12" s="1"/>
  <c r="H224" i="12" s="1"/>
  <c r="I224" i="12" s="1"/>
  <c r="J224" i="12" s="1"/>
  <c r="K224" i="12" s="1"/>
  <c r="L224" i="12" s="1"/>
  <c r="M224" i="12" s="1"/>
  <c r="N224" i="12" s="1"/>
  <c r="O224" i="12" s="1"/>
  <c r="P224" i="12" s="1"/>
  <c r="B224" i="12"/>
  <c r="D223" i="12"/>
  <c r="E223" i="12" s="1"/>
  <c r="F223" i="12" s="1"/>
  <c r="G223" i="12" s="1"/>
  <c r="H223" i="12" s="1"/>
  <c r="I223" i="12" s="1"/>
  <c r="J223" i="12" s="1"/>
  <c r="K223" i="12" s="1"/>
  <c r="L223" i="12" s="1"/>
  <c r="M223" i="12" s="1"/>
  <c r="N223" i="12" s="1"/>
  <c r="O223" i="12" s="1"/>
  <c r="P223" i="12" s="1"/>
  <c r="B223" i="12"/>
  <c r="B227" i="12" s="1"/>
  <c r="E222" i="12"/>
  <c r="F222" i="12" s="1"/>
  <c r="G222" i="12" s="1"/>
  <c r="H222" i="12" s="1"/>
  <c r="I222" i="12" s="1"/>
  <c r="J222" i="12" s="1"/>
  <c r="K222" i="12" s="1"/>
  <c r="L222" i="12" s="1"/>
  <c r="M222" i="12" s="1"/>
  <c r="N222" i="12" s="1"/>
  <c r="O222" i="12" s="1"/>
  <c r="P222" i="12" s="1"/>
  <c r="D222" i="12"/>
  <c r="B222" i="12"/>
  <c r="E221" i="12"/>
  <c r="E103" i="12" s="1"/>
  <c r="D221" i="12"/>
  <c r="B221" i="12"/>
  <c r="B103" i="12" s="1"/>
  <c r="AG219" i="12"/>
  <c r="AF219" i="12"/>
  <c r="AE219" i="12"/>
  <c r="AD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G219" i="12"/>
  <c r="F219" i="12"/>
  <c r="E219" i="12"/>
  <c r="D219" i="12"/>
  <c r="C219" i="12"/>
  <c r="B219" i="12"/>
  <c r="AI112" i="12"/>
  <c r="AH112" i="12"/>
  <c r="AI111" i="12"/>
  <c r="AH111" i="12"/>
  <c r="AI110" i="12"/>
  <c r="AH110" i="12"/>
  <c r="AI109" i="12"/>
  <c r="AH109" i="12"/>
  <c r="AI108" i="12"/>
  <c r="AH108" i="12"/>
  <c r="AI107" i="12"/>
  <c r="AH107" i="12"/>
  <c r="AI106" i="12"/>
  <c r="AH106" i="12"/>
  <c r="AI105" i="12"/>
  <c r="AH105" i="12"/>
  <c r="AI104" i="12"/>
  <c r="AH104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D103" i="12"/>
  <c r="C103" i="12"/>
  <c r="AI102" i="12"/>
  <c r="AH102" i="12"/>
  <c r="AI101" i="12"/>
  <c r="AH101" i="12"/>
  <c r="AI100" i="12"/>
  <c r="AH100" i="12"/>
  <c r="AI99" i="12"/>
  <c r="AH99" i="12"/>
  <c r="AI98" i="12"/>
  <c r="AH98" i="12"/>
  <c r="AI97" i="12"/>
  <c r="AH97" i="12"/>
  <c r="AI96" i="12"/>
  <c r="AH96" i="12"/>
  <c r="AI95" i="12"/>
  <c r="AH95" i="12"/>
  <c r="AI94" i="12"/>
  <c r="AH94" i="12"/>
  <c r="AI91" i="12"/>
  <c r="AH91" i="12"/>
  <c r="AF90" i="12"/>
  <c r="AE90" i="12"/>
  <c r="AD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M90" i="12"/>
  <c r="L90" i="12"/>
  <c r="K90" i="12"/>
  <c r="J90" i="12"/>
  <c r="I90" i="12"/>
  <c r="H90" i="12"/>
  <c r="G90" i="12"/>
  <c r="F90" i="12"/>
  <c r="E90" i="12"/>
  <c r="D90" i="12"/>
  <c r="C90" i="12"/>
  <c r="AF89" i="12"/>
  <c r="AE89" i="12"/>
  <c r="AD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Q92" i="12" s="1"/>
  <c r="P86" i="12"/>
  <c r="O86" i="12"/>
  <c r="N86" i="12"/>
  <c r="N92" i="12" s="1"/>
  <c r="M86" i="12"/>
  <c r="L86" i="12"/>
  <c r="L92" i="12" s="1"/>
  <c r="K86" i="12"/>
  <c r="J86" i="12"/>
  <c r="I86" i="12"/>
  <c r="H86" i="12"/>
  <c r="G86" i="12"/>
  <c r="F86" i="12"/>
  <c r="E86" i="12"/>
  <c r="D86" i="12"/>
  <c r="C86" i="12"/>
  <c r="AI83" i="12"/>
  <c r="AH83" i="12"/>
  <c r="AI81" i="12"/>
  <c r="AH81" i="12"/>
  <c r="AG81" i="12"/>
  <c r="AI80" i="12"/>
  <c r="AH80" i="12"/>
  <c r="AI79" i="12"/>
  <c r="AH79" i="12"/>
  <c r="AI78" i="12"/>
  <c r="AH78" i="12"/>
  <c r="AG77" i="12"/>
  <c r="AF77" i="12"/>
  <c r="AE5" i="12" s="1"/>
  <c r="AE77" i="12"/>
  <c r="AD5" i="12" s="1"/>
  <c r="AD77" i="12"/>
  <c r="AC77" i="12"/>
  <c r="AB77" i="12"/>
  <c r="AA77" i="12"/>
  <c r="Z77" i="12"/>
  <c r="Y5" i="12" s="1"/>
  <c r="Y77" i="12"/>
  <c r="X77" i="12"/>
  <c r="W5" i="12" s="1"/>
  <c r="W77" i="12"/>
  <c r="V77" i="12"/>
  <c r="U77" i="12"/>
  <c r="T77" i="12"/>
  <c r="S77" i="12"/>
  <c r="R5" i="12" s="1"/>
  <c r="R77" i="12"/>
  <c r="Q5" i="12" s="1"/>
  <c r="Q77" i="12"/>
  <c r="P77" i="12"/>
  <c r="O5" i="12" s="1"/>
  <c r="O77" i="12"/>
  <c r="N5" i="12" s="1"/>
  <c r="N77" i="12"/>
  <c r="M77" i="12"/>
  <c r="L77" i="12"/>
  <c r="K77" i="12"/>
  <c r="J5" i="12" s="1"/>
  <c r="J77" i="12"/>
  <c r="I5" i="12" s="1"/>
  <c r="I77" i="12"/>
  <c r="H77" i="12"/>
  <c r="G5" i="12" s="1"/>
  <c r="G77" i="12"/>
  <c r="F5" i="12" s="1"/>
  <c r="F77" i="12"/>
  <c r="E77" i="12"/>
  <c r="D77" i="12"/>
  <c r="C77" i="12"/>
  <c r="B5" i="12" s="1"/>
  <c r="AI76" i="12"/>
  <c r="AH76" i="12"/>
  <c r="AI75" i="12"/>
  <c r="AH75" i="12"/>
  <c r="AI74" i="12"/>
  <c r="AH74" i="12"/>
  <c r="AI73" i="12"/>
  <c r="AH73" i="12"/>
  <c r="AI72" i="12"/>
  <c r="AH72" i="12"/>
  <c r="AI71" i="12"/>
  <c r="AH71" i="12"/>
  <c r="AI70" i="12"/>
  <c r="AH70" i="12"/>
  <c r="AI69" i="12"/>
  <c r="AH69" i="12"/>
  <c r="AI68" i="12"/>
  <c r="AH68" i="12"/>
  <c r="AI67" i="12"/>
  <c r="AH67" i="12"/>
  <c r="AI66" i="12"/>
  <c r="AH66" i="12"/>
  <c r="AG65" i="12"/>
  <c r="AG4" i="12" s="1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AI64" i="12"/>
  <c r="AH64" i="12"/>
  <c r="AI63" i="12"/>
  <c r="AH63" i="12"/>
  <c r="AI62" i="12"/>
  <c r="AH62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AI60" i="12"/>
  <c r="AH60" i="12"/>
  <c r="AI59" i="12"/>
  <c r="AH59" i="12"/>
  <c r="AI58" i="12"/>
  <c r="AH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AI46" i="12"/>
  <c r="AH46" i="12"/>
  <c r="AI45" i="12"/>
  <c r="AH45" i="12"/>
  <c r="AI44" i="12"/>
  <c r="AH44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F5" i="12"/>
  <c r="V5" i="12"/>
  <c r="P5" i="12"/>
  <c r="K4" i="12"/>
  <c r="B4" i="12"/>
  <c r="D238" i="12" s="1"/>
  <c r="AG3" i="12"/>
  <c r="AG2" i="12"/>
  <c r="AF106" i="11"/>
  <c r="AF42" i="11"/>
  <c r="AE106" i="11"/>
  <c r="AE42" i="11"/>
  <c r="AD42" i="11"/>
  <c r="AC42" i="11"/>
  <c r="AB42" i="11"/>
  <c r="AA106" i="11"/>
  <c r="AA42" i="11"/>
  <c r="Z106" i="11"/>
  <c r="Z42" i="11"/>
  <c r="E4" i="12"/>
  <c r="AG6" i="12" l="1"/>
  <c r="X82" i="12"/>
  <c r="X84" i="12" s="1"/>
  <c r="Q93" i="12"/>
  <c r="O92" i="12"/>
  <c r="W92" i="12"/>
  <c r="W93" i="12" s="1"/>
  <c r="AE92" i="12"/>
  <c r="D262" i="12"/>
  <c r="B92" i="12"/>
  <c r="B93" i="12" s="1"/>
  <c r="AG82" i="12"/>
  <c r="E262" i="12"/>
  <c r="J92" i="12"/>
  <c r="R92" i="12"/>
  <c r="R93" i="12" s="1"/>
  <c r="Z92" i="12"/>
  <c r="Z93" i="12" s="1"/>
  <c r="C92" i="12"/>
  <c r="M92" i="12"/>
  <c r="M93" i="12" s="1"/>
  <c r="D227" i="12"/>
  <c r="F221" i="12"/>
  <c r="AF82" i="12"/>
  <c r="AF84" i="12" s="1"/>
  <c r="AF7" i="12" s="1"/>
  <c r="AE93" i="12"/>
  <c r="AE82" i="12"/>
  <c r="AE84" i="12" s="1"/>
  <c r="AE85" i="12" s="1"/>
  <c r="AD92" i="12"/>
  <c r="AD93" i="12" s="1"/>
  <c r="AD82" i="12"/>
  <c r="AD84" i="12" s="1"/>
  <c r="AC92" i="12"/>
  <c r="AC93" i="12" s="1"/>
  <c r="AB92" i="12"/>
  <c r="AB93" i="12" s="1"/>
  <c r="AA92" i="12"/>
  <c r="AA93" i="12" s="1"/>
  <c r="Z5" i="12"/>
  <c r="Z82" i="12"/>
  <c r="Z84" i="12" s="1"/>
  <c r="Z7" i="12" s="1"/>
  <c r="Y92" i="12"/>
  <c r="Y93" i="12"/>
  <c r="X5" i="12"/>
  <c r="Y82" i="12"/>
  <c r="Y84" i="12" s="1"/>
  <c r="AA82" i="12"/>
  <c r="AA84" i="12" s="1"/>
  <c r="AA85" i="12" s="1"/>
  <c r="W82" i="12"/>
  <c r="W84" i="12" s="1"/>
  <c r="V92" i="12"/>
  <c r="V93" i="12" s="1"/>
  <c r="V82" i="12"/>
  <c r="V84" i="12" s="1"/>
  <c r="V7" i="12" s="1"/>
  <c r="U92" i="12"/>
  <c r="T92" i="12"/>
  <c r="T93" i="12"/>
  <c r="S5" i="12"/>
  <c r="S82" i="12"/>
  <c r="S84" i="12" s="1"/>
  <c r="S92" i="12"/>
  <c r="S93" i="12" s="1"/>
  <c r="R82" i="12"/>
  <c r="R84" i="12" s="1"/>
  <c r="Q82" i="12"/>
  <c r="Q84" i="12" s="1"/>
  <c r="AI241" i="12" s="1"/>
  <c r="P82" i="12"/>
  <c r="P84" i="12" s="1"/>
  <c r="P7" i="12" s="1"/>
  <c r="O82" i="12"/>
  <c r="O84" i="12" s="1"/>
  <c r="O93" i="12"/>
  <c r="N93" i="12"/>
  <c r="N82" i="12"/>
  <c r="N84" i="12" s="1"/>
  <c r="L5" i="12"/>
  <c r="L93" i="12"/>
  <c r="K5" i="12"/>
  <c r="K92" i="12"/>
  <c r="K93" i="12"/>
  <c r="K82" i="12"/>
  <c r="K84" i="12" s="1"/>
  <c r="J93" i="12"/>
  <c r="J82" i="12"/>
  <c r="J84" i="12" s="1"/>
  <c r="J7" i="12" s="1"/>
  <c r="I92" i="12"/>
  <c r="I93" i="12"/>
  <c r="H5" i="12"/>
  <c r="I82" i="12"/>
  <c r="I84" i="12" s="1"/>
  <c r="AA241" i="12" s="1"/>
  <c r="H82" i="12"/>
  <c r="H84" i="12" s="1"/>
  <c r="H7" i="12" s="1"/>
  <c r="G92" i="12"/>
  <c r="G82" i="12"/>
  <c r="G84" i="12" s="1"/>
  <c r="Y241" i="12" s="1"/>
  <c r="G93" i="12"/>
  <c r="F92" i="12"/>
  <c r="F93" i="12"/>
  <c r="F82" i="12"/>
  <c r="F84" i="12" s="1"/>
  <c r="AH88" i="12"/>
  <c r="E92" i="12"/>
  <c r="E93" i="12" s="1"/>
  <c r="D5" i="12"/>
  <c r="AI65" i="12"/>
  <c r="D92" i="12"/>
  <c r="D93" i="12"/>
  <c r="C5" i="12"/>
  <c r="AI42" i="12"/>
  <c r="AI86" i="12"/>
  <c r="C93" i="12"/>
  <c r="C82" i="12"/>
  <c r="C84" i="12" s="1"/>
  <c r="C85" i="12" s="1"/>
  <c r="B82" i="12"/>
  <c r="B84" i="12" s="1"/>
  <c r="AH87" i="12"/>
  <c r="AI87" i="12"/>
  <c r="AI47" i="12"/>
  <c r="S238" i="12"/>
  <c r="H4" i="12"/>
  <c r="AQ241" i="12"/>
  <c r="Y85" i="12"/>
  <c r="Y7" i="12"/>
  <c r="Q7" i="12"/>
  <c r="R7" i="12"/>
  <c r="AJ241" i="12"/>
  <c r="R85" i="12"/>
  <c r="AV241" i="12"/>
  <c r="AD85" i="12"/>
  <c r="AD7" i="12"/>
  <c r="AF241" i="12"/>
  <c r="N85" i="12"/>
  <c r="N7" i="12"/>
  <c r="AN241" i="12"/>
  <c r="V85" i="12"/>
  <c r="G221" i="12"/>
  <c r="F103" i="12"/>
  <c r="F227" i="12"/>
  <c r="G262" i="12"/>
  <c r="I226" i="12"/>
  <c r="AG241" i="12"/>
  <c r="O85" i="12"/>
  <c r="O7" i="12"/>
  <c r="AO241" i="12"/>
  <c r="W85" i="12"/>
  <c r="W7" i="12"/>
  <c r="AW241" i="12"/>
  <c r="AI77" i="12"/>
  <c r="AH241" i="12"/>
  <c r="AP241" i="12"/>
  <c r="AX241" i="12"/>
  <c r="AH47" i="12"/>
  <c r="H92" i="12"/>
  <c r="H93" i="12" s="1"/>
  <c r="P92" i="12"/>
  <c r="P93" i="12" s="1"/>
  <c r="X92" i="12"/>
  <c r="X93" i="12" s="1"/>
  <c r="AF92" i="12"/>
  <c r="AF93" i="12" s="1"/>
  <c r="AH89" i="12"/>
  <c r="AI43" i="12"/>
  <c r="AH43" i="12"/>
  <c r="T5" i="12"/>
  <c r="U93" i="12"/>
  <c r="AB5" i="12"/>
  <c r="K7" i="12"/>
  <c r="AC241" i="12"/>
  <c r="AI90" i="12"/>
  <c r="AK241" i="12"/>
  <c r="AH86" i="12"/>
  <c r="D82" i="12"/>
  <c r="D84" i="12" s="1"/>
  <c r="T82" i="12"/>
  <c r="T84" i="12" s="1"/>
  <c r="AI61" i="12"/>
  <c r="AI88" i="12"/>
  <c r="AI89" i="12"/>
  <c r="L82" i="12"/>
  <c r="L84" i="12" s="1"/>
  <c r="AB82" i="12"/>
  <c r="AB84" i="12" s="1"/>
  <c r="AA5" i="12"/>
  <c r="X7" i="12"/>
  <c r="E82" i="12"/>
  <c r="E84" i="12" s="1"/>
  <c r="M82" i="12"/>
  <c r="M84" i="12" s="1"/>
  <c r="U82" i="12"/>
  <c r="U84" i="12" s="1"/>
  <c r="AC82" i="12"/>
  <c r="AC84" i="12" s="1"/>
  <c r="AG84" i="12"/>
  <c r="E227" i="12"/>
  <c r="AH61" i="12"/>
  <c r="AH65" i="12"/>
  <c r="AH77" i="12"/>
  <c r="E5" i="12"/>
  <c r="M5" i="12"/>
  <c r="U5" i="12"/>
  <c r="AC5" i="12"/>
  <c r="AH90" i="12"/>
  <c r="F85" i="12" l="1"/>
  <c r="Z85" i="12"/>
  <c r="Q85" i="12"/>
  <c r="AR241" i="12"/>
  <c r="AE7" i="12"/>
  <c r="B85" i="12"/>
  <c r="S85" i="12"/>
  <c r="K85" i="12"/>
  <c r="AF85" i="12"/>
  <c r="AS241" i="12"/>
  <c r="AA7" i="12"/>
  <c r="X85" i="12"/>
  <c r="S7" i="12"/>
  <c r="J85" i="12"/>
  <c r="AB241" i="12"/>
  <c r="B236" i="12"/>
  <c r="X241" i="12"/>
  <c r="U241" i="12"/>
  <c r="C7" i="12"/>
  <c r="Z241" i="12"/>
  <c r="I7" i="12"/>
  <c r="I85" i="12"/>
  <c r="F7" i="12"/>
  <c r="G85" i="12"/>
  <c r="G7" i="12"/>
  <c r="AI82" i="12"/>
  <c r="T7" i="12"/>
  <c r="T85" i="12"/>
  <c r="AL241" i="12"/>
  <c r="H262" i="12"/>
  <c r="J226" i="12"/>
  <c r="D7" i="12"/>
  <c r="V241" i="12"/>
  <c r="D85" i="12"/>
  <c r="H85" i="12"/>
  <c r="AB7" i="12"/>
  <c r="AB85" i="12"/>
  <c r="AT241" i="12"/>
  <c r="AM241" i="12"/>
  <c r="U85" i="12"/>
  <c r="U7" i="12"/>
  <c r="AU241" i="12"/>
  <c r="AC85" i="12"/>
  <c r="AC7" i="12"/>
  <c r="M85" i="12"/>
  <c r="AE241" i="12"/>
  <c r="M7" i="12"/>
  <c r="H221" i="12"/>
  <c r="G103" i="12"/>
  <c r="G227" i="12"/>
  <c r="AH82" i="12"/>
  <c r="L7" i="12"/>
  <c r="AD241" i="12"/>
  <c r="L85" i="12"/>
  <c r="AI92" i="12"/>
  <c r="AH92" i="12"/>
  <c r="W241" i="12"/>
  <c r="E85" i="12"/>
  <c r="E7" i="12"/>
  <c r="P85" i="12"/>
  <c r="C236" i="12"/>
  <c r="B7" i="12"/>
  <c r="T241" i="12"/>
  <c r="AI84" i="12"/>
  <c r="AH84" i="12"/>
  <c r="K6" i="12" l="1"/>
  <c r="AI85" i="12"/>
  <c r="AH85" i="12"/>
  <c r="AI93" i="12"/>
  <c r="AH93" i="12"/>
  <c r="I221" i="12"/>
  <c r="H227" i="12"/>
  <c r="H103" i="12"/>
  <c r="A7" i="12"/>
  <c r="K226" i="12"/>
  <c r="I262" i="12"/>
  <c r="I103" i="12" l="1"/>
  <c r="J221" i="12"/>
  <c r="I227" i="12"/>
  <c r="J262" i="12"/>
  <c r="L226" i="12"/>
  <c r="K262" i="12" l="1"/>
  <c r="M226" i="12"/>
  <c r="J103" i="12"/>
  <c r="J227" i="12"/>
  <c r="K221" i="12"/>
  <c r="K103" i="12" l="1"/>
  <c r="K227" i="12"/>
  <c r="L221" i="12"/>
  <c r="L262" i="12"/>
  <c r="N226" i="12"/>
  <c r="Y106" i="11"/>
  <c r="Y42" i="11"/>
  <c r="X92" i="11"/>
  <c r="X43" i="11"/>
  <c r="X47" i="11"/>
  <c r="X61" i="11"/>
  <c r="X65" i="11"/>
  <c r="X77" i="11"/>
  <c r="X103" i="11"/>
  <c r="W106" i="11"/>
  <c r="V106" i="11"/>
  <c r="U106" i="11"/>
  <c r="T106" i="11"/>
  <c r="S106" i="11"/>
  <c r="L227" i="12" l="1"/>
  <c r="M221" i="12"/>
  <c r="L103" i="12"/>
  <c r="O226" i="12"/>
  <c r="M262" i="12"/>
  <c r="X82" i="11"/>
  <c r="X84" i="11" s="1"/>
  <c r="X85" i="11" s="1"/>
  <c r="X93" i="11"/>
  <c r="O43" i="11"/>
  <c r="B43" i="11"/>
  <c r="L43" i="11"/>
  <c r="M43" i="11"/>
  <c r="L106" i="11"/>
  <c r="K106" i="11"/>
  <c r="J106" i="11"/>
  <c r="I106" i="11"/>
  <c r="G106" i="11"/>
  <c r="AI106" i="11" s="1"/>
  <c r="F106" i="11"/>
  <c r="E10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B262" i="11"/>
  <c r="S237" i="11"/>
  <c r="AG227" i="11"/>
  <c r="AG60" i="11" s="1"/>
  <c r="AG61" i="11" s="1"/>
  <c r="AG3" i="11" s="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C227" i="11"/>
  <c r="D226" i="11"/>
  <c r="C262" i="11" s="1"/>
  <c r="B226" i="11"/>
  <c r="AF262" i="11" s="1"/>
  <c r="E225" i="11"/>
  <c r="F225" i="11" s="1"/>
  <c r="G225" i="11" s="1"/>
  <c r="H225" i="11" s="1"/>
  <c r="I225" i="11" s="1"/>
  <c r="J225" i="11" s="1"/>
  <c r="K225" i="11" s="1"/>
  <c r="L225" i="11" s="1"/>
  <c r="M225" i="11" s="1"/>
  <c r="N225" i="11" s="1"/>
  <c r="O225" i="11" s="1"/>
  <c r="P225" i="11" s="1"/>
  <c r="D225" i="11"/>
  <c r="B225" i="11"/>
  <c r="D224" i="11"/>
  <c r="E224" i="11" s="1"/>
  <c r="F224" i="11" s="1"/>
  <c r="G224" i="11" s="1"/>
  <c r="H224" i="11" s="1"/>
  <c r="I224" i="11" s="1"/>
  <c r="J224" i="11" s="1"/>
  <c r="K224" i="11" s="1"/>
  <c r="L224" i="11" s="1"/>
  <c r="M224" i="11" s="1"/>
  <c r="N224" i="11" s="1"/>
  <c r="O224" i="11" s="1"/>
  <c r="P224" i="11" s="1"/>
  <c r="B224" i="11"/>
  <c r="D223" i="11"/>
  <c r="E223" i="11" s="1"/>
  <c r="F223" i="11" s="1"/>
  <c r="G223" i="11" s="1"/>
  <c r="H223" i="11" s="1"/>
  <c r="I223" i="11" s="1"/>
  <c r="J223" i="11" s="1"/>
  <c r="K223" i="11" s="1"/>
  <c r="L223" i="11" s="1"/>
  <c r="M223" i="11" s="1"/>
  <c r="N223" i="11" s="1"/>
  <c r="O223" i="11" s="1"/>
  <c r="P223" i="11" s="1"/>
  <c r="B223" i="11"/>
  <c r="E222" i="11"/>
  <c r="F222" i="11" s="1"/>
  <c r="G222" i="11" s="1"/>
  <c r="H222" i="11" s="1"/>
  <c r="I222" i="11" s="1"/>
  <c r="J222" i="11" s="1"/>
  <c r="K222" i="11" s="1"/>
  <c r="L222" i="11" s="1"/>
  <c r="M222" i="11" s="1"/>
  <c r="N222" i="11" s="1"/>
  <c r="O222" i="11" s="1"/>
  <c r="P222" i="11" s="1"/>
  <c r="D222" i="11"/>
  <c r="B222" i="11"/>
  <c r="D221" i="11"/>
  <c r="D227" i="11" s="1"/>
  <c r="B221" i="11"/>
  <c r="B227" i="11" s="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I112" i="11"/>
  <c r="AH112" i="11"/>
  <c r="AI111" i="11"/>
  <c r="AH111" i="11"/>
  <c r="AI110" i="11"/>
  <c r="AH110" i="11"/>
  <c r="AI109" i="11"/>
  <c r="AH109" i="11"/>
  <c r="AI108" i="11"/>
  <c r="AH108" i="11"/>
  <c r="AI107" i="11"/>
  <c r="AH107" i="11"/>
  <c r="AI105" i="11"/>
  <c r="AH105" i="11"/>
  <c r="AI104" i="11"/>
  <c r="AH104" i="11"/>
  <c r="AF103" i="11"/>
  <c r="AE103" i="11"/>
  <c r="AD103" i="11"/>
  <c r="AC103" i="11"/>
  <c r="AB103" i="11"/>
  <c r="AA103" i="11"/>
  <c r="Z103" i="11"/>
  <c r="Y103" i="11"/>
  <c r="W103" i="11"/>
  <c r="V103" i="11"/>
  <c r="U103" i="11"/>
  <c r="T103" i="11"/>
  <c r="S103" i="11"/>
  <c r="R103" i="11"/>
  <c r="Q103" i="11"/>
  <c r="C103" i="11"/>
  <c r="AI102" i="11"/>
  <c r="AH102" i="11"/>
  <c r="AI101" i="11"/>
  <c r="AH101" i="11"/>
  <c r="AI100" i="11"/>
  <c r="AH100" i="11"/>
  <c r="AI99" i="11"/>
  <c r="AH99" i="11"/>
  <c r="AI98" i="11"/>
  <c r="AH98" i="11"/>
  <c r="AI97" i="11"/>
  <c r="AH97" i="11"/>
  <c r="AI96" i="11"/>
  <c r="AH96" i="11"/>
  <c r="AI95" i="11"/>
  <c r="AH95" i="11"/>
  <c r="AI94" i="11"/>
  <c r="AH94" i="11"/>
  <c r="AI91" i="11"/>
  <c r="AH91" i="11"/>
  <c r="AF90" i="11"/>
  <c r="AE90" i="11"/>
  <c r="AD90" i="11"/>
  <c r="AC90" i="11"/>
  <c r="AB90" i="11"/>
  <c r="AA90" i="11"/>
  <c r="Z90" i="11"/>
  <c r="Y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F89" i="11"/>
  <c r="AE89" i="11"/>
  <c r="AD89" i="11"/>
  <c r="AC89" i="11"/>
  <c r="AB89" i="11"/>
  <c r="AA89" i="11"/>
  <c r="Z89" i="11"/>
  <c r="Y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F88" i="11"/>
  <c r="AE88" i="11"/>
  <c r="AD88" i="11"/>
  <c r="AC88" i="11"/>
  <c r="AB88" i="11"/>
  <c r="AA88" i="11"/>
  <c r="Z88" i="11"/>
  <c r="Y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F87" i="11"/>
  <c r="AE87" i="11"/>
  <c r="AD87" i="11"/>
  <c r="AC87" i="11"/>
  <c r="AB87" i="11"/>
  <c r="AA87" i="11"/>
  <c r="Z87" i="11"/>
  <c r="Y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F86" i="11"/>
  <c r="AE86" i="11"/>
  <c r="AD86" i="11"/>
  <c r="AC86" i="11"/>
  <c r="AB86" i="11"/>
  <c r="AA86" i="11"/>
  <c r="Z86" i="11"/>
  <c r="Y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I83" i="11"/>
  <c r="AH83" i="11"/>
  <c r="AI81" i="11"/>
  <c r="AH81" i="11"/>
  <c r="AG81" i="11"/>
  <c r="AI80" i="11"/>
  <c r="AH80" i="11"/>
  <c r="AI79" i="11"/>
  <c r="AH79" i="11"/>
  <c r="AI78" i="11"/>
  <c r="AH78" i="11"/>
  <c r="AG77" i="11"/>
  <c r="AF77" i="11"/>
  <c r="AE5" i="11" s="1"/>
  <c r="AE77" i="11"/>
  <c r="AD5" i="11" s="1"/>
  <c r="AD77" i="11"/>
  <c r="AC5" i="11" s="1"/>
  <c r="AC77" i="11"/>
  <c r="AB5" i="11" s="1"/>
  <c r="AB77" i="11"/>
  <c r="AA5" i="11" s="1"/>
  <c r="AA77" i="11"/>
  <c r="Z77" i="11"/>
  <c r="Y77" i="11"/>
  <c r="W77" i="11"/>
  <c r="V77" i="11"/>
  <c r="U5" i="11" s="1"/>
  <c r="U77" i="11"/>
  <c r="T5" i="11" s="1"/>
  <c r="T77" i="11"/>
  <c r="S5" i="11" s="1"/>
  <c r="S77" i="11"/>
  <c r="R5" i="11" s="1"/>
  <c r="R77" i="11"/>
  <c r="Q5" i="11" s="1"/>
  <c r="Q77" i="11"/>
  <c r="P5" i="11" s="1"/>
  <c r="P77" i="11"/>
  <c r="O77" i="11"/>
  <c r="N77" i="11"/>
  <c r="M77" i="11"/>
  <c r="L5" i="11" s="1"/>
  <c r="L77" i="11"/>
  <c r="K5" i="11" s="1"/>
  <c r="K77" i="11"/>
  <c r="J5" i="11" s="1"/>
  <c r="J77" i="11"/>
  <c r="I5" i="11" s="1"/>
  <c r="I77" i="11"/>
  <c r="H5" i="11" s="1"/>
  <c r="H77" i="11"/>
  <c r="G5" i="11" s="1"/>
  <c r="G77" i="11"/>
  <c r="F5" i="11" s="1"/>
  <c r="F77" i="11"/>
  <c r="E5" i="11" s="1"/>
  <c r="E77" i="11"/>
  <c r="D5" i="11" s="1"/>
  <c r="D77" i="11"/>
  <c r="C5" i="11" s="1"/>
  <c r="C77" i="11"/>
  <c r="B5" i="11" s="1"/>
  <c r="B77" i="11"/>
  <c r="AF5" i="11" s="1"/>
  <c r="AI76" i="11"/>
  <c r="AH76" i="11"/>
  <c r="AI75" i="11"/>
  <c r="AH75" i="11"/>
  <c r="AI74" i="11"/>
  <c r="AH74" i="11"/>
  <c r="AI73" i="11"/>
  <c r="AH73" i="11"/>
  <c r="AI72" i="11"/>
  <c r="AH72" i="11"/>
  <c r="AI71" i="11"/>
  <c r="AH71" i="11"/>
  <c r="AI70" i="11"/>
  <c r="AH70" i="11"/>
  <c r="AI69" i="11"/>
  <c r="AH69" i="11"/>
  <c r="AI68" i="11"/>
  <c r="AH68" i="11"/>
  <c r="AI67" i="11"/>
  <c r="AH67" i="11"/>
  <c r="AI66" i="11"/>
  <c r="AH66" i="11"/>
  <c r="AG65" i="11"/>
  <c r="AF65" i="11"/>
  <c r="AE65" i="11"/>
  <c r="AD65" i="11"/>
  <c r="AC65" i="11"/>
  <c r="AB65" i="11"/>
  <c r="AA65" i="11"/>
  <c r="Z65" i="11"/>
  <c r="Y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I64" i="11"/>
  <c r="AH64" i="11"/>
  <c r="AI63" i="11"/>
  <c r="AH63" i="11"/>
  <c r="AI62" i="11"/>
  <c r="AH62" i="11"/>
  <c r="AF61" i="11"/>
  <c r="AE61" i="11"/>
  <c r="AD61" i="11"/>
  <c r="AC61" i="11"/>
  <c r="AB61" i="11"/>
  <c r="AA61" i="11"/>
  <c r="Z61" i="11"/>
  <c r="Y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G47" i="11"/>
  <c r="AF47" i="11"/>
  <c r="AE47" i="11"/>
  <c r="AD47" i="11"/>
  <c r="AC47" i="11"/>
  <c r="AB47" i="11"/>
  <c r="AA47" i="11"/>
  <c r="Z47" i="11"/>
  <c r="Y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I46" i="11"/>
  <c r="AH46" i="11"/>
  <c r="AI45" i="11"/>
  <c r="AH45" i="11"/>
  <c r="AI44" i="11"/>
  <c r="AH44" i="1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N43" i="11"/>
  <c r="K43" i="11"/>
  <c r="J43" i="11"/>
  <c r="I43" i="11"/>
  <c r="H43" i="11"/>
  <c r="G43" i="11"/>
  <c r="F43" i="11"/>
  <c r="E43" i="11"/>
  <c r="D43" i="11"/>
  <c r="C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W5" i="11"/>
  <c r="V5" i="11"/>
  <c r="N5" i="11"/>
  <c r="M5" i="11"/>
  <c r="K4" i="11"/>
  <c r="B4" i="11"/>
  <c r="S238" i="11" s="1"/>
  <c r="AG2" i="11"/>
  <c r="AC47" i="10"/>
  <c r="AA106" i="10"/>
  <c r="Z106" i="10"/>
  <c r="Y106" i="10"/>
  <c r="W106" i="10"/>
  <c r="V106" i="10"/>
  <c r="U106" i="10"/>
  <c r="S106" i="10"/>
  <c r="T106" i="10"/>
  <c r="S42" i="10"/>
  <c r="T42" i="10"/>
  <c r="E4" i="11"/>
  <c r="AG84" i="11" l="1"/>
  <c r="AH106" i="11"/>
  <c r="E221" i="11"/>
  <c r="B103" i="11"/>
  <c r="E226" i="11"/>
  <c r="AG4" i="11"/>
  <c r="AG6" i="11" s="1"/>
  <c r="AG82" i="11"/>
  <c r="F92" i="11"/>
  <c r="D103" i="11"/>
  <c r="Y92" i="11"/>
  <c r="N262" i="12"/>
  <c r="P226" i="12"/>
  <c r="O262" i="12" s="1"/>
  <c r="M103" i="12"/>
  <c r="M227" i="12"/>
  <c r="N221" i="12"/>
  <c r="AF92" i="11"/>
  <c r="AF93" i="11"/>
  <c r="AF82" i="11"/>
  <c r="AF84" i="11" s="1"/>
  <c r="AE92" i="11"/>
  <c r="AE82" i="11"/>
  <c r="AE84" i="11" s="1"/>
  <c r="AW241" i="11" s="1"/>
  <c r="AD92" i="11"/>
  <c r="AD82" i="11"/>
  <c r="AD84" i="11" s="1"/>
  <c r="AC92" i="11"/>
  <c r="AC85" i="11" s="1"/>
  <c r="AC82" i="11"/>
  <c r="AC84" i="11" s="1"/>
  <c r="AB92" i="11"/>
  <c r="AB93" i="11" s="1"/>
  <c r="AB82" i="11"/>
  <c r="AB84" i="11" s="1"/>
  <c r="AT241" i="11" s="1"/>
  <c r="AA92" i="11"/>
  <c r="AA93" i="11" s="1"/>
  <c r="Z5" i="11"/>
  <c r="AA82" i="11"/>
  <c r="AA84" i="11" s="1"/>
  <c r="Z82" i="11"/>
  <c r="Z84" i="11" s="1"/>
  <c r="Z92" i="11"/>
  <c r="Z93" i="11" s="1"/>
  <c r="Y5" i="11"/>
  <c r="Y93" i="11"/>
  <c r="X5" i="11"/>
  <c r="Y82" i="11"/>
  <c r="Y84" i="11" s="1"/>
  <c r="W92" i="11"/>
  <c r="W85" i="11" s="1"/>
  <c r="W82" i="11"/>
  <c r="W84" i="11" s="1"/>
  <c r="AO241" i="11" s="1"/>
  <c r="V92" i="11"/>
  <c r="V82" i="11"/>
  <c r="V84" i="11" s="1"/>
  <c r="V7" i="11" s="1"/>
  <c r="U92" i="11"/>
  <c r="U82" i="11"/>
  <c r="U84" i="11" s="1"/>
  <c r="T82" i="11"/>
  <c r="T84" i="11" s="1"/>
  <c r="T92" i="11"/>
  <c r="T93" i="11" s="1"/>
  <c r="S92" i="11"/>
  <c r="S93" i="11" s="1"/>
  <c r="S82" i="11"/>
  <c r="S84" i="11" s="1"/>
  <c r="S7" i="11" s="1"/>
  <c r="Q82" i="11"/>
  <c r="Q84" i="11" s="1"/>
  <c r="O92" i="11"/>
  <c r="O93" i="11" s="1"/>
  <c r="P92" i="11"/>
  <c r="P93" i="11" s="1"/>
  <c r="Q92" i="11"/>
  <c r="Q93" i="11" s="1"/>
  <c r="R92" i="11"/>
  <c r="R93" i="11" s="1"/>
  <c r="P82" i="11"/>
  <c r="P84" i="11" s="1"/>
  <c r="O5" i="11"/>
  <c r="N92" i="11"/>
  <c r="R82" i="11"/>
  <c r="R84" i="11" s="1"/>
  <c r="R85" i="11" s="1"/>
  <c r="N82" i="11"/>
  <c r="N84" i="11" s="1"/>
  <c r="AF241" i="11" s="1"/>
  <c r="M92" i="11"/>
  <c r="M93" i="11" s="1"/>
  <c r="O82" i="11"/>
  <c r="O84" i="11" s="1"/>
  <c r="O7" i="11" s="1"/>
  <c r="M82" i="11"/>
  <c r="M84" i="11" s="1"/>
  <c r="M7" i="11" s="1"/>
  <c r="L92" i="11"/>
  <c r="L93" i="11" s="1"/>
  <c r="L82" i="11"/>
  <c r="L84" i="11" s="1"/>
  <c r="L7" i="11" s="1"/>
  <c r="K92" i="11"/>
  <c r="K93" i="11" s="1"/>
  <c r="K82" i="11"/>
  <c r="K84" i="11" s="1"/>
  <c r="K7" i="11" s="1"/>
  <c r="J92" i="11"/>
  <c r="J93" i="11"/>
  <c r="AI65" i="11"/>
  <c r="J82" i="11"/>
  <c r="J84" i="11" s="1"/>
  <c r="J7" i="11" s="1"/>
  <c r="I92" i="11"/>
  <c r="I93" i="11" s="1"/>
  <c r="I82" i="11"/>
  <c r="I84" i="11" s="1"/>
  <c r="AA241" i="11" s="1"/>
  <c r="G92" i="11"/>
  <c r="G93" i="11" s="1"/>
  <c r="H92" i="11"/>
  <c r="H82" i="11"/>
  <c r="H84" i="11" s="1"/>
  <c r="Z241" i="11" s="1"/>
  <c r="H93" i="11"/>
  <c r="G82" i="11"/>
  <c r="G84" i="11" s="1"/>
  <c r="F82" i="11"/>
  <c r="F84" i="11" s="1"/>
  <c r="F85" i="11" s="1"/>
  <c r="E92" i="11"/>
  <c r="AH88" i="11"/>
  <c r="AI88" i="11"/>
  <c r="E82" i="11"/>
  <c r="E84" i="11" s="1"/>
  <c r="W241" i="11" s="1"/>
  <c r="AI89" i="11"/>
  <c r="AI87" i="11"/>
  <c r="D92" i="11"/>
  <c r="D93" i="11" s="1"/>
  <c r="D82" i="11"/>
  <c r="D84" i="11" s="1"/>
  <c r="D7" i="11" s="1"/>
  <c r="AI47" i="11"/>
  <c r="C92" i="11"/>
  <c r="C93" i="11" s="1"/>
  <c r="AI90" i="11"/>
  <c r="AI86" i="11"/>
  <c r="AI61" i="11"/>
  <c r="C82" i="11"/>
  <c r="C84" i="11" s="1"/>
  <c r="C7" i="11" s="1"/>
  <c r="AI43" i="11"/>
  <c r="H4" i="11"/>
  <c r="AB7" i="11"/>
  <c r="AM241" i="11"/>
  <c r="U85" i="11"/>
  <c r="U7" i="11"/>
  <c r="AU241" i="11"/>
  <c r="AC7" i="11"/>
  <c r="AV241" i="11"/>
  <c r="AD85" i="11"/>
  <c r="AD7" i="11"/>
  <c r="W7" i="11"/>
  <c r="AE85" i="11"/>
  <c r="AE7" i="11"/>
  <c r="V85" i="11"/>
  <c r="H7" i="11"/>
  <c r="P7" i="11"/>
  <c r="AH241" i="11"/>
  <c r="P85" i="11"/>
  <c r="X7" i="11"/>
  <c r="AP241" i="11"/>
  <c r="AF7" i="11"/>
  <c r="AX241" i="11"/>
  <c r="AF85" i="11"/>
  <c r="T7" i="11"/>
  <c r="AL241" i="11"/>
  <c r="T85" i="11"/>
  <c r="Y7" i="11"/>
  <c r="AQ241" i="11"/>
  <c r="Y85" i="11"/>
  <c r="E93" i="11"/>
  <c r="U93" i="11"/>
  <c r="AC93" i="11"/>
  <c r="R7" i="11"/>
  <c r="AJ241" i="11"/>
  <c r="Z7" i="11"/>
  <c r="AR241" i="11"/>
  <c r="F93" i="11"/>
  <c r="N93" i="11"/>
  <c r="V93" i="11"/>
  <c r="AD93" i="11"/>
  <c r="Q7" i="11"/>
  <c r="AI241" i="11"/>
  <c r="Q85" i="11"/>
  <c r="AA7" i="11"/>
  <c r="AS241" i="11"/>
  <c r="AA85" i="11"/>
  <c r="AE93" i="11"/>
  <c r="E227" i="11"/>
  <c r="D238" i="11"/>
  <c r="AH61" i="11"/>
  <c r="AH65" i="11"/>
  <c r="AH77" i="11"/>
  <c r="AI77" i="11"/>
  <c r="AH86" i="11"/>
  <c r="B92" i="11"/>
  <c r="AH87" i="11"/>
  <c r="AH43" i="11"/>
  <c r="AH47" i="11"/>
  <c r="B82" i="11"/>
  <c r="AH89" i="11"/>
  <c r="AH90" i="11"/>
  <c r="AN241" i="11" l="1"/>
  <c r="D262" i="11"/>
  <c r="F226" i="11"/>
  <c r="K85" i="11"/>
  <c r="G85" i="11"/>
  <c r="F221" i="11"/>
  <c r="E103" i="11"/>
  <c r="W93" i="11"/>
  <c r="Z85" i="11"/>
  <c r="Y241" i="11"/>
  <c r="O221" i="12"/>
  <c r="N103" i="12"/>
  <c r="N227" i="12"/>
  <c r="AB85" i="11"/>
  <c r="AK241" i="11"/>
  <c r="S85" i="11"/>
  <c r="N7" i="11"/>
  <c r="N85" i="11"/>
  <c r="X241" i="11"/>
  <c r="J85" i="11"/>
  <c r="F7" i="11"/>
  <c r="H85" i="11"/>
  <c r="O85" i="11"/>
  <c r="AG241" i="11"/>
  <c r="D85" i="11"/>
  <c r="V241" i="11"/>
  <c r="M85" i="11"/>
  <c r="AE241" i="11"/>
  <c r="L85" i="11"/>
  <c r="AD241" i="11"/>
  <c r="AC241" i="11"/>
  <c r="AB241" i="11"/>
  <c r="I85" i="11"/>
  <c r="I7" i="11"/>
  <c r="G7" i="11"/>
  <c r="B236" i="11"/>
  <c r="C236" i="11"/>
  <c r="E7" i="11"/>
  <c r="E85" i="11"/>
  <c r="U241" i="11"/>
  <c r="C85" i="11"/>
  <c r="AI92" i="11"/>
  <c r="AH92" i="11"/>
  <c r="B93" i="11"/>
  <c r="AI82" i="11"/>
  <c r="AH82" i="11"/>
  <c r="B84" i="11"/>
  <c r="F227" i="11" l="1"/>
  <c r="G221" i="11"/>
  <c r="F103" i="11"/>
  <c r="E262" i="11"/>
  <c r="G226" i="11"/>
  <c r="P221" i="12"/>
  <c r="O103" i="12"/>
  <c r="O227" i="12"/>
  <c r="K6" i="11"/>
  <c r="B7" i="11"/>
  <c r="A7" i="11" s="1"/>
  <c r="T241" i="11"/>
  <c r="B85" i="11"/>
  <c r="AI84" i="11"/>
  <c r="AH84" i="11"/>
  <c r="AI93" i="11"/>
  <c r="AH93" i="11"/>
  <c r="F262" i="11" l="1"/>
  <c r="H226" i="11"/>
  <c r="H221" i="11"/>
  <c r="G227" i="11"/>
  <c r="G103" i="11"/>
  <c r="P227" i="12"/>
  <c r="P103" i="12"/>
  <c r="AI85" i="11"/>
  <c r="AH85" i="11"/>
  <c r="H227" i="11" l="1"/>
  <c r="I221" i="11"/>
  <c r="H103" i="11"/>
  <c r="G262" i="11"/>
  <c r="I226" i="11"/>
  <c r="AH103" i="12"/>
  <c r="AI103" i="12"/>
  <c r="H262" i="11" l="1"/>
  <c r="J226" i="11"/>
  <c r="I103" i="11"/>
  <c r="J221" i="11"/>
  <c r="I227" i="11"/>
  <c r="J227" i="11" l="1"/>
  <c r="K221" i="11"/>
  <c r="J103" i="11"/>
  <c r="K226" i="11"/>
  <c r="I262" i="11"/>
  <c r="L226" i="11" l="1"/>
  <c r="J262" i="11"/>
  <c r="K227" i="11"/>
  <c r="L221" i="11"/>
  <c r="K103" i="11"/>
  <c r="L227" i="11" l="1"/>
  <c r="M221" i="11"/>
  <c r="L103" i="11"/>
  <c r="K262" i="11"/>
  <c r="M226" i="11"/>
  <c r="L262" i="11" l="1"/>
  <c r="N226" i="11"/>
  <c r="M103" i="11"/>
  <c r="M227" i="11"/>
  <c r="N221" i="11"/>
  <c r="N103" i="11" l="1"/>
  <c r="O221" i="11"/>
  <c r="N227" i="11"/>
  <c r="M262" i="11"/>
  <c r="O226" i="11"/>
  <c r="O103" i="11" l="1"/>
  <c r="P221" i="11"/>
  <c r="O227" i="11"/>
  <c r="P226" i="11"/>
  <c r="O262" i="11" s="1"/>
  <c r="N262" i="11"/>
  <c r="P227" i="11" l="1"/>
  <c r="P103" i="11"/>
  <c r="AH18" i="10"/>
  <c r="AI18" i="10"/>
  <c r="AH15" i="2"/>
  <c r="AI15" i="2"/>
  <c r="AH16" i="2"/>
  <c r="AI16" i="2"/>
  <c r="AH17" i="2"/>
  <c r="AI17" i="2"/>
  <c r="AH18" i="2"/>
  <c r="AI18" i="2"/>
  <c r="AH19" i="2"/>
  <c r="AI19" i="2"/>
  <c r="AH20" i="2"/>
  <c r="AI20" i="2"/>
  <c r="AH21" i="2"/>
  <c r="AI21" i="2"/>
  <c r="AH22" i="2"/>
  <c r="AI22" i="2"/>
  <c r="AH23" i="2"/>
  <c r="AI23" i="2"/>
  <c r="AH23" i="10"/>
  <c r="AI23" i="10"/>
  <c r="R42" i="10"/>
  <c r="P42" i="10"/>
  <c r="AI103" i="11" l="1"/>
  <c r="AH103" i="11"/>
  <c r="O42" i="10"/>
  <c r="AH15" i="10" l="1"/>
  <c r="AI15" i="10"/>
  <c r="H43" i="10"/>
  <c r="F43" i="10"/>
  <c r="D106" i="10"/>
  <c r="D42" i="10"/>
  <c r="C89" i="10"/>
  <c r="C106" i="10"/>
  <c r="AH106" i="10" s="1"/>
  <c r="B106" i="10"/>
  <c r="B42" i="10"/>
  <c r="B65" i="10"/>
  <c r="B61" i="10"/>
  <c r="B47" i="10"/>
  <c r="B43" i="10"/>
  <c r="AF103" i="9"/>
  <c r="AF39" i="9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B262" i="10"/>
  <c r="S237" i="10"/>
  <c r="AG227" i="10"/>
  <c r="AG60" i="10" s="1"/>
  <c r="AG61" i="10" s="1"/>
  <c r="AG3" i="10" s="1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C227" i="10"/>
  <c r="D226" i="10"/>
  <c r="C262" i="10" s="1"/>
  <c r="B226" i="10"/>
  <c r="AF262" i="10" s="1"/>
  <c r="D225" i="10"/>
  <c r="E225" i="10" s="1"/>
  <c r="F225" i="10" s="1"/>
  <c r="G225" i="10" s="1"/>
  <c r="H225" i="10" s="1"/>
  <c r="I225" i="10" s="1"/>
  <c r="J225" i="10" s="1"/>
  <c r="K225" i="10" s="1"/>
  <c r="L225" i="10" s="1"/>
  <c r="M225" i="10" s="1"/>
  <c r="N225" i="10" s="1"/>
  <c r="O225" i="10" s="1"/>
  <c r="P225" i="10" s="1"/>
  <c r="B225" i="10"/>
  <c r="D224" i="10"/>
  <c r="B224" i="10"/>
  <c r="D223" i="10"/>
  <c r="E223" i="10" s="1"/>
  <c r="F223" i="10" s="1"/>
  <c r="G223" i="10" s="1"/>
  <c r="H223" i="10" s="1"/>
  <c r="I223" i="10" s="1"/>
  <c r="J223" i="10" s="1"/>
  <c r="K223" i="10" s="1"/>
  <c r="L223" i="10" s="1"/>
  <c r="M223" i="10" s="1"/>
  <c r="N223" i="10" s="1"/>
  <c r="O223" i="10" s="1"/>
  <c r="P223" i="10" s="1"/>
  <c r="B223" i="10"/>
  <c r="D222" i="10"/>
  <c r="E222" i="10" s="1"/>
  <c r="F222" i="10" s="1"/>
  <c r="G222" i="10" s="1"/>
  <c r="H222" i="10" s="1"/>
  <c r="I222" i="10" s="1"/>
  <c r="J222" i="10" s="1"/>
  <c r="K222" i="10" s="1"/>
  <c r="L222" i="10" s="1"/>
  <c r="M222" i="10" s="1"/>
  <c r="N222" i="10" s="1"/>
  <c r="O222" i="10" s="1"/>
  <c r="P222" i="10" s="1"/>
  <c r="B222" i="10"/>
  <c r="D221" i="10"/>
  <c r="E221" i="10" s="1"/>
  <c r="B221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I112" i="10"/>
  <c r="AH112" i="10"/>
  <c r="AI111" i="10"/>
  <c r="AH111" i="10"/>
  <c r="AI110" i="10"/>
  <c r="AH110" i="10"/>
  <c r="AI109" i="10"/>
  <c r="AH109" i="10"/>
  <c r="AI108" i="10"/>
  <c r="AH108" i="10"/>
  <c r="AI107" i="10"/>
  <c r="AH107" i="10"/>
  <c r="AI105" i="10"/>
  <c r="AH105" i="10"/>
  <c r="AI104" i="10"/>
  <c r="AH104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AI102" i="10"/>
  <c r="AH102" i="10"/>
  <c r="AI101" i="10"/>
  <c r="AH101" i="10"/>
  <c r="AI100" i="10"/>
  <c r="AH100" i="10"/>
  <c r="AI99" i="10"/>
  <c r="AH99" i="10"/>
  <c r="AI98" i="10"/>
  <c r="AH98" i="10"/>
  <c r="AI97" i="10"/>
  <c r="AH97" i="10"/>
  <c r="AI96" i="10"/>
  <c r="AH96" i="10"/>
  <c r="AI95" i="10"/>
  <c r="AH95" i="10"/>
  <c r="AI94" i="10"/>
  <c r="AH94" i="10"/>
  <c r="AI91" i="10"/>
  <c r="AH91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B89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I83" i="10"/>
  <c r="AH83" i="10"/>
  <c r="AI81" i="10"/>
  <c r="AH81" i="10"/>
  <c r="AG81" i="10"/>
  <c r="AI80" i="10"/>
  <c r="AH80" i="10"/>
  <c r="AI79" i="10"/>
  <c r="AH79" i="10"/>
  <c r="AI78" i="10"/>
  <c r="AH78" i="10"/>
  <c r="AG77" i="10"/>
  <c r="AF77" i="10"/>
  <c r="AE5" i="10" s="1"/>
  <c r="AE77" i="10"/>
  <c r="AD5" i="10" s="1"/>
  <c r="AD77" i="10"/>
  <c r="AC5" i="10" s="1"/>
  <c r="AC77" i="10"/>
  <c r="AB77" i="10"/>
  <c r="AA5" i="10" s="1"/>
  <c r="AA77" i="10"/>
  <c r="Z5" i="10" s="1"/>
  <c r="Z77" i="10"/>
  <c r="Y5" i="10" s="1"/>
  <c r="Y77" i="10"/>
  <c r="X5" i="10" s="1"/>
  <c r="X77" i="10"/>
  <c r="W5" i="10" s="1"/>
  <c r="W77" i="10"/>
  <c r="V5" i="10" s="1"/>
  <c r="V77" i="10"/>
  <c r="U5" i="10" s="1"/>
  <c r="U77" i="10"/>
  <c r="T77" i="10"/>
  <c r="S5" i="10" s="1"/>
  <c r="S77" i="10"/>
  <c r="R5" i="10" s="1"/>
  <c r="R77" i="10"/>
  <c r="Q5" i="10" s="1"/>
  <c r="Q77" i="10"/>
  <c r="P5" i="10" s="1"/>
  <c r="P77" i="10"/>
  <c r="O5" i="10" s="1"/>
  <c r="O77" i="10"/>
  <c r="N5" i="10" s="1"/>
  <c r="N77" i="10"/>
  <c r="M5" i="10" s="1"/>
  <c r="M77" i="10"/>
  <c r="L77" i="10"/>
  <c r="K77" i="10"/>
  <c r="J5" i="10" s="1"/>
  <c r="J77" i="10"/>
  <c r="I5" i="10" s="1"/>
  <c r="I77" i="10"/>
  <c r="H5" i="10" s="1"/>
  <c r="H77" i="10"/>
  <c r="G5" i="10" s="1"/>
  <c r="G77" i="10"/>
  <c r="F5" i="10" s="1"/>
  <c r="F77" i="10"/>
  <c r="E5" i="10" s="1"/>
  <c r="E77" i="10"/>
  <c r="D77" i="10"/>
  <c r="C5" i="10" s="1"/>
  <c r="C77" i="10"/>
  <c r="B5" i="10" s="1"/>
  <c r="B77" i="10"/>
  <c r="AF5" i="10" s="1"/>
  <c r="AI76" i="10"/>
  <c r="AH76" i="10"/>
  <c r="AI75" i="10"/>
  <c r="AH75" i="10"/>
  <c r="AI74" i="10"/>
  <c r="AH74" i="10"/>
  <c r="AI73" i="10"/>
  <c r="AH73" i="10"/>
  <c r="AI72" i="10"/>
  <c r="AH72" i="10"/>
  <c r="AI71" i="10"/>
  <c r="AH71" i="10"/>
  <c r="AI70" i="10"/>
  <c r="AH70" i="10"/>
  <c r="AI69" i="10"/>
  <c r="AH69" i="10"/>
  <c r="AI68" i="10"/>
  <c r="AH68" i="10"/>
  <c r="AI67" i="10"/>
  <c r="AH67" i="10"/>
  <c r="AI66" i="10"/>
  <c r="AH66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AI64" i="10"/>
  <c r="AH64" i="10"/>
  <c r="AI63" i="10"/>
  <c r="AH63" i="10"/>
  <c r="AI62" i="10"/>
  <c r="AH62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G47" i="10"/>
  <c r="AF47" i="10"/>
  <c r="AE47" i="10"/>
  <c r="AD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AI46" i="10"/>
  <c r="AH46" i="10"/>
  <c r="AI45" i="10"/>
  <c r="AH45" i="10"/>
  <c r="AI44" i="10"/>
  <c r="AH44" i="10"/>
  <c r="AG43" i="10"/>
  <c r="AG82" i="10" s="1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G43" i="10"/>
  <c r="E43" i="10"/>
  <c r="D43" i="10"/>
  <c r="C43" i="10"/>
  <c r="AI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2" i="10"/>
  <c r="AH22" i="10"/>
  <c r="AI21" i="10"/>
  <c r="AH21" i="10"/>
  <c r="AI20" i="10"/>
  <c r="AH20" i="10"/>
  <c r="AI19" i="10"/>
  <c r="AH19" i="10"/>
  <c r="AI17" i="10"/>
  <c r="AH17" i="10"/>
  <c r="AI16" i="10"/>
  <c r="AH16" i="10"/>
  <c r="AI14" i="10"/>
  <c r="AH14" i="10"/>
  <c r="AI13" i="10"/>
  <c r="AH13" i="10"/>
  <c r="AI12" i="10"/>
  <c r="AH12" i="10"/>
  <c r="AI11" i="10"/>
  <c r="AH11" i="10"/>
  <c r="K5" i="10"/>
  <c r="AG4" i="10"/>
  <c r="K4" i="10"/>
  <c r="B4" i="10"/>
  <c r="S238" i="10" s="1"/>
  <c r="AE103" i="9"/>
  <c r="AE39" i="9"/>
  <c r="AD103" i="9"/>
  <c r="AC103" i="9"/>
  <c r="AC39" i="9"/>
  <c r="AB103" i="9"/>
  <c r="AB39" i="9"/>
  <c r="AA103" i="9"/>
  <c r="AA39" i="9"/>
  <c r="X7" i="9"/>
  <c r="Y103" i="9"/>
  <c r="X78" i="9"/>
  <c r="X79" i="9" s="1"/>
  <c r="W39" i="9"/>
  <c r="V103" i="9"/>
  <c r="V39" i="9"/>
  <c r="S103" i="9"/>
  <c r="S62" i="9"/>
  <c r="S39" i="9"/>
  <c r="R39" i="9"/>
  <c r="Q39" i="9"/>
  <c r="P39" i="9"/>
  <c r="O39" i="9"/>
  <c r="N39" i="9"/>
  <c r="M39" i="9"/>
  <c r="H40" i="9"/>
  <c r="G40" i="9"/>
  <c r="E4" i="10"/>
  <c r="AI106" i="10" l="1"/>
  <c r="AE82" i="10"/>
  <c r="AE84" i="10" s="1"/>
  <c r="AB92" i="10"/>
  <c r="Y82" i="10"/>
  <c r="Y84" i="10" s="1"/>
  <c r="W82" i="10"/>
  <c r="W84" i="10" s="1"/>
  <c r="T82" i="10"/>
  <c r="T84" i="10" s="1"/>
  <c r="T7" i="10" s="1"/>
  <c r="AB82" i="10"/>
  <c r="AB84" i="10" s="1"/>
  <c r="AB85" i="10" s="1"/>
  <c r="C103" i="10"/>
  <c r="E226" i="10"/>
  <c r="D262" i="10" s="1"/>
  <c r="U82" i="10"/>
  <c r="U84" i="10" s="1"/>
  <c r="U7" i="10" s="1"/>
  <c r="AC82" i="10"/>
  <c r="AC84" i="10" s="1"/>
  <c r="AC7" i="10" s="1"/>
  <c r="B103" i="10"/>
  <c r="AH42" i="10"/>
  <c r="Q82" i="10"/>
  <c r="Q84" i="10" s="1"/>
  <c r="Q7" i="10" s="1"/>
  <c r="O82" i="10"/>
  <c r="O84" i="10" s="1"/>
  <c r="O7" i="10" s="1"/>
  <c r="M82" i="10"/>
  <c r="M84" i="10" s="1"/>
  <c r="AE241" i="10" s="1"/>
  <c r="L82" i="10"/>
  <c r="L84" i="10" s="1"/>
  <c r="G82" i="10"/>
  <c r="G84" i="10" s="1"/>
  <c r="Y241" i="10" s="1"/>
  <c r="I82" i="10"/>
  <c r="I84" i="10" s="1"/>
  <c r="I7" i="10" s="1"/>
  <c r="E82" i="10"/>
  <c r="E84" i="10" s="1"/>
  <c r="E7" i="10" s="1"/>
  <c r="AH47" i="10"/>
  <c r="J82" i="10"/>
  <c r="J84" i="10" s="1"/>
  <c r="R82" i="10"/>
  <c r="R84" i="10" s="1"/>
  <c r="AJ241" i="10" s="1"/>
  <c r="Z82" i="10"/>
  <c r="Z84" i="10" s="1"/>
  <c r="Z7" i="10" s="1"/>
  <c r="F92" i="10"/>
  <c r="F93" i="10" s="1"/>
  <c r="N92" i="10"/>
  <c r="V92" i="10"/>
  <c r="V93" i="10" s="1"/>
  <c r="AD92" i="10"/>
  <c r="G92" i="10"/>
  <c r="G93" i="10" s="1"/>
  <c r="O92" i="10"/>
  <c r="O93" i="10" s="1"/>
  <c r="W92" i="10"/>
  <c r="W93" i="10" s="1"/>
  <c r="AE92" i="10"/>
  <c r="AE85" i="10" s="1"/>
  <c r="D227" i="10"/>
  <c r="T92" i="10"/>
  <c r="H92" i="10"/>
  <c r="H93" i="10" s="1"/>
  <c r="P92" i="10"/>
  <c r="X92" i="10"/>
  <c r="AF92" i="10"/>
  <c r="AI88" i="10"/>
  <c r="D92" i="10"/>
  <c r="D93" i="10" s="1"/>
  <c r="AG2" i="10"/>
  <c r="AG6" i="10" s="1"/>
  <c r="F82" i="10"/>
  <c r="F84" i="10" s="1"/>
  <c r="F7" i="10" s="1"/>
  <c r="N82" i="10"/>
  <c r="N84" i="10" s="1"/>
  <c r="AF241" i="10" s="1"/>
  <c r="V82" i="10"/>
  <c r="V84" i="10" s="1"/>
  <c r="V85" i="10" s="1"/>
  <c r="AD82" i="10"/>
  <c r="AD84" i="10" s="1"/>
  <c r="AV241" i="10" s="1"/>
  <c r="AI65" i="10"/>
  <c r="AI86" i="10"/>
  <c r="J92" i="10"/>
  <c r="J93" i="10" s="1"/>
  <c r="R92" i="10"/>
  <c r="R93" i="10" s="1"/>
  <c r="Z92" i="10"/>
  <c r="D103" i="10"/>
  <c r="K92" i="10"/>
  <c r="K93" i="10" s="1"/>
  <c r="S92" i="10"/>
  <c r="S93" i="10" s="1"/>
  <c r="AA92" i="10"/>
  <c r="AA93" i="10" s="1"/>
  <c r="L92" i="10"/>
  <c r="L93" i="10" s="1"/>
  <c r="H82" i="10"/>
  <c r="H84" i="10" s="1"/>
  <c r="H7" i="10" s="1"/>
  <c r="P82" i="10"/>
  <c r="P84" i="10" s="1"/>
  <c r="P7" i="10" s="1"/>
  <c r="X82" i="10"/>
  <c r="X84" i="10" s="1"/>
  <c r="X7" i="10" s="1"/>
  <c r="AF82" i="10"/>
  <c r="AF84" i="10" s="1"/>
  <c r="AX241" i="10" s="1"/>
  <c r="K82" i="10"/>
  <c r="K84" i="10" s="1"/>
  <c r="S82" i="10"/>
  <c r="S84" i="10" s="1"/>
  <c r="AK241" i="10" s="1"/>
  <c r="AA82" i="10"/>
  <c r="AA84" i="10" s="1"/>
  <c r="AA7" i="10" s="1"/>
  <c r="AB93" i="10"/>
  <c r="I92" i="10"/>
  <c r="I93" i="10" s="1"/>
  <c r="Q92" i="10"/>
  <c r="Y92" i="10"/>
  <c r="Y85" i="10" s="1"/>
  <c r="E92" i="10"/>
  <c r="E93" i="10" s="1"/>
  <c r="M92" i="10"/>
  <c r="M93" i="10" s="1"/>
  <c r="U92" i="10"/>
  <c r="U93" i="10" s="1"/>
  <c r="AC92" i="10"/>
  <c r="AC93" i="10" s="1"/>
  <c r="Q93" i="10"/>
  <c r="D82" i="10"/>
  <c r="D84" i="10" s="1"/>
  <c r="D7" i="10" s="1"/>
  <c r="AH43" i="10"/>
  <c r="AI61" i="10"/>
  <c r="AH87" i="10"/>
  <c r="AI90" i="10"/>
  <c r="AI89" i="10"/>
  <c r="C92" i="10"/>
  <c r="C93" i="10" s="1"/>
  <c r="C82" i="10"/>
  <c r="C84" i="10" s="1"/>
  <c r="U241" i="10" s="1"/>
  <c r="AH89" i="10"/>
  <c r="AH88" i="10"/>
  <c r="H4" i="10"/>
  <c r="M7" i="10"/>
  <c r="AD241" i="10"/>
  <c r="L7" i="10"/>
  <c r="L85" i="10"/>
  <c r="G7" i="10"/>
  <c r="AO241" i="10"/>
  <c r="W7" i="10"/>
  <c r="AW241" i="10"/>
  <c r="AE7" i="10"/>
  <c r="AI241" i="10"/>
  <c r="Y7" i="10"/>
  <c r="AQ241" i="10"/>
  <c r="N93" i="10"/>
  <c r="AD93" i="10"/>
  <c r="F221" i="10"/>
  <c r="E103" i="10"/>
  <c r="P93" i="10"/>
  <c r="X93" i="10"/>
  <c r="AF93" i="10"/>
  <c r="AG84" i="10"/>
  <c r="D238" i="10"/>
  <c r="AH61" i="10"/>
  <c r="AH65" i="10"/>
  <c r="AH77" i="10"/>
  <c r="AI87" i="10"/>
  <c r="AI77" i="10"/>
  <c r="AH86" i="10"/>
  <c r="B92" i="10"/>
  <c r="B93" i="10" s="1"/>
  <c r="F226" i="10"/>
  <c r="D5" i="10"/>
  <c r="L5" i="10"/>
  <c r="T5" i="10"/>
  <c r="AB5" i="10"/>
  <c r="B82" i="10"/>
  <c r="AI43" i="10"/>
  <c r="AI47" i="10"/>
  <c r="E224" i="10"/>
  <c r="F224" i="10" s="1"/>
  <c r="G224" i="10" s="1"/>
  <c r="H224" i="10" s="1"/>
  <c r="I224" i="10" s="1"/>
  <c r="J224" i="10" s="1"/>
  <c r="K224" i="10" s="1"/>
  <c r="L224" i="10" s="1"/>
  <c r="M224" i="10" s="1"/>
  <c r="N224" i="10" s="1"/>
  <c r="O224" i="10" s="1"/>
  <c r="P224" i="10" s="1"/>
  <c r="B227" i="10"/>
  <c r="AH90" i="10"/>
  <c r="AB7" i="10" l="1"/>
  <c r="AE93" i="10"/>
  <c r="AD85" i="10"/>
  <c r="AD7" i="10"/>
  <c r="AU241" i="10"/>
  <c r="AC85" i="10"/>
  <c r="AT241" i="10"/>
  <c r="AA85" i="10"/>
  <c r="AS241" i="10"/>
  <c r="AR241" i="10"/>
  <c r="W85" i="10"/>
  <c r="U85" i="10"/>
  <c r="AM241" i="10"/>
  <c r="T85" i="10"/>
  <c r="AL241" i="10"/>
  <c r="S7" i="10"/>
  <c r="S85" i="10"/>
  <c r="V7" i="10"/>
  <c r="AF7" i="10"/>
  <c r="AN241" i="10"/>
  <c r="R7" i="10"/>
  <c r="AF85" i="10"/>
  <c r="J85" i="10"/>
  <c r="R85" i="10"/>
  <c r="Q85" i="10"/>
  <c r="O85" i="10"/>
  <c r="AG241" i="10"/>
  <c r="N85" i="10"/>
  <c r="N7" i="10"/>
  <c r="J7" i="10"/>
  <c r="AB241" i="10"/>
  <c r="Z85" i="10"/>
  <c r="Z241" i="10"/>
  <c r="H85" i="10"/>
  <c r="AA241" i="10"/>
  <c r="W241" i="10"/>
  <c r="V241" i="10"/>
  <c r="I85" i="10"/>
  <c r="Z93" i="10"/>
  <c r="X85" i="10"/>
  <c r="T93" i="10"/>
  <c r="F85" i="10"/>
  <c r="AP241" i="10"/>
  <c r="G85" i="10"/>
  <c r="X241" i="10"/>
  <c r="P85" i="10"/>
  <c r="M85" i="10"/>
  <c r="AH241" i="10"/>
  <c r="E85" i="10"/>
  <c r="C236" i="10"/>
  <c r="K85" i="10"/>
  <c r="AC241" i="10"/>
  <c r="Y93" i="10"/>
  <c r="K7" i="10"/>
  <c r="B236" i="10"/>
  <c r="D85" i="10"/>
  <c r="C7" i="10"/>
  <c r="C85" i="10"/>
  <c r="AI92" i="10"/>
  <c r="AH92" i="10"/>
  <c r="AH82" i="10"/>
  <c r="AI82" i="10"/>
  <c r="B84" i="10"/>
  <c r="E227" i="10"/>
  <c r="G221" i="10"/>
  <c r="F103" i="10"/>
  <c r="F227" i="10"/>
  <c r="E262" i="10"/>
  <c r="G226" i="10"/>
  <c r="AH93" i="10" l="1"/>
  <c r="AI93" i="10"/>
  <c r="K6" i="10"/>
  <c r="B7" i="10"/>
  <c r="A7" i="10" s="1"/>
  <c r="T241" i="10"/>
  <c r="B85" i="10"/>
  <c r="AI84" i="10"/>
  <c r="AH84" i="10"/>
  <c r="H226" i="10"/>
  <c r="F262" i="10"/>
  <c r="H221" i="10"/>
  <c r="G103" i="10"/>
  <c r="G227" i="10"/>
  <c r="AI85" i="10" l="1"/>
  <c r="AH85" i="10"/>
  <c r="G262" i="10"/>
  <c r="I226" i="10"/>
  <c r="I221" i="10"/>
  <c r="H227" i="10"/>
  <c r="H103" i="10"/>
  <c r="I227" i="10" l="1"/>
  <c r="I103" i="10"/>
  <c r="J221" i="10"/>
  <c r="H262" i="10"/>
  <c r="J226" i="10"/>
  <c r="K226" i="10" l="1"/>
  <c r="I262" i="10"/>
  <c r="J103" i="10"/>
  <c r="J227" i="10"/>
  <c r="K221" i="10"/>
  <c r="J262" i="10" l="1"/>
  <c r="L226" i="10"/>
  <c r="K103" i="10"/>
  <c r="K227" i="10"/>
  <c r="L221" i="10"/>
  <c r="L227" i="10" l="1"/>
  <c r="M221" i="10"/>
  <c r="L103" i="10"/>
  <c r="K262" i="10"/>
  <c r="M226" i="10"/>
  <c r="L262" i="10" l="1"/>
  <c r="N226" i="10"/>
  <c r="M103" i="10"/>
  <c r="M227" i="10"/>
  <c r="N221" i="10"/>
  <c r="O221" i="10" l="1"/>
  <c r="N103" i="10"/>
  <c r="N227" i="10"/>
  <c r="M262" i="10"/>
  <c r="O226" i="10"/>
  <c r="N262" i="10" l="1"/>
  <c r="P226" i="10"/>
  <c r="O262" i="10" s="1"/>
  <c r="P221" i="10"/>
  <c r="O103" i="10"/>
  <c r="O227" i="10"/>
  <c r="P103" i="10" l="1"/>
  <c r="P227" i="10"/>
  <c r="AI103" i="10" l="1"/>
  <c r="AH103" i="10"/>
  <c r="C39" i="9" l="1"/>
  <c r="B39" i="9"/>
  <c r="AF263" i="9"/>
  <c r="AE263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AF262" i="9"/>
  <c r="AE262" i="9"/>
  <c r="AD262" i="9"/>
  <c r="AC262" i="9"/>
  <c r="AB262" i="9"/>
  <c r="AA262" i="9"/>
  <c r="Z262" i="9"/>
  <c r="Y262" i="9"/>
  <c r="X262" i="9"/>
  <c r="W262" i="9"/>
  <c r="V262" i="9"/>
  <c r="U262" i="9"/>
  <c r="T262" i="9"/>
  <c r="S262" i="9"/>
  <c r="R262" i="9"/>
  <c r="Q262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C259" i="9"/>
  <c r="B259" i="9"/>
  <c r="S234" i="9"/>
  <c r="AG224" i="9"/>
  <c r="AG57" i="9" s="1"/>
  <c r="AG58" i="9" s="1"/>
  <c r="AG3" i="9" s="1"/>
  <c r="AF224" i="9"/>
  <c r="AE224" i="9"/>
  <c r="AD224" i="9"/>
  <c r="AC224" i="9"/>
  <c r="AB224" i="9"/>
  <c r="AA224" i="9"/>
  <c r="Z224" i="9"/>
  <c r="Y224" i="9"/>
  <c r="X224" i="9"/>
  <c r="W224" i="9"/>
  <c r="V224" i="9"/>
  <c r="U224" i="9"/>
  <c r="T224" i="9"/>
  <c r="S224" i="9"/>
  <c r="R224" i="9"/>
  <c r="Q224" i="9"/>
  <c r="C224" i="9"/>
  <c r="E223" i="9"/>
  <c r="D259" i="9" s="1"/>
  <c r="D223" i="9"/>
  <c r="B223" i="9"/>
  <c r="AF259" i="9" s="1"/>
  <c r="D222" i="9"/>
  <c r="E222" i="9" s="1"/>
  <c r="F222" i="9" s="1"/>
  <c r="G222" i="9" s="1"/>
  <c r="H222" i="9" s="1"/>
  <c r="I222" i="9" s="1"/>
  <c r="J222" i="9" s="1"/>
  <c r="K222" i="9" s="1"/>
  <c r="L222" i="9" s="1"/>
  <c r="M222" i="9" s="1"/>
  <c r="N222" i="9" s="1"/>
  <c r="O222" i="9" s="1"/>
  <c r="P222" i="9" s="1"/>
  <c r="B222" i="9"/>
  <c r="D221" i="9"/>
  <c r="D224" i="9" s="1"/>
  <c r="B221" i="9"/>
  <c r="D220" i="9"/>
  <c r="E220" i="9" s="1"/>
  <c r="F220" i="9" s="1"/>
  <c r="G220" i="9" s="1"/>
  <c r="H220" i="9" s="1"/>
  <c r="I220" i="9" s="1"/>
  <c r="J220" i="9" s="1"/>
  <c r="K220" i="9" s="1"/>
  <c r="L220" i="9" s="1"/>
  <c r="M220" i="9" s="1"/>
  <c r="N220" i="9" s="1"/>
  <c r="O220" i="9" s="1"/>
  <c r="P220" i="9" s="1"/>
  <c r="B220" i="9"/>
  <c r="D219" i="9"/>
  <c r="E219" i="9" s="1"/>
  <c r="F219" i="9" s="1"/>
  <c r="G219" i="9" s="1"/>
  <c r="H219" i="9" s="1"/>
  <c r="I219" i="9" s="1"/>
  <c r="J219" i="9" s="1"/>
  <c r="K219" i="9" s="1"/>
  <c r="L219" i="9" s="1"/>
  <c r="M219" i="9" s="1"/>
  <c r="N219" i="9" s="1"/>
  <c r="O219" i="9" s="1"/>
  <c r="P219" i="9" s="1"/>
  <c r="B219" i="9"/>
  <c r="F218" i="9"/>
  <c r="G218" i="9" s="1"/>
  <c r="E218" i="9"/>
  <c r="D218" i="9"/>
  <c r="B218" i="9"/>
  <c r="AG216" i="9"/>
  <c r="AF216" i="9"/>
  <c r="AE216" i="9"/>
  <c r="AD216" i="9"/>
  <c r="AC216" i="9"/>
  <c r="AB216" i="9"/>
  <c r="AA216" i="9"/>
  <c r="Z216" i="9"/>
  <c r="Y216" i="9"/>
  <c r="X216" i="9"/>
  <c r="W216" i="9"/>
  <c r="V216" i="9"/>
  <c r="U216" i="9"/>
  <c r="T216" i="9"/>
  <c r="S216" i="9"/>
  <c r="R216" i="9"/>
  <c r="Q216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I109" i="9"/>
  <c r="AH109" i="9"/>
  <c r="AI108" i="9"/>
  <c r="AH108" i="9"/>
  <c r="AI107" i="9"/>
  <c r="AH107" i="9"/>
  <c r="AI106" i="9"/>
  <c r="AH106" i="9"/>
  <c r="AI105" i="9"/>
  <c r="AH105" i="9"/>
  <c r="AI104" i="9"/>
  <c r="AH104" i="9"/>
  <c r="AI103" i="9"/>
  <c r="AH103" i="9"/>
  <c r="AI102" i="9"/>
  <c r="AH102" i="9"/>
  <c r="AI101" i="9"/>
  <c r="AH101" i="9"/>
  <c r="AF100" i="9"/>
  <c r="AE100" i="9"/>
  <c r="AD100" i="9"/>
  <c r="AC100" i="9"/>
  <c r="AB100" i="9"/>
  <c r="AA100" i="9"/>
  <c r="Z100" i="9"/>
  <c r="Y100" i="9"/>
  <c r="W100" i="9"/>
  <c r="V100" i="9"/>
  <c r="U100" i="9"/>
  <c r="T100" i="9"/>
  <c r="S100" i="9"/>
  <c r="R100" i="9"/>
  <c r="E100" i="9"/>
  <c r="D100" i="9"/>
  <c r="C100" i="9"/>
  <c r="B100" i="9"/>
  <c r="AI99" i="9"/>
  <c r="AH99" i="9"/>
  <c r="AI98" i="9"/>
  <c r="AH98" i="9"/>
  <c r="AI97" i="9"/>
  <c r="AH97" i="9"/>
  <c r="AI96" i="9"/>
  <c r="AH96" i="9"/>
  <c r="AI95" i="9"/>
  <c r="AH95" i="9"/>
  <c r="AI94" i="9"/>
  <c r="AH94" i="9"/>
  <c r="AI93" i="9"/>
  <c r="AH93" i="9"/>
  <c r="AI92" i="9"/>
  <c r="AH92" i="9"/>
  <c r="AI91" i="9"/>
  <c r="AH91" i="9"/>
  <c r="AI88" i="9"/>
  <c r="AH88" i="9"/>
  <c r="AF87" i="9"/>
  <c r="AE87" i="9"/>
  <c r="AD87" i="9"/>
  <c r="AC87" i="9"/>
  <c r="AB87" i="9"/>
  <c r="AA87" i="9"/>
  <c r="Z87" i="9"/>
  <c r="Y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F86" i="9"/>
  <c r="AE86" i="9"/>
  <c r="AD86" i="9"/>
  <c r="AC86" i="9"/>
  <c r="AB86" i="9"/>
  <c r="AA86" i="9"/>
  <c r="Z86" i="9"/>
  <c r="Y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F85" i="9"/>
  <c r="AE85" i="9"/>
  <c r="AD85" i="9"/>
  <c r="AC85" i="9"/>
  <c r="AB85" i="9"/>
  <c r="AA85" i="9"/>
  <c r="Z85" i="9"/>
  <c r="Y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F84" i="9"/>
  <c r="AE84" i="9"/>
  <c r="AD84" i="9"/>
  <c r="AC84" i="9"/>
  <c r="AB84" i="9"/>
  <c r="AA84" i="9"/>
  <c r="Z84" i="9"/>
  <c r="Y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F83" i="9"/>
  <c r="AE83" i="9"/>
  <c r="AD83" i="9"/>
  <c r="AC83" i="9"/>
  <c r="AC89" i="9" s="1"/>
  <c r="AB83" i="9"/>
  <c r="AB89" i="9" s="1"/>
  <c r="AA83" i="9"/>
  <c r="AA89" i="9" s="1"/>
  <c r="Z83" i="9"/>
  <c r="Y83" i="9"/>
  <c r="W83" i="9"/>
  <c r="V83" i="9"/>
  <c r="U83" i="9"/>
  <c r="T83" i="9"/>
  <c r="S83" i="9"/>
  <c r="R83" i="9"/>
  <c r="Q83" i="9"/>
  <c r="P83" i="9"/>
  <c r="O83" i="9"/>
  <c r="N83" i="9"/>
  <c r="N89" i="9" s="1"/>
  <c r="M83" i="9"/>
  <c r="L83" i="9"/>
  <c r="L89" i="9" s="1"/>
  <c r="K83" i="9"/>
  <c r="J83" i="9"/>
  <c r="I83" i="9"/>
  <c r="H83" i="9"/>
  <c r="G83" i="9"/>
  <c r="F83" i="9"/>
  <c r="E83" i="9"/>
  <c r="D83" i="9"/>
  <c r="C83" i="9"/>
  <c r="B83" i="9"/>
  <c r="AI80" i="9"/>
  <c r="AH80" i="9"/>
  <c r="AI78" i="9"/>
  <c r="AH78" i="9"/>
  <c r="AG78" i="9"/>
  <c r="AI77" i="9"/>
  <c r="AH77" i="9"/>
  <c r="AI76" i="9"/>
  <c r="AH76" i="9"/>
  <c r="AI75" i="9"/>
  <c r="AH75" i="9"/>
  <c r="AG74" i="9"/>
  <c r="AF74" i="9"/>
  <c r="AE5" i="9" s="1"/>
  <c r="AE74" i="9"/>
  <c r="AD5" i="9" s="1"/>
  <c r="AD74" i="9"/>
  <c r="AC5" i="9" s="1"/>
  <c r="AC74" i="9"/>
  <c r="AB74" i="9"/>
  <c r="AA5" i="9" s="1"/>
  <c r="AA74" i="9"/>
  <c r="Z5" i="9" s="1"/>
  <c r="Z74" i="9"/>
  <c r="Y5" i="9" s="1"/>
  <c r="Y74" i="9"/>
  <c r="X5" i="9" s="1"/>
  <c r="W74" i="9"/>
  <c r="V5" i="9" s="1"/>
  <c r="V74" i="9"/>
  <c r="U74" i="9"/>
  <c r="T74" i="9"/>
  <c r="S5" i="9" s="1"/>
  <c r="S74" i="9"/>
  <c r="R5" i="9" s="1"/>
  <c r="R74" i="9"/>
  <c r="Q74" i="9"/>
  <c r="P5" i="9" s="1"/>
  <c r="P74" i="9"/>
  <c r="O74" i="9"/>
  <c r="N5" i="9" s="1"/>
  <c r="N74" i="9"/>
  <c r="M5" i="9" s="1"/>
  <c r="M74" i="9"/>
  <c r="L74" i="9"/>
  <c r="K74" i="9"/>
  <c r="J5" i="9" s="1"/>
  <c r="J74" i="9"/>
  <c r="I74" i="9"/>
  <c r="H5" i="9" s="1"/>
  <c r="H74" i="9"/>
  <c r="G74" i="9"/>
  <c r="F5" i="9" s="1"/>
  <c r="F74" i="9"/>
  <c r="E74" i="9"/>
  <c r="D74" i="9"/>
  <c r="C74" i="9"/>
  <c r="B5" i="9" s="1"/>
  <c r="B74" i="9"/>
  <c r="AF5" i="9" s="1"/>
  <c r="AI73" i="9"/>
  <c r="AH73" i="9"/>
  <c r="AI72" i="9"/>
  <c r="AH72" i="9"/>
  <c r="AI71" i="9"/>
  <c r="AH71" i="9"/>
  <c r="AI70" i="9"/>
  <c r="AH70" i="9"/>
  <c r="AI69" i="9"/>
  <c r="AH69" i="9"/>
  <c r="AI68" i="9"/>
  <c r="AH68" i="9"/>
  <c r="AI67" i="9"/>
  <c r="AH67" i="9"/>
  <c r="AI66" i="9"/>
  <c r="AH66" i="9"/>
  <c r="AI65" i="9"/>
  <c r="AH65" i="9"/>
  <c r="AI64" i="9"/>
  <c r="AH64" i="9"/>
  <c r="AI63" i="9"/>
  <c r="AH63" i="9"/>
  <c r="AG62" i="9"/>
  <c r="AF62" i="9"/>
  <c r="AE62" i="9"/>
  <c r="AD62" i="9"/>
  <c r="AC62" i="9"/>
  <c r="AB62" i="9"/>
  <c r="AA62" i="9"/>
  <c r="Z62" i="9"/>
  <c r="Y62" i="9"/>
  <c r="W62" i="9"/>
  <c r="V62" i="9"/>
  <c r="U62" i="9"/>
  <c r="T62" i="9"/>
  <c r="R62" i="9"/>
  <c r="Q62" i="9"/>
  <c r="P62" i="9"/>
  <c r="O62" i="9"/>
  <c r="N62" i="9"/>
  <c r="M62" i="9"/>
  <c r="L62" i="9"/>
  <c r="K62" i="9"/>
  <c r="J62" i="9"/>
  <c r="I62" i="9"/>
  <c r="G62" i="9"/>
  <c r="F62" i="9"/>
  <c r="E62" i="9"/>
  <c r="D62" i="9"/>
  <c r="C62" i="9"/>
  <c r="B62" i="9"/>
  <c r="AI61" i="9"/>
  <c r="AH61" i="9"/>
  <c r="AI60" i="9"/>
  <c r="AH60" i="9"/>
  <c r="AI59" i="9"/>
  <c r="AH59" i="9"/>
  <c r="AF58" i="9"/>
  <c r="AE58" i="9"/>
  <c r="AD58" i="9"/>
  <c r="AC58" i="9"/>
  <c r="AB58" i="9"/>
  <c r="AA58" i="9"/>
  <c r="Z58" i="9"/>
  <c r="Y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G44" i="9"/>
  <c r="AF44" i="9"/>
  <c r="AE44" i="9"/>
  <c r="AD44" i="9"/>
  <c r="AC44" i="9"/>
  <c r="AB44" i="9"/>
  <c r="AA44" i="9"/>
  <c r="Z44" i="9"/>
  <c r="Y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I43" i="9"/>
  <c r="AH43" i="9"/>
  <c r="AI42" i="9"/>
  <c r="AH42" i="9"/>
  <c r="AI41" i="9"/>
  <c r="AH41" i="9"/>
  <c r="AG40" i="9"/>
  <c r="AG79" i="9" s="1"/>
  <c r="AF40" i="9"/>
  <c r="AE40" i="9"/>
  <c r="AD40" i="9"/>
  <c r="AC40" i="9"/>
  <c r="AB40" i="9"/>
  <c r="AA40" i="9"/>
  <c r="AA79" i="9" s="1"/>
  <c r="AA81" i="9" s="1"/>
  <c r="Z40" i="9"/>
  <c r="Y40" i="9"/>
  <c r="W40" i="9"/>
  <c r="W79" i="9" s="1"/>
  <c r="W81" i="9" s="1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F40" i="9"/>
  <c r="E40" i="9"/>
  <c r="D40" i="9"/>
  <c r="C40" i="9"/>
  <c r="B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W5" i="9"/>
  <c r="AG4" i="9"/>
  <c r="K4" i="9"/>
  <c r="B4" i="9"/>
  <c r="S235" i="9" s="1"/>
  <c r="AG2" i="9"/>
  <c r="AF39" i="8"/>
  <c r="AE39" i="8"/>
  <c r="AD39" i="8"/>
  <c r="AA40" i="8"/>
  <c r="AA39" i="8"/>
  <c r="Z39" i="8"/>
  <c r="W39" i="8"/>
  <c r="U103" i="8"/>
  <c r="U39" i="8"/>
  <c r="E4" i="9"/>
  <c r="B224" i="9" l="1"/>
  <c r="AF89" i="9"/>
  <c r="AF90" i="9" s="1"/>
  <c r="AF79" i="9"/>
  <c r="AF81" i="9" s="1"/>
  <c r="AF7" i="9" s="1"/>
  <c r="AE79" i="9"/>
  <c r="AE81" i="9" s="1"/>
  <c r="AD79" i="9"/>
  <c r="AD81" i="9" s="1"/>
  <c r="AD7" i="9" s="1"/>
  <c r="AC79" i="9"/>
  <c r="AC81" i="9" s="1"/>
  <c r="AU238" i="9" s="1"/>
  <c r="AB79" i="9"/>
  <c r="AB81" i="9" s="1"/>
  <c r="AB7" i="9" s="1"/>
  <c r="Z79" i="9"/>
  <c r="Z81" i="9" s="1"/>
  <c r="Z7" i="9" s="1"/>
  <c r="Y79" i="9"/>
  <c r="Y81" i="9" s="1"/>
  <c r="Y7" i="9" s="1"/>
  <c r="AE89" i="9"/>
  <c r="AE90" i="9" s="1"/>
  <c r="AG81" i="9"/>
  <c r="E89" i="9"/>
  <c r="M89" i="9"/>
  <c r="M90" i="9" s="1"/>
  <c r="AD89" i="9"/>
  <c r="AD90" i="9" s="1"/>
  <c r="Y89" i="9"/>
  <c r="Y90" i="9" s="1"/>
  <c r="AG6" i="9"/>
  <c r="AB90" i="9"/>
  <c r="Z89" i="9"/>
  <c r="Z90" i="9" s="1"/>
  <c r="AA90" i="9"/>
  <c r="S89" i="9"/>
  <c r="W89" i="9"/>
  <c r="U5" i="9"/>
  <c r="V89" i="9"/>
  <c r="V90" i="9" s="1"/>
  <c r="V79" i="9"/>
  <c r="V81" i="9" s="1"/>
  <c r="AN238" i="9" s="1"/>
  <c r="U89" i="9"/>
  <c r="U79" i="9"/>
  <c r="U81" i="9" s="1"/>
  <c r="U7" i="9" s="1"/>
  <c r="T89" i="9"/>
  <c r="T90" i="9"/>
  <c r="T79" i="9"/>
  <c r="T81" i="9" s="1"/>
  <c r="T7" i="9" s="1"/>
  <c r="S90" i="9"/>
  <c r="S79" i="9"/>
  <c r="S81" i="9" s="1"/>
  <c r="AK238" i="9" s="1"/>
  <c r="Q5" i="9"/>
  <c r="R89" i="9"/>
  <c r="R90" i="9" s="1"/>
  <c r="R79" i="9"/>
  <c r="R81" i="9" s="1"/>
  <c r="R82" i="9" s="1"/>
  <c r="Q79" i="9"/>
  <c r="Q81" i="9" s="1"/>
  <c r="Q82" i="9" s="1"/>
  <c r="Q89" i="9"/>
  <c r="Q90" i="9" s="1"/>
  <c r="O5" i="9"/>
  <c r="P89" i="9"/>
  <c r="P90" i="9" s="1"/>
  <c r="P79" i="9"/>
  <c r="P81" i="9" s="1"/>
  <c r="AH238" i="9" s="1"/>
  <c r="O89" i="9"/>
  <c r="O79" i="9"/>
  <c r="O81" i="9" s="1"/>
  <c r="AG238" i="9" s="1"/>
  <c r="N90" i="9"/>
  <c r="N79" i="9"/>
  <c r="N81" i="9" s="1"/>
  <c r="N7" i="9" s="1"/>
  <c r="M79" i="9"/>
  <c r="M81" i="9" s="1"/>
  <c r="M7" i="9" s="1"/>
  <c r="L90" i="9"/>
  <c r="K5" i="9"/>
  <c r="L79" i="9"/>
  <c r="L81" i="9" s="1"/>
  <c r="L82" i="9" s="1"/>
  <c r="K89" i="9"/>
  <c r="K90" i="9" s="1"/>
  <c r="K79" i="9"/>
  <c r="K81" i="9" s="1"/>
  <c r="K7" i="9" s="1"/>
  <c r="I5" i="9"/>
  <c r="J89" i="9"/>
  <c r="J90" i="9" s="1"/>
  <c r="J79" i="9"/>
  <c r="J81" i="9" s="1"/>
  <c r="AB238" i="9" s="1"/>
  <c r="I89" i="9"/>
  <c r="I90" i="9" s="1"/>
  <c r="I79" i="9"/>
  <c r="I81" i="9" s="1"/>
  <c r="I7" i="9" s="1"/>
  <c r="G89" i="9"/>
  <c r="G90" i="9" s="1"/>
  <c r="G79" i="9"/>
  <c r="G81" i="9" s="1"/>
  <c r="H89" i="9"/>
  <c r="H90" i="9" s="1"/>
  <c r="G5" i="9"/>
  <c r="H79" i="9"/>
  <c r="H81" i="9" s="1"/>
  <c r="H7" i="9" s="1"/>
  <c r="F89" i="9"/>
  <c r="F90" i="9" s="1"/>
  <c r="E5" i="9"/>
  <c r="F79" i="9"/>
  <c r="F81" i="9" s="1"/>
  <c r="AH84" i="9"/>
  <c r="E79" i="9"/>
  <c r="E81" i="9" s="1"/>
  <c r="E7" i="9" s="1"/>
  <c r="AI44" i="9"/>
  <c r="AI85" i="9"/>
  <c r="AI83" i="9"/>
  <c r="D89" i="9"/>
  <c r="D90" i="9" s="1"/>
  <c r="D79" i="9"/>
  <c r="D81" i="9" s="1"/>
  <c r="D7" i="9" s="1"/>
  <c r="AI87" i="9"/>
  <c r="C5" i="9"/>
  <c r="AI40" i="9"/>
  <c r="AI86" i="9"/>
  <c r="C79" i="9"/>
  <c r="C81" i="9" s="1"/>
  <c r="C89" i="9"/>
  <c r="C90" i="9" s="1"/>
  <c r="AI62" i="9"/>
  <c r="AI58" i="9"/>
  <c r="AH85" i="9"/>
  <c r="H4" i="9"/>
  <c r="AR238" i="9"/>
  <c r="Z82" i="9"/>
  <c r="O90" i="9"/>
  <c r="W90" i="9"/>
  <c r="AA7" i="9"/>
  <c r="AS238" i="9"/>
  <c r="AA82" i="9"/>
  <c r="AL238" i="9"/>
  <c r="T82" i="9"/>
  <c r="H218" i="9"/>
  <c r="Q7" i="9"/>
  <c r="AI238" i="9"/>
  <c r="V7" i="9"/>
  <c r="AV238" i="9"/>
  <c r="AD82" i="9"/>
  <c r="AO238" i="9"/>
  <c r="W82" i="9"/>
  <c r="W7" i="9"/>
  <c r="AW238" i="9"/>
  <c r="AE7" i="9"/>
  <c r="AM238" i="9"/>
  <c r="U82" i="9"/>
  <c r="G82" i="9"/>
  <c r="G7" i="9"/>
  <c r="AP238" i="9"/>
  <c r="AX238" i="9"/>
  <c r="E90" i="9"/>
  <c r="U90" i="9"/>
  <c r="AC90" i="9"/>
  <c r="AH44" i="9"/>
  <c r="D235" i="9"/>
  <c r="B79" i="9"/>
  <c r="AH58" i="9"/>
  <c r="AH62" i="9"/>
  <c r="AH74" i="9"/>
  <c r="AI84" i="9"/>
  <c r="AI74" i="9"/>
  <c r="AH83" i="9"/>
  <c r="B89" i="9"/>
  <c r="F223" i="9"/>
  <c r="F100" i="9" s="1"/>
  <c r="D5" i="9"/>
  <c r="L5" i="9"/>
  <c r="T5" i="9"/>
  <c r="AB5" i="9"/>
  <c r="AH40" i="9"/>
  <c r="AH86" i="9"/>
  <c r="E221" i="9"/>
  <c r="F221" i="9" s="1"/>
  <c r="G221" i="9" s="1"/>
  <c r="H221" i="9" s="1"/>
  <c r="I221" i="9" s="1"/>
  <c r="J221" i="9" s="1"/>
  <c r="K221" i="9" s="1"/>
  <c r="L221" i="9" s="1"/>
  <c r="M221" i="9" s="1"/>
  <c r="N221" i="9" s="1"/>
  <c r="O221" i="9" s="1"/>
  <c r="P221" i="9" s="1"/>
  <c r="AH87" i="9"/>
  <c r="T103" i="8"/>
  <c r="T39" i="8"/>
  <c r="S103" i="8"/>
  <c r="R103" i="8"/>
  <c r="Q103" i="8"/>
  <c r="Q39" i="8"/>
  <c r="P103" i="8"/>
  <c r="P39" i="8"/>
  <c r="AB82" i="9" l="1"/>
  <c r="AT238" i="9"/>
  <c r="C82" i="9"/>
  <c r="AF82" i="9"/>
  <c r="AE82" i="9"/>
  <c r="AC7" i="9"/>
  <c r="AC82" i="9"/>
  <c r="AQ238" i="9"/>
  <c r="Y82" i="9"/>
  <c r="V82" i="9"/>
  <c r="S7" i="9"/>
  <c r="S82" i="9"/>
  <c r="P7" i="9"/>
  <c r="R7" i="9"/>
  <c r="AJ238" i="9"/>
  <c r="P82" i="9"/>
  <c r="O7" i="9"/>
  <c r="O82" i="9"/>
  <c r="N82" i="9"/>
  <c r="AF238" i="9"/>
  <c r="K82" i="9"/>
  <c r="AC238" i="9"/>
  <c r="M82" i="9"/>
  <c r="AE238" i="9"/>
  <c r="AD238" i="9"/>
  <c r="L7" i="9"/>
  <c r="J7" i="9"/>
  <c r="J82" i="9"/>
  <c r="I82" i="9"/>
  <c r="AA238" i="9"/>
  <c r="B233" i="9"/>
  <c r="Y238" i="9"/>
  <c r="C233" i="9"/>
  <c r="H82" i="9"/>
  <c r="Z238" i="9"/>
  <c r="F82" i="9"/>
  <c r="X238" i="9"/>
  <c r="F7" i="9"/>
  <c r="W238" i="9"/>
  <c r="E82" i="9"/>
  <c r="D82" i="9"/>
  <c r="V238" i="9"/>
  <c r="U238" i="9"/>
  <c r="C7" i="9"/>
  <c r="E224" i="9"/>
  <c r="AI89" i="9"/>
  <c r="AH89" i="9"/>
  <c r="AH79" i="9"/>
  <c r="AI79" i="9"/>
  <c r="B81" i="9"/>
  <c r="B90" i="9"/>
  <c r="E259" i="9"/>
  <c r="G223" i="9"/>
  <c r="I218" i="9"/>
  <c r="F224" i="9"/>
  <c r="K6" i="9" l="1"/>
  <c r="B7" i="9"/>
  <c r="A7" i="9" s="1"/>
  <c r="T238" i="9"/>
  <c r="B82" i="9"/>
  <c r="AI81" i="9"/>
  <c r="AH81" i="9"/>
  <c r="J218" i="9"/>
  <c r="F259" i="9"/>
  <c r="H223" i="9"/>
  <c r="G100" i="9"/>
  <c r="AI90" i="9"/>
  <c r="AH90" i="9"/>
  <c r="G224" i="9"/>
  <c r="K218" i="9" l="1"/>
  <c r="AI82" i="9"/>
  <c r="AH82" i="9"/>
  <c r="G259" i="9"/>
  <c r="I223" i="9"/>
  <c r="H100" i="9"/>
  <c r="H224" i="9"/>
  <c r="L218" i="9" l="1"/>
  <c r="H259" i="9"/>
  <c r="J223" i="9"/>
  <c r="I100" i="9"/>
  <c r="I224" i="9"/>
  <c r="K223" i="9" l="1"/>
  <c r="I259" i="9"/>
  <c r="J100" i="9"/>
  <c r="J224" i="9"/>
  <c r="M218" i="9"/>
  <c r="N218" i="9" l="1"/>
  <c r="J259" i="9"/>
  <c r="L223" i="9"/>
  <c r="K100" i="9"/>
  <c r="K224" i="9"/>
  <c r="K259" i="9" l="1"/>
  <c r="M223" i="9"/>
  <c r="L224" i="9"/>
  <c r="L100" i="9"/>
  <c r="O218" i="9"/>
  <c r="P218" i="9" l="1"/>
  <c r="L259" i="9"/>
  <c r="N223" i="9"/>
  <c r="M100" i="9"/>
  <c r="M224" i="9"/>
  <c r="O223" i="9" l="1"/>
  <c r="M259" i="9"/>
  <c r="N100" i="9"/>
  <c r="N224" i="9"/>
  <c r="P223" i="9" l="1"/>
  <c r="N259" i="9"/>
  <c r="O100" i="9"/>
  <c r="O224" i="9"/>
  <c r="O39" i="8"/>
  <c r="N103" i="8"/>
  <c r="N39" i="8"/>
  <c r="O259" i="9" l="1"/>
  <c r="P100" i="9"/>
  <c r="P224" i="9"/>
  <c r="AH100" i="9" l="1"/>
  <c r="AI100" i="9"/>
  <c r="M103" i="8" l="1"/>
  <c r="M39" i="8"/>
  <c r="L103" i="8"/>
  <c r="L39" i="8"/>
  <c r="K103" i="8"/>
  <c r="K39" i="8"/>
  <c r="J103" i="8"/>
  <c r="J39" i="8"/>
  <c r="I39" i="8"/>
  <c r="I103" i="8"/>
  <c r="H103" i="8"/>
  <c r="H39" i="8"/>
  <c r="G103" i="8"/>
  <c r="G39" i="8"/>
  <c r="F103" i="8"/>
  <c r="F39" i="8"/>
  <c r="E103" i="8"/>
  <c r="E39" i="8"/>
  <c r="D103" i="8"/>
  <c r="D39" i="8"/>
  <c r="C103" i="8"/>
  <c r="C39" i="8"/>
  <c r="B103" i="8"/>
  <c r="AI103" i="8" s="1"/>
  <c r="AF263" i="8"/>
  <c r="AE263" i="8"/>
  <c r="AD263" i="8"/>
  <c r="AC263" i="8"/>
  <c r="AB263" i="8"/>
  <c r="AA263" i="8"/>
  <c r="Z263" i="8"/>
  <c r="Y263" i="8"/>
  <c r="X263" i="8"/>
  <c r="W263" i="8"/>
  <c r="V263" i="8"/>
  <c r="U263" i="8"/>
  <c r="T263" i="8"/>
  <c r="S263" i="8"/>
  <c r="R263" i="8"/>
  <c r="Q263" i="8"/>
  <c r="P263" i="8"/>
  <c r="O263" i="8"/>
  <c r="N263" i="8"/>
  <c r="M263" i="8"/>
  <c r="L263" i="8"/>
  <c r="K263" i="8"/>
  <c r="J263" i="8"/>
  <c r="I263" i="8"/>
  <c r="H263" i="8"/>
  <c r="G263" i="8"/>
  <c r="F263" i="8"/>
  <c r="E263" i="8"/>
  <c r="D263" i="8"/>
  <c r="C263" i="8"/>
  <c r="B263" i="8"/>
  <c r="A263" i="8"/>
  <c r="AF262" i="8"/>
  <c r="AE262" i="8"/>
  <c r="AD262" i="8"/>
  <c r="AC262" i="8"/>
  <c r="AB262" i="8"/>
  <c r="AA262" i="8"/>
  <c r="Z262" i="8"/>
  <c r="Y262" i="8"/>
  <c r="X262" i="8"/>
  <c r="W262" i="8"/>
  <c r="V262" i="8"/>
  <c r="U262" i="8"/>
  <c r="T262" i="8"/>
  <c r="S262" i="8"/>
  <c r="R262" i="8"/>
  <c r="Q262" i="8"/>
  <c r="P262" i="8"/>
  <c r="O262" i="8"/>
  <c r="N262" i="8"/>
  <c r="M262" i="8"/>
  <c r="L262" i="8"/>
  <c r="K262" i="8"/>
  <c r="J262" i="8"/>
  <c r="I262" i="8"/>
  <c r="H262" i="8"/>
  <c r="G262" i="8"/>
  <c r="F262" i="8"/>
  <c r="E262" i="8"/>
  <c r="D262" i="8"/>
  <c r="C262" i="8"/>
  <c r="B262" i="8"/>
  <c r="A262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A261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A260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B259" i="8"/>
  <c r="S234" i="8"/>
  <c r="AG224" i="8"/>
  <c r="AG57" i="8" s="1"/>
  <c r="AF224" i="8"/>
  <c r="AE224" i="8"/>
  <c r="AD224" i="8"/>
  <c r="AC224" i="8"/>
  <c r="AB224" i="8"/>
  <c r="AA224" i="8"/>
  <c r="Z224" i="8"/>
  <c r="Y224" i="8"/>
  <c r="X224" i="8"/>
  <c r="W224" i="8"/>
  <c r="V224" i="8"/>
  <c r="U224" i="8"/>
  <c r="T224" i="8"/>
  <c r="S224" i="8"/>
  <c r="R224" i="8"/>
  <c r="Q224" i="8"/>
  <c r="C224" i="8"/>
  <c r="F223" i="8"/>
  <c r="E259" i="8" s="1"/>
  <c r="E223" i="8"/>
  <c r="D259" i="8" s="1"/>
  <c r="D223" i="8"/>
  <c r="C259" i="8" s="1"/>
  <c r="B223" i="8"/>
  <c r="AF259" i="8" s="1"/>
  <c r="E222" i="8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D222" i="8"/>
  <c r="B222" i="8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B221" i="8"/>
  <c r="E220" i="8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D220" i="8"/>
  <c r="B220" i="8"/>
  <c r="E219" i="8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D219" i="8"/>
  <c r="B219" i="8"/>
  <c r="D218" i="8"/>
  <c r="E218" i="8" s="1"/>
  <c r="E100" i="8" s="1"/>
  <c r="B218" i="8"/>
  <c r="AG216" i="8"/>
  <c r="AF216" i="8"/>
  <c r="AE216" i="8"/>
  <c r="AD216" i="8"/>
  <c r="AC216" i="8"/>
  <c r="AB216" i="8"/>
  <c r="AA216" i="8"/>
  <c r="Z216" i="8"/>
  <c r="Y216" i="8"/>
  <c r="X216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B216" i="8"/>
  <c r="AI109" i="8"/>
  <c r="AH109" i="8"/>
  <c r="AI108" i="8"/>
  <c r="AH108" i="8"/>
  <c r="AI107" i="8"/>
  <c r="AH107" i="8"/>
  <c r="AI106" i="8"/>
  <c r="AH106" i="8"/>
  <c r="AI105" i="8"/>
  <c r="AH105" i="8"/>
  <c r="AI104" i="8"/>
  <c r="AH104" i="8"/>
  <c r="AI102" i="8"/>
  <c r="AH102" i="8"/>
  <c r="AI101" i="8"/>
  <c r="AH101" i="8"/>
  <c r="AF100" i="8"/>
  <c r="AE100" i="8"/>
  <c r="AD100" i="8"/>
  <c r="AC100" i="8"/>
  <c r="AB100" i="8"/>
  <c r="AA100" i="8"/>
  <c r="Z100" i="8"/>
  <c r="Y100" i="8"/>
  <c r="W100" i="8"/>
  <c r="V100" i="8"/>
  <c r="U100" i="8"/>
  <c r="T100" i="8"/>
  <c r="S100" i="8"/>
  <c r="R100" i="8"/>
  <c r="Q100" i="8"/>
  <c r="C100" i="8"/>
  <c r="AI99" i="8"/>
  <c r="AH99" i="8"/>
  <c r="AI98" i="8"/>
  <c r="AH98" i="8"/>
  <c r="AI97" i="8"/>
  <c r="AH97" i="8"/>
  <c r="AI96" i="8"/>
  <c r="AH96" i="8"/>
  <c r="AI95" i="8"/>
  <c r="AH95" i="8"/>
  <c r="AI94" i="8"/>
  <c r="AH94" i="8"/>
  <c r="AI93" i="8"/>
  <c r="AH93" i="8"/>
  <c r="AI92" i="8"/>
  <c r="AH92" i="8"/>
  <c r="AI91" i="8"/>
  <c r="AH91" i="8"/>
  <c r="AI88" i="8"/>
  <c r="AH88" i="8"/>
  <c r="AF87" i="8"/>
  <c r="AE87" i="8"/>
  <c r="AD87" i="8"/>
  <c r="AC87" i="8"/>
  <c r="AB87" i="8"/>
  <c r="AA87" i="8"/>
  <c r="Z87" i="8"/>
  <c r="Y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F86" i="8"/>
  <c r="AE86" i="8"/>
  <c r="AD86" i="8"/>
  <c r="AC86" i="8"/>
  <c r="AB86" i="8"/>
  <c r="AA86" i="8"/>
  <c r="Z86" i="8"/>
  <c r="Y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F85" i="8"/>
  <c r="AE85" i="8"/>
  <c r="AD85" i="8"/>
  <c r="AC85" i="8"/>
  <c r="AB85" i="8"/>
  <c r="AA85" i="8"/>
  <c r="Z85" i="8"/>
  <c r="Y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F84" i="8"/>
  <c r="AE84" i="8"/>
  <c r="AD84" i="8"/>
  <c r="AC84" i="8"/>
  <c r="AB84" i="8"/>
  <c r="AA84" i="8"/>
  <c r="Z84" i="8"/>
  <c r="Y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F83" i="8"/>
  <c r="AE83" i="8"/>
  <c r="AD83" i="8"/>
  <c r="AC83" i="8"/>
  <c r="AB83" i="8"/>
  <c r="AA83" i="8"/>
  <c r="Z83" i="8"/>
  <c r="Y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I80" i="8"/>
  <c r="AH80" i="8"/>
  <c r="AI78" i="8"/>
  <c r="AH78" i="8"/>
  <c r="AG78" i="8"/>
  <c r="AI77" i="8"/>
  <c r="AH77" i="8"/>
  <c r="AI76" i="8"/>
  <c r="AH76" i="8"/>
  <c r="AI75" i="8"/>
  <c r="AH75" i="8"/>
  <c r="AG74" i="8"/>
  <c r="AF74" i="8"/>
  <c r="AE5" i="8" s="1"/>
  <c r="AE74" i="8"/>
  <c r="AD5" i="8" s="1"/>
  <c r="AD74" i="8"/>
  <c r="AC5" i="8" s="1"/>
  <c r="AC74" i="8"/>
  <c r="AB5" i="8" s="1"/>
  <c r="AB74" i="8"/>
  <c r="AA74" i="8"/>
  <c r="Z74" i="8"/>
  <c r="Y5" i="8" s="1"/>
  <c r="Y74" i="8"/>
  <c r="X5" i="8" s="1"/>
  <c r="W5" i="8"/>
  <c r="W74" i="8"/>
  <c r="V5" i="8" s="1"/>
  <c r="V74" i="8"/>
  <c r="U5" i="8" s="1"/>
  <c r="U74" i="8"/>
  <c r="T5" i="8" s="1"/>
  <c r="T74" i="8"/>
  <c r="S74" i="8"/>
  <c r="R5" i="8" s="1"/>
  <c r="R74" i="8"/>
  <c r="Q5" i="8" s="1"/>
  <c r="Q74" i="8"/>
  <c r="P5" i="8" s="1"/>
  <c r="P74" i="8"/>
  <c r="O5" i="8" s="1"/>
  <c r="O74" i="8"/>
  <c r="N5" i="8" s="1"/>
  <c r="N74" i="8"/>
  <c r="M5" i="8" s="1"/>
  <c r="M74" i="8"/>
  <c r="L5" i="8" s="1"/>
  <c r="L74" i="8"/>
  <c r="K5" i="8" s="1"/>
  <c r="K74" i="8"/>
  <c r="J5" i="8" s="1"/>
  <c r="J74" i="8"/>
  <c r="I5" i="8" s="1"/>
  <c r="I74" i="8"/>
  <c r="H74" i="8"/>
  <c r="G5" i="8" s="1"/>
  <c r="G74" i="8"/>
  <c r="F5" i="8" s="1"/>
  <c r="F74" i="8"/>
  <c r="E5" i="8" s="1"/>
  <c r="E74" i="8"/>
  <c r="D5" i="8" s="1"/>
  <c r="D74" i="8"/>
  <c r="C74" i="8"/>
  <c r="B74" i="8"/>
  <c r="AI73" i="8"/>
  <c r="AH73" i="8"/>
  <c r="AI72" i="8"/>
  <c r="AH72" i="8"/>
  <c r="AI71" i="8"/>
  <c r="AH71" i="8"/>
  <c r="AI70" i="8"/>
  <c r="AH70" i="8"/>
  <c r="AI69" i="8"/>
  <c r="AH69" i="8"/>
  <c r="AI68" i="8"/>
  <c r="AH68" i="8"/>
  <c r="AI67" i="8"/>
  <c r="AH67" i="8"/>
  <c r="AI66" i="8"/>
  <c r="AH66" i="8"/>
  <c r="AI65" i="8"/>
  <c r="AH65" i="8"/>
  <c r="AI64" i="8"/>
  <c r="AH64" i="8"/>
  <c r="AI63" i="8"/>
  <c r="AH63" i="8"/>
  <c r="AG62" i="8"/>
  <c r="AG4" i="8" s="1"/>
  <c r="AF62" i="8"/>
  <c r="AE62" i="8"/>
  <c r="AD62" i="8"/>
  <c r="AC62" i="8"/>
  <c r="AB62" i="8"/>
  <c r="AA62" i="8"/>
  <c r="Z62" i="8"/>
  <c r="Y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I61" i="8"/>
  <c r="AH61" i="8"/>
  <c r="AI60" i="8"/>
  <c r="AH60" i="8"/>
  <c r="AI59" i="8"/>
  <c r="AH59" i="8"/>
  <c r="AG58" i="8"/>
  <c r="AF58" i="8"/>
  <c r="AE58" i="8"/>
  <c r="AD58" i="8"/>
  <c r="AC58" i="8"/>
  <c r="AB58" i="8"/>
  <c r="AA58" i="8"/>
  <c r="Z58" i="8"/>
  <c r="Y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G44" i="8"/>
  <c r="AF44" i="8"/>
  <c r="AE44" i="8"/>
  <c r="AD44" i="8"/>
  <c r="AC44" i="8"/>
  <c r="AB44" i="8"/>
  <c r="AA44" i="8"/>
  <c r="Z44" i="8"/>
  <c r="Y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I43" i="8"/>
  <c r="AH43" i="8"/>
  <c r="AI42" i="8"/>
  <c r="AH42" i="8"/>
  <c r="AI41" i="8"/>
  <c r="AH41" i="8"/>
  <c r="AG40" i="8"/>
  <c r="AF40" i="8"/>
  <c r="AE40" i="8"/>
  <c r="AD40" i="8"/>
  <c r="AC40" i="8"/>
  <c r="AB40" i="8"/>
  <c r="Z40" i="8"/>
  <c r="Y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K4" i="8"/>
  <c r="B4" i="8"/>
  <c r="D235" i="8" s="1"/>
  <c r="AG3" i="8"/>
  <c r="AG2" i="8"/>
  <c r="AF103" i="7"/>
  <c r="AF39" i="7"/>
  <c r="AE103" i="7"/>
  <c r="AE39" i="7"/>
  <c r="AD103" i="7"/>
  <c r="AD39" i="7"/>
  <c r="AC103" i="7"/>
  <c r="AC39" i="7"/>
  <c r="AB103" i="7"/>
  <c r="AB39" i="7"/>
  <c r="Y100" i="7"/>
  <c r="Z100" i="7"/>
  <c r="AA100" i="7"/>
  <c r="S100" i="7"/>
  <c r="T100" i="7"/>
  <c r="U100" i="7"/>
  <c r="V100" i="7"/>
  <c r="W100" i="7"/>
  <c r="X100" i="7"/>
  <c r="E4" i="8"/>
  <c r="G89" i="8" l="1"/>
  <c r="AB89" i="8"/>
  <c r="AB90" i="8" s="1"/>
  <c r="AH103" i="8"/>
  <c r="G223" i="8"/>
  <c r="AH39" i="8"/>
  <c r="AG81" i="8"/>
  <c r="P79" i="8"/>
  <c r="P81" i="8" s="1"/>
  <c r="AH238" i="8" s="1"/>
  <c r="AF79" i="8"/>
  <c r="AF81" i="8" s="1"/>
  <c r="AE89" i="8"/>
  <c r="AE90" i="8"/>
  <c r="AE79" i="8"/>
  <c r="AE81" i="8" s="1"/>
  <c r="AD89" i="8"/>
  <c r="AD90" i="8"/>
  <c r="AD79" i="8"/>
  <c r="AD81" i="8" s="1"/>
  <c r="AV238" i="8" s="1"/>
  <c r="AC79" i="8"/>
  <c r="AC81" i="8" s="1"/>
  <c r="AC7" i="8" s="1"/>
  <c r="AB79" i="8"/>
  <c r="AB81" i="8" s="1"/>
  <c r="AA5" i="8"/>
  <c r="AA89" i="8"/>
  <c r="AA79" i="8"/>
  <c r="AA81" i="8" s="1"/>
  <c r="Z89" i="8"/>
  <c r="Y79" i="8"/>
  <c r="Y81" i="8" s="1"/>
  <c r="AQ238" i="8" s="1"/>
  <c r="W89" i="8"/>
  <c r="W90" i="8" s="1"/>
  <c r="W79" i="8"/>
  <c r="W81" i="8" s="1"/>
  <c r="AP238" i="8"/>
  <c r="Y89" i="8"/>
  <c r="Y90" i="8" s="1"/>
  <c r="V89" i="8"/>
  <c r="V90" i="8" s="1"/>
  <c r="AI62" i="8"/>
  <c r="AH62" i="8"/>
  <c r="V79" i="8"/>
  <c r="V81" i="8" s="1"/>
  <c r="V7" i="8" s="1"/>
  <c r="U79" i="8"/>
  <c r="U81" i="8" s="1"/>
  <c r="T89" i="8"/>
  <c r="T90" i="8" s="1"/>
  <c r="S5" i="8"/>
  <c r="T79" i="8"/>
  <c r="T81" i="8" s="1"/>
  <c r="T7" i="8" s="1"/>
  <c r="S89" i="8"/>
  <c r="S79" i="8"/>
  <c r="S81" i="8" s="1"/>
  <c r="S7" i="8" s="1"/>
  <c r="R89" i="8"/>
  <c r="R90" i="8"/>
  <c r="Q89" i="8"/>
  <c r="Q79" i="8"/>
  <c r="Q81" i="8" s="1"/>
  <c r="O89" i="8"/>
  <c r="O90" i="8" s="1"/>
  <c r="O79" i="8"/>
  <c r="O81" i="8" s="1"/>
  <c r="O82" i="8" s="1"/>
  <c r="N89" i="8"/>
  <c r="N90" i="8" s="1"/>
  <c r="N79" i="8"/>
  <c r="N81" i="8" s="1"/>
  <c r="N82" i="8" s="1"/>
  <c r="M79" i="8"/>
  <c r="M81" i="8" s="1"/>
  <c r="M7" i="8" s="1"/>
  <c r="L89" i="8"/>
  <c r="L90" i="8" s="1"/>
  <c r="L79" i="8"/>
  <c r="L81" i="8" s="1"/>
  <c r="L7" i="8" s="1"/>
  <c r="K89" i="8"/>
  <c r="K90" i="8" s="1"/>
  <c r="K79" i="8"/>
  <c r="K81" i="8" s="1"/>
  <c r="K7" i="8" s="1"/>
  <c r="J89" i="8"/>
  <c r="J90" i="8" s="1"/>
  <c r="I89" i="8"/>
  <c r="I90" i="8"/>
  <c r="H5" i="8"/>
  <c r="H79" i="8"/>
  <c r="H81" i="8" s="1"/>
  <c r="Z238" i="8" s="1"/>
  <c r="AI39" i="8"/>
  <c r="G79" i="8"/>
  <c r="G81" i="8" s="1"/>
  <c r="G90" i="8"/>
  <c r="F89" i="8"/>
  <c r="F90" i="8" s="1"/>
  <c r="F79" i="8"/>
  <c r="F81" i="8" s="1"/>
  <c r="F7" i="8" s="1"/>
  <c r="E79" i="8"/>
  <c r="E81" i="8" s="1"/>
  <c r="E7" i="8" s="1"/>
  <c r="D79" i="8"/>
  <c r="D81" i="8" s="1"/>
  <c r="D7" i="8" s="1"/>
  <c r="C89" i="8"/>
  <c r="C90" i="8" s="1"/>
  <c r="AH84" i="8"/>
  <c r="AH58" i="8"/>
  <c r="C79" i="8"/>
  <c r="C81" i="8" s="1"/>
  <c r="AF5" i="8"/>
  <c r="B89" i="8"/>
  <c r="B90" i="8" s="1"/>
  <c r="AI58" i="8"/>
  <c r="H4" i="8"/>
  <c r="U7" i="8"/>
  <c r="AM238" i="8"/>
  <c r="AO238" i="8"/>
  <c r="W7" i="8"/>
  <c r="AW238" i="8"/>
  <c r="AE7" i="8"/>
  <c r="AE82" i="8"/>
  <c r="AD82" i="8"/>
  <c r="AD7" i="8"/>
  <c r="Y238" i="8"/>
  <c r="G82" i="8"/>
  <c r="G7" i="8"/>
  <c r="AI238" i="8"/>
  <c r="Q82" i="8"/>
  <c r="Q7" i="8"/>
  <c r="AG6" i="8"/>
  <c r="AX238" i="8"/>
  <c r="AF7" i="8"/>
  <c r="AL238" i="8"/>
  <c r="T82" i="8"/>
  <c r="AB82" i="8"/>
  <c r="AB7" i="8"/>
  <c r="AT238" i="8"/>
  <c r="AI40" i="8"/>
  <c r="J79" i="8"/>
  <c r="J81" i="8" s="1"/>
  <c r="R79" i="8"/>
  <c r="R81" i="8" s="1"/>
  <c r="Z79" i="8"/>
  <c r="Z81" i="8" s="1"/>
  <c r="AH40" i="8"/>
  <c r="AI84" i="8"/>
  <c r="AI85" i="8"/>
  <c r="AH74" i="8"/>
  <c r="I79" i="8"/>
  <c r="I81" i="8" s="1"/>
  <c r="E89" i="8"/>
  <c r="E90" i="8" s="1"/>
  <c r="M89" i="8"/>
  <c r="U89" i="8"/>
  <c r="U82" i="8" s="1"/>
  <c r="AC89" i="8"/>
  <c r="AC90" i="8" s="1"/>
  <c r="D89" i="8"/>
  <c r="AH85" i="8"/>
  <c r="H7" i="8"/>
  <c r="S90" i="8"/>
  <c r="AA90" i="8"/>
  <c r="AI74" i="8"/>
  <c r="B100" i="8"/>
  <c r="B224" i="8"/>
  <c r="AG79" i="8"/>
  <c r="Q90" i="8"/>
  <c r="B79" i="8"/>
  <c r="H89" i="8"/>
  <c r="H90" i="8" s="1"/>
  <c r="P89" i="8"/>
  <c r="P90" i="8" s="1"/>
  <c r="AF89" i="8"/>
  <c r="AF82" i="8" s="1"/>
  <c r="Z90" i="8"/>
  <c r="D224" i="8"/>
  <c r="D100" i="8"/>
  <c r="F259" i="8"/>
  <c r="H223" i="8"/>
  <c r="D90" i="8"/>
  <c r="B5" i="8"/>
  <c r="AH83" i="8"/>
  <c r="AI87" i="8"/>
  <c r="F218" i="8"/>
  <c r="E224" i="8"/>
  <c r="S235" i="8"/>
  <c r="C5" i="8"/>
  <c r="Z5" i="8"/>
  <c r="X7" i="8"/>
  <c r="AI44" i="8"/>
  <c r="AH44" i="8"/>
  <c r="AI83" i="8"/>
  <c r="AI86" i="8"/>
  <c r="AH86" i="8"/>
  <c r="AH87" i="8"/>
  <c r="L82" i="8" l="1"/>
  <c r="P7" i="8"/>
  <c r="W82" i="8"/>
  <c r="AS238" i="8"/>
  <c r="AA7" i="8"/>
  <c r="AD238" i="8"/>
  <c r="AU238" i="8"/>
  <c r="AF238" i="8"/>
  <c r="AF90" i="8"/>
  <c r="AC82" i="8"/>
  <c r="AA82" i="8"/>
  <c r="AG238" i="8"/>
  <c r="X238" i="8"/>
  <c r="Y7" i="8"/>
  <c r="Y82" i="8"/>
  <c r="V82" i="8"/>
  <c r="AN238" i="8"/>
  <c r="U90" i="8"/>
  <c r="AK238" i="8"/>
  <c r="S82" i="8"/>
  <c r="P82" i="8"/>
  <c r="O7" i="8"/>
  <c r="AE238" i="8"/>
  <c r="M82" i="8"/>
  <c r="N7" i="8"/>
  <c r="K82" i="8"/>
  <c r="AC238" i="8"/>
  <c r="C233" i="8"/>
  <c r="F82" i="8"/>
  <c r="W238" i="8"/>
  <c r="AH89" i="8"/>
  <c r="V238" i="8"/>
  <c r="D82" i="8"/>
  <c r="C82" i="8"/>
  <c r="C7" i="8"/>
  <c r="U238" i="8"/>
  <c r="G259" i="8"/>
  <c r="I223" i="8"/>
  <c r="AJ238" i="8"/>
  <c r="R82" i="8"/>
  <c r="R7" i="8"/>
  <c r="G218" i="8"/>
  <c r="F224" i="8"/>
  <c r="F100" i="8"/>
  <c r="H82" i="8"/>
  <c r="E82" i="8"/>
  <c r="I7" i="8"/>
  <c r="AA238" i="8"/>
  <c r="I82" i="8"/>
  <c r="AI89" i="8"/>
  <c r="J82" i="8"/>
  <c r="J7" i="8"/>
  <c r="AB238" i="8"/>
  <c r="AI79" i="8"/>
  <c r="AH79" i="8"/>
  <c r="B81" i="8"/>
  <c r="M90" i="8"/>
  <c r="AH90" i="8" s="1"/>
  <c r="Z7" i="8"/>
  <c r="Z82" i="8"/>
  <c r="AR238" i="8"/>
  <c r="B233" i="8"/>
  <c r="K6" i="8" l="1"/>
  <c r="H259" i="8"/>
  <c r="J223" i="8"/>
  <c r="AI90" i="8"/>
  <c r="H218" i="8"/>
  <c r="G224" i="8"/>
  <c r="G100" i="8"/>
  <c r="T238" i="8"/>
  <c r="B7" i="8"/>
  <c r="A7" i="8" s="1"/>
  <c r="B82" i="8"/>
  <c r="AI81" i="8"/>
  <c r="AH81" i="8"/>
  <c r="I218" i="8" l="1"/>
  <c r="H100" i="8"/>
  <c r="H224" i="8"/>
  <c r="K223" i="8"/>
  <c r="I259" i="8"/>
  <c r="AI82" i="8"/>
  <c r="AH82" i="8"/>
  <c r="L223" i="8" l="1"/>
  <c r="J259" i="8"/>
  <c r="I100" i="8"/>
  <c r="I224" i="8"/>
  <c r="J218" i="8"/>
  <c r="J100" i="8" l="1"/>
  <c r="J224" i="8"/>
  <c r="K218" i="8"/>
  <c r="K259" i="8"/>
  <c r="M223" i="8"/>
  <c r="K100" i="8" l="1"/>
  <c r="K224" i="8"/>
  <c r="L218" i="8"/>
  <c r="L259" i="8"/>
  <c r="N223" i="8"/>
  <c r="M259" i="8" l="1"/>
  <c r="O223" i="8"/>
  <c r="L224" i="8"/>
  <c r="L100" i="8"/>
  <c r="M218" i="8"/>
  <c r="N218" i="8" l="1"/>
  <c r="M224" i="8"/>
  <c r="M100" i="8"/>
  <c r="N259" i="8"/>
  <c r="P223" i="8"/>
  <c r="O259" i="8" s="1"/>
  <c r="O218" i="8" l="1"/>
  <c r="N224" i="8"/>
  <c r="N100" i="8"/>
  <c r="P218" i="8" l="1"/>
  <c r="O100" i="8"/>
  <c r="O224" i="8"/>
  <c r="P100" i="8" l="1"/>
  <c r="P224" i="8"/>
  <c r="AH100" i="8" l="1"/>
  <c r="AI100" i="8"/>
  <c r="W40" i="7" l="1"/>
  <c r="W58" i="7"/>
  <c r="R103" i="7" l="1"/>
  <c r="R100" i="7" s="1"/>
  <c r="R39" i="7"/>
  <c r="Q103" i="7"/>
  <c r="Q100" i="7" s="1"/>
  <c r="Q39" i="7"/>
  <c r="P103" i="7"/>
  <c r="P39" i="7"/>
  <c r="O103" i="7"/>
  <c r="O39" i="7"/>
  <c r="N103" i="7"/>
  <c r="N39" i="7"/>
  <c r="M103" i="7"/>
  <c r="M39" i="7"/>
  <c r="L39" i="7"/>
  <c r="K39" i="7"/>
  <c r="J39" i="7"/>
  <c r="AH39" i="7" s="1"/>
  <c r="I39" i="7"/>
  <c r="H39" i="7"/>
  <c r="G39" i="7"/>
  <c r="F39" i="7"/>
  <c r="D103" i="7"/>
  <c r="D39" i="7"/>
  <c r="B103" i="7"/>
  <c r="B100" i="7" s="1"/>
  <c r="C103" i="7"/>
  <c r="AI103" i="7" s="1"/>
  <c r="C39" i="7"/>
  <c r="B87" i="7"/>
  <c r="B86" i="7"/>
  <c r="B85" i="7"/>
  <c r="B84" i="7"/>
  <c r="B83" i="7"/>
  <c r="B74" i="7"/>
  <c r="B62" i="7"/>
  <c r="B58" i="7"/>
  <c r="B44" i="7"/>
  <c r="B40" i="7"/>
  <c r="B39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C259" i="7"/>
  <c r="B259" i="7"/>
  <c r="S234" i="7"/>
  <c r="AG224" i="7"/>
  <c r="AG57" i="7" s="1"/>
  <c r="AG58" i="7" s="1"/>
  <c r="AG3" i="7" s="1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C224" i="7"/>
  <c r="D223" i="7"/>
  <c r="E223" i="7" s="1"/>
  <c r="B223" i="7"/>
  <c r="AF259" i="7" s="1"/>
  <c r="D222" i="7"/>
  <c r="E222" i="7" s="1"/>
  <c r="F222" i="7" s="1"/>
  <c r="G222" i="7" s="1"/>
  <c r="H222" i="7" s="1"/>
  <c r="I222" i="7" s="1"/>
  <c r="J222" i="7" s="1"/>
  <c r="K222" i="7" s="1"/>
  <c r="L222" i="7" s="1"/>
  <c r="M222" i="7" s="1"/>
  <c r="N222" i="7" s="1"/>
  <c r="O222" i="7" s="1"/>
  <c r="P222" i="7" s="1"/>
  <c r="B222" i="7"/>
  <c r="D221" i="7"/>
  <c r="E221" i="7" s="1"/>
  <c r="F221" i="7" s="1"/>
  <c r="G221" i="7" s="1"/>
  <c r="H221" i="7" s="1"/>
  <c r="I221" i="7" s="1"/>
  <c r="J221" i="7" s="1"/>
  <c r="K221" i="7" s="1"/>
  <c r="L221" i="7" s="1"/>
  <c r="M221" i="7" s="1"/>
  <c r="N221" i="7" s="1"/>
  <c r="O221" i="7" s="1"/>
  <c r="P221" i="7" s="1"/>
  <c r="B221" i="7"/>
  <c r="D220" i="7"/>
  <c r="E220" i="7" s="1"/>
  <c r="F220" i="7" s="1"/>
  <c r="G220" i="7" s="1"/>
  <c r="H220" i="7" s="1"/>
  <c r="I220" i="7" s="1"/>
  <c r="J220" i="7" s="1"/>
  <c r="K220" i="7" s="1"/>
  <c r="L220" i="7" s="1"/>
  <c r="M220" i="7" s="1"/>
  <c r="N220" i="7" s="1"/>
  <c r="O220" i="7" s="1"/>
  <c r="P220" i="7" s="1"/>
  <c r="B220" i="7"/>
  <c r="D219" i="7"/>
  <c r="E219" i="7" s="1"/>
  <c r="F219" i="7" s="1"/>
  <c r="G219" i="7" s="1"/>
  <c r="H219" i="7" s="1"/>
  <c r="I219" i="7" s="1"/>
  <c r="J219" i="7" s="1"/>
  <c r="K219" i="7" s="1"/>
  <c r="L219" i="7" s="1"/>
  <c r="M219" i="7" s="1"/>
  <c r="N219" i="7" s="1"/>
  <c r="O219" i="7" s="1"/>
  <c r="P219" i="7" s="1"/>
  <c r="B219" i="7"/>
  <c r="D218" i="7"/>
  <c r="B218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AI109" i="7"/>
  <c r="AH109" i="7"/>
  <c r="AI108" i="7"/>
  <c r="AH108" i="7"/>
  <c r="AI107" i="7"/>
  <c r="AH107" i="7"/>
  <c r="AI106" i="7"/>
  <c r="AH106" i="7"/>
  <c r="AI105" i="7"/>
  <c r="AH105" i="7"/>
  <c r="AI104" i="7"/>
  <c r="AH104" i="7"/>
  <c r="AI102" i="7"/>
  <c r="AH102" i="7"/>
  <c r="AI101" i="7"/>
  <c r="AH101" i="7"/>
  <c r="AF100" i="7"/>
  <c r="AE100" i="7"/>
  <c r="AD100" i="7"/>
  <c r="AC100" i="7"/>
  <c r="AB100" i="7"/>
  <c r="AI99" i="7"/>
  <c r="AH99" i="7"/>
  <c r="AI98" i="7"/>
  <c r="AH98" i="7"/>
  <c r="AI97" i="7"/>
  <c r="AH97" i="7"/>
  <c r="AI96" i="7"/>
  <c r="AH96" i="7"/>
  <c r="AI95" i="7"/>
  <c r="AH95" i="7"/>
  <c r="AI94" i="7"/>
  <c r="AH94" i="7"/>
  <c r="AI93" i="7"/>
  <c r="AH93" i="7"/>
  <c r="AI92" i="7"/>
  <c r="AH92" i="7"/>
  <c r="AI91" i="7"/>
  <c r="AH91" i="7"/>
  <c r="AI88" i="7"/>
  <c r="AH88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F83" i="7"/>
  <c r="AE83" i="7"/>
  <c r="AD83" i="7"/>
  <c r="AC83" i="7"/>
  <c r="AB83" i="7"/>
  <c r="AB89" i="7" s="1"/>
  <c r="AA83" i="7"/>
  <c r="Z83" i="7"/>
  <c r="Z89" i="7" s="1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I80" i="7"/>
  <c r="AH80" i="7"/>
  <c r="AI78" i="7"/>
  <c r="AH78" i="7"/>
  <c r="AG78" i="7"/>
  <c r="AI77" i="7"/>
  <c r="AH77" i="7"/>
  <c r="AI76" i="7"/>
  <c r="AH76" i="7"/>
  <c r="AI75" i="7"/>
  <c r="AH75" i="7"/>
  <c r="AG74" i="7"/>
  <c r="AF74" i="7"/>
  <c r="AE74" i="7"/>
  <c r="AD74" i="7"/>
  <c r="AC74" i="7"/>
  <c r="AB74" i="7"/>
  <c r="AA5" i="7" s="1"/>
  <c r="AA74" i="7"/>
  <c r="Z5" i="7" s="1"/>
  <c r="Z74" i="7"/>
  <c r="Y5" i="7" s="1"/>
  <c r="Y74" i="7"/>
  <c r="X5" i="7" s="1"/>
  <c r="X74" i="7"/>
  <c r="W74" i="7"/>
  <c r="V74" i="7"/>
  <c r="U74" i="7"/>
  <c r="T5" i="7" s="1"/>
  <c r="T74" i="7"/>
  <c r="S5" i="7" s="1"/>
  <c r="S74" i="7"/>
  <c r="R74" i="7"/>
  <c r="Q5" i="7" s="1"/>
  <c r="Q74" i="7"/>
  <c r="P5" i="7" s="1"/>
  <c r="P74" i="7"/>
  <c r="O74" i="7"/>
  <c r="N74" i="7"/>
  <c r="M74" i="7"/>
  <c r="L74" i="7"/>
  <c r="K74" i="7"/>
  <c r="J74" i="7"/>
  <c r="I5" i="7" s="1"/>
  <c r="I74" i="7"/>
  <c r="H5" i="7" s="1"/>
  <c r="H74" i="7"/>
  <c r="G74" i="7"/>
  <c r="F5" i="7" s="1"/>
  <c r="F74" i="7"/>
  <c r="E74" i="7"/>
  <c r="D5" i="7" s="1"/>
  <c r="D74" i="7"/>
  <c r="C74" i="7"/>
  <c r="AI73" i="7"/>
  <c r="AH73" i="7"/>
  <c r="AI72" i="7"/>
  <c r="AH72" i="7"/>
  <c r="AI71" i="7"/>
  <c r="AH71" i="7"/>
  <c r="AI70" i="7"/>
  <c r="AH70" i="7"/>
  <c r="AI69" i="7"/>
  <c r="AH69" i="7"/>
  <c r="AI68" i="7"/>
  <c r="AH68" i="7"/>
  <c r="AI67" i="7"/>
  <c r="AH67" i="7"/>
  <c r="AI66" i="7"/>
  <c r="AH66" i="7"/>
  <c r="AI65" i="7"/>
  <c r="AH65" i="7"/>
  <c r="AI64" i="7"/>
  <c r="AH64" i="7"/>
  <c r="AI63" i="7"/>
  <c r="AH63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I61" i="7"/>
  <c r="AH61" i="7"/>
  <c r="AI60" i="7"/>
  <c r="AH60" i="7"/>
  <c r="AI59" i="7"/>
  <c r="AH59" i="7"/>
  <c r="AF58" i="7"/>
  <c r="AE58" i="7"/>
  <c r="AD58" i="7"/>
  <c r="AC58" i="7"/>
  <c r="AB58" i="7"/>
  <c r="AA58" i="7"/>
  <c r="Z58" i="7"/>
  <c r="Y58" i="7"/>
  <c r="X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I57" i="7"/>
  <c r="AH57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I43" i="7"/>
  <c r="AH43" i="7"/>
  <c r="AI42" i="7"/>
  <c r="AH42" i="7"/>
  <c r="AI41" i="7"/>
  <c r="AH41" i="7"/>
  <c r="AG40" i="7"/>
  <c r="AG79" i="7" s="1"/>
  <c r="AF40" i="7"/>
  <c r="AE40" i="7"/>
  <c r="AD40" i="7"/>
  <c r="AC40" i="7"/>
  <c r="AC79" i="7" s="1"/>
  <c r="AC81" i="7" s="1"/>
  <c r="AB40" i="7"/>
  <c r="AA40" i="7"/>
  <c r="Z40" i="7"/>
  <c r="Y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W5" i="7"/>
  <c r="AG4" i="7"/>
  <c r="K4" i="7"/>
  <c r="B4" i="7"/>
  <c r="S235" i="7" s="1"/>
  <c r="AF103" i="6"/>
  <c r="AF39" i="6"/>
  <c r="AE103" i="6"/>
  <c r="AE39" i="6"/>
  <c r="AD39" i="6"/>
  <c r="AC39" i="6"/>
  <c r="AB39" i="6"/>
  <c r="AA103" i="6"/>
  <c r="AA39" i="6"/>
  <c r="Z103" i="6"/>
  <c r="Z39" i="6"/>
  <c r="Y103" i="6"/>
  <c r="Y39" i="6"/>
  <c r="X103" i="6"/>
  <c r="E4" i="7"/>
  <c r="F223" i="7" l="1"/>
  <c r="G223" i="7" s="1"/>
  <c r="D259" i="7"/>
  <c r="AI39" i="7"/>
  <c r="AG2" i="7"/>
  <c r="AG6" i="7" s="1"/>
  <c r="AG81" i="7"/>
  <c r="F89" i="7"/>
  <c r="F90" i="7" s="1"/>
  <c r="C100" i="7"/>
  <c r="B89" i="7"/>
  <c r="AE89" i="7"/>
  <c r="D224" i="7"/>
  <c r="H89" i="7"/>
  <c r="AH103" i="7"/>
  <c r="Q89" i="7"/>
  <c r="Q90" i="7" s="1"/>
  <c r="B79" i="7"/>
  <c r="B81" i="7" s="1"/>
  <c r="B90" i="7"/>
  <c r="AF5" i="7"/>
  <c r="AF89" i="7"/>
  <c r="AF90" i="7" s="1"/>
  <c r="AE5" i="7"/>
  <c r="AF79" i="7"/>
  <c r="AF81" i="7" s="1"/>
  <c r="AF7" i="7" s="1"/>
  <c r="AE90" i="7"/>
  <c r="AD5" i="7"/>
  <c r="AE79" i="7"/>
  <c r="AE81" i="7" s="1"/>
  <c r="AW238" i="7" s="1"/>
  <c r="AD89" i="7"/>
  <c r="AD90" i="7"/>
  <c r="AC5" i="7"/>
  <c r="AD79" i="7"/>
  <c r="AD81" i="7" s="1"/>
  <c r="AD7" i="7" s="1"/>
  <c r="AC89" i="7"/>
  <c r="AC82" i="7" s="1"/>
  <c r="AB5" i="7"/>
  <c r="AB90" i="7"/>
  <c r="AB79" i="7"/>
  <c r="AB81" i="7" s="1"/>
  <c r="AB7" i="7" s="1"/>
  <c r="AA89" i="7"/>
  <c r="Z79" i="7"/>
  <c r="Z81" i="7" s="1"/>
  <c r="AR238" i="7" s="1"/>
  <c r="Y89" i="7"/>
  <c r="Y90" i="7"/>
  <c r="Y79" i="7"/>
  <c r="Y81" i="7" s="1"/>
  <c r="AQ238" i="7" s="1"/>
  <c r="X79" i="7"/>
  <c r="X81" i="7" s="1"/>
  <c r="AP238" i="7" s="1"/>
  <c r="X89" i="7"/>
  <c r="X90" i="7" s="1"/>
  <c r="W89" i="7"/>
  <c r="W90" i="7" s="1"/>
  <c r="V5" i="7"/>
  <c r="W79" i="7"/>
  <c r="W81" i="7" s="1"/>
  <c r="W82" i="7" s="1"/>
  <c r="U79" i="7"/>
  <c r="U81" i="7" s="1"/>
  <c r="U7" i="7" s="1"/>
  <c r="T89" i="7"/>
  <c r="T90" i="7" s="1"/>
  <c r="T79" i="7"/>
  <c r="T81" i="7" s="1"/>
  <c r="T7" i="7" s="1"/>
  <c r="AA79" i="7"/>
  <c r="AA81" i="7" s="1"/>
  <c r="Z90" i="7"/>
  <c r="V79" i="7"/>
  <c r="V81" i="7" s="1"/>
  <c r="U89" i="7"/>
  <c r="U90" i="7" s="1"/>
  <c r="U5" i="7"/>
  <c r="V89" i="7"/>
  <c r="V90" i="7" s="1"/>
  <c r="S89" i="7"/>
  <c r="S90" i="7" s="1"/>
  <c r="S79" i="7"/>
  <c r="S81" i="7" s="1"/>
  <c r="R89" i="7"/>
  <c r="R90" i="7" s="1"/>
  <c r="R79" i="7"/>
  <c r="R81" i="7" s="1"/>
  <c r="Q79" i="7"/>
  <c r="Q81" i="7" s="1"/>
  <c r="P89" i="7"/>
  <c r="P90" i="7" s="1"/>
  <c r="O5" i="7"/>
  <c r="AI84" i="7"/>
  <c r="P79" i="7"/>
  <c r="P81" i="7" s="1"/>
  <c r="O89" i="7"/>
  <c r="O90" i="7" s="1"/>
  <c r="N5" i="7"/>
  <c r="O79" i="7"/>
  <c r="O81" i="7" s="1"/>
  <c r="O82" i="7" s="1"/>
  <c r="N89" i="7"/>
  <c r="N90" i="7"/>
  <c r="M5" i="7"/>
  <c r="N79" i="7"/>
  <c r="N81" i="7" s="1"/>
  <c r="L5" i="7"/>
  <c r="M89" i="7"/>
  <c r="M90" i="7" s="1"/>
  <c r="M79" i="7"/>
  <c r="M81" i="7" s="1"/>
  <c r="AE238" i="7" s="1"/>
  <c r="L89" i="7"/>
  <c r="L90" i="7" s="1"/>
  <c r="K5" i="7"/>
  <c r="L79" i="7"/>
  <c r="L81" i="7" s="1"/>
  <c r="AD238" i="7" s="1"/>
  <c r="K89" i="7"/>
  <c r="K90" i="7" s="1"/>
  <c r="K79" i="7"/>
  <c r="K81" i="7" s="1"/>
  <c r="K7" i="7" s="1"/>
  <c r="AI85" i="7"/>
  <c r="J89" i="7"/>
  <c r="J90" i="7"/>
  <c r="J79" i="7"/>
  <c r="J81" i="7" s="1"/>
  <c r="J82" i="7" s="1"/>
  <c r="AH84" i="7"/>
  <c r="I79" i="7"/>
  <c r="I81" i="7" s="1"/>
  <c r="I7" i="7" s="1"/>
  <c r="H90" i="7"/>
  <c r="G5" i="7"/>
  <c r="H79" i="7"/>
  <c r="H81" i="7" s="1"/>
  <c r="H82" i="7" s="1"/>
  <c r="G89" i="7"/>
  <c r="G90" i="7" s="1"/>
  <c r="AI83" i="7"/>
  <c r="E5" i="7"/>
  <c r="AI44" i="7"/>
  <c r="G79" i="7"/>
  <c r="G81" i="7" s="1"/>
  <c r="F79" i="7"/>
  <c r="F81" i="7" s="1"/>
  <c r="X238" i="7" s="1"/>
  <c r="AH85" i="7"/>
  <c r="AI86" i="7"/>
  <c r="E89" i="7"/>
  <c r="E90" i="7" s="1"/>
  <c r="AI62" i="7"/>
  <c r="E79" i="7"/>
  <c r="E81" i="7" s="1"/>
  <c r="W238" i="7" s="1"/>
  <c r="D89" i="7"/>
  <c r="D90" i="7" s="1"/>
  <c r="AH83" i="7"/>
  <c r="AH74" i="7"/>
  <c r="C5" i="7"/>
  <c r="AI87" i="7"/>
  <c r="AI58" i="7"/>
  <c r="D79" i="7"/>
  <c r="D81" i="7" s="1"/>
  <c r="D7" i="7" s="1"/>
  <c r="C89" i="7"/>
  <c r="C90" i="7" s="1"/>
  <c r="AH62" i="7"/>
  <c r="AH58" i="7"/>
  <c r="C79" i="7"/>
  <c r="C81" i="7" s="1"/>
  <c r="C7" i="7" s="1"/>
  <c r="AI40" i="7"/>
  <c r="B82" i="7"/>
  <c r="H4" i="7"/>
  <c r="F259" i="7"/>
  <c r="H223" i="7"/>
  <c r="AJ238" i="7"/>
  <c r="R82" i="7"/>
  <c r="R7" i="7"/>
  <c r="AL238" i="7"/>
  <c r="AB82" i="7"/>
  <c r="P7" i="7"/>
  <c r="AH238" i="7"/>
  <c r="AU238" i="7"/>
  <c r="AC7" i="7"/>
  <c r="Q7" i="7"/>
  <c r="AI238" i="7"/>
  <c r="Q82" i="7"/>
  <c r="S82" i="7"/>
  <c r="AK238" i="7"/>
  <c r="S7" i="7"/>
  <c r="N7" i="7"/>
  <c r="AF238" i="7"/>
  <c r="N82" i="7"/>
  <c r="D100" i="7"/>
  <c r="D235" i="7"/>
  <c r="AI74" i="7"/>
  <c r="AH44" i="7"/>
  <c r="AA90" i="7"/>
  <c r="E259" i="7"/>
  <c r="B5" i="7"/>
  <c r="J5" i="7"/>
  <c r="R5" i="7"/>
  <c r="I89" i="7"/>
  <c r="I90" i="7" s="1"/>
  <c r="E218" i="7"/>
  <c r="E100" i="7" s="1"/>
  <c r="AH40" i="7"/>
  <c r="AH86" i="7"/>
  <c r="B224" i="7"/>
  <c r="AH87" i="7"/>
  <c r="AC90" i="7" l="1"/>
  <c r="V82" i="7"/>
  <c r="T82" i="7"/>
  <c r="P82" i="7"/>
  <c r="AA82" i="7"/>
  <c r="AF82" i="7"/>
  <c r="AX238" i="7"/>
  <c r="AE82" i="7"/>
  <c r="AE7" i="7"/>
  <c r="AV238" i="7"/>
  <c r="AD82" i="7"/>
  <c r="AT238" i="7"/>
  <c r="AS238" i="7"/>
  <c r="AA7" i="7"/>
  <c r="Z7" i="7"/>
  <c r="Z82" i="7"/>
  <c r="Y7" i="7"/>
  <c r="Y82" i="7"/>
  <c r="X7" i="7"/>
  <c r="X82" i="7"/>
  <c r="AM238" i="7"/>
  <c r="W7" i="7"/>
  <c r="AO238" i="7"/>
  <c r="AN238" i="7"/>
  <c r="V7" i="7"/>
  <c r="U82" i="7"/>
  <c r="AG238" i="7"/>
  <c r="O7" i="7"/>
  <c r="M7" i="7"/>
  <c r="M82" i="7"/>
  <c r="L7" i="7"/>
  <c r="L82" i="7"/>
  <c r="AC238" i="7"/>
  <c r="K82" i="7"/>
  <c r="AB238" i="7"/>
  <c r="J7" i="7"/>
  <c r="AA238" i="7"/>
  <c r="Z238" i="7"/>
  <c r="B233" i="7"/>
  <c r="H7" i="7"/>
  <c r="G7" i="7"/>
  <c r="C233" i="7"/>
  <c r="G82" i="7"/>
  <c r="Y238" i="7"/>
  <c r="F7" i="7"/>
  <c r="F82" i="7"/>
  <c r="AI89" i="7"/>
  <c r="AH89" i="7"/>
  <c r="E7" i="7"/>
  <c r="E82" i="7"/>
  <c r="D82" i="7"/>
  <c r="V238" i="7"/>
  <c r="AI90" i="7"/>
  <c r="AH90" i="7"/>
  <c r="U238" i="7"/>
  <c r="C82" i="7"/>
  <c r="F218" i="7"/>
  <c r="F100" i="7" s="1"/>
  <c r="E224" i="7"/>
  <c r="I82" i="7"/>
  <c r="AH79" i="7"/>
  <c r="AI79" i="7"/>
  <c r="G259" i="7"/>
  <c r="I223" i="7"/>
  <c r="K6" i="7" l="1"/>
  <c r="T238" i="7"/>
  <c r="B7" i="7"/>
  <c r="A7" i="7" s="1"/>
  <c r="AI81" i="7"/>
  <c r="AH81" i="7"/>
  <c r="H259" i="7"/>
  <c r="J223" i="7"/>
  <c r="G218" i="7"/>
  <c r="G100" i="7" s="1"/>
  <c r="F224" i="7"/>
  <c r="AH82" i="7" l="1"/>
  <c r="AI82" i="7"/>
  <c r="K223" i="7"/>
  <c r="I259" i="7"/>
  <c r="G224" i="7"/>
  <c r="H218" i="7"/>
  <c r="H100" i="7" s="1"/>
  <c r="I218" i="7" l="1"/>
  <c r="I100" i="7" s="1"/>
  <c r="H224" i="7"/>
  <c r="J259" i="7"/>
  <c r="L223" i="7"/>
  <c r="K259" i="7" l="1"/>
  <c r="M223" i="7"/>
  <c r="I224" i="7"/>
  <c r="J218" i="7"/>
  <c r="J100" i="7" s="1"/>
  <c r="J224" i="7" l="1"/>
  <c r="K218" i="7"/>
  <c r="K100" i="7" s="1"/>
  <c r="N223" i="7"/>
  <c r="L259" i="7"/>
  <c r="M259" i="7" l="1"/>
  <c r="O223" i="7"/>
  <c r="K224" i="7"/>
  <c r="L218" i="7"/>
  <c r="L100" i="7" s="1"/>
  <c r="L224" i="7" l="1"/>
  <c r="M218" i="7"/>
  <c r="M100" i="7" s="1"/>
  <c r="N259" i="7"/>
  <c r="P223" i="7"/>
  <c r="O259" i="7" s="1"/>
  <c r="N218" i="7" l="1"/>
  <c r="N100" i="7" s="1"/>
  <c r="M224" i="7"/>
  <c r="O218" i="7" l="1"/>
  <c r="O100" i="7" s="1"/>
  <c r="N224" i="7"/>
  <c r="P218" i="7" l="1"/>
  <c r="P100" i="7" s="1"/>
  <c r="O224" i="7"/>
  <c r="P224" i="7" l="1"/>
  <c r="AH100" i="7" l="1"/>
  <c r="AI100" i="7"/>
  <c r="W103" i="6" l="1"/>
  <c r="W39" i="6" l="1"/>
  <c r="V103" i="6"/>
  <c r="V39" i="6"/>
  <c r="U103" i="6"/>
  <c r="U39" i="6"/>
  <c r="T103" i="6"/>
  <c r="T39" i="6"/>
  <c r="S103" i="6"/>
  <c r="S39" i="6"/>
  <c r="L103" i="6"/>
  <c r="J103" i="6"/>
  <c r="K103" i="6"/>
  <c r="L39" i="6"/>
  <c r="AI39" i="6" s="1"/>
  <c r="J39" i="6"/>
  <c r="K39" i="6"/>
  <c r="I103" i="6"/>
  <c r="H103" i="6"/>
  <c r="H39" i="6"/>
  <c r="I39" i="6"/>
  <c r="G103" i="6"/>
  <c r="F103" i="6"/>
  <c r="F39" i="6"/>
  <c r="G39" i="6"/>
  <c r="E103" i="6"/>
  <c r="AH103" i="6" s="1"/>
  <c r="E39" i="6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C263" i="6"/>
  <c r="B263" i="6"/>
  <c r="A263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D262" i="6"/>
  <c r="C262" i="6"/>
  <c r="B262" i="6"/>
  <c r="A262" i="6"/>
  <c r="AF261" i="6"/>
  <c r="AE261" i="6"/>
  <c r="AD261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B261" i="6"/>
  <c r="A261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D260" i="6"/>
  <c r="C260" i="6"/>
  <c r="B260" i="6"/>
  <c r="A260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B259" i="6"/>
  <c r="S234" i="6"/>
  <c r="AG224" i="6"/>
  <c r="AG57" i="6" s="1"/>
  <c r="AG58" i="6" s="1"/>
  <c r="AG3" i="6" s="1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C224" i="6"/>
  <c r="D223" i="6"/>
  <c r="E223" i="6" s="1"/>
  <c r="B223" i="6"/>
  <c r="AF259" i="6" s="1"/>
  <c r="D222" i="6"/>
  <c r="E222" i="6" s="1"/>
  <c r="F222" i="6" s="1"/>
  <c r="G222" i="6" s="1"/>
  <c r="H222" i="6" s="1"/>
  <c r="I222" i="6" s="1"/>
  <c r="J222" i="6" s="1"/>
  <c r="K222" i="6" s="1"/>
  <c r="L222" i="6" s="1"/>
  <c r="M222" i="6" s="1"/>
  <c r="N222" i="6" s="1"/>
  <c r="O222" i="6" s="1"/>
  <c r="P222" i="6" s="1"/>
  <c r="B222" i="6"/>
  <c r="D221" i="6"/>
  <c r="E221" i="6" s="1"/>
  <c r="F221" i="6" s="1"/>
  <c r="G221" i="6" s="1"/>
  <c r="H221" i="6" s="1"/>
  <c r="I221" i="6" s="1"/>
  <c r="J221" i="6" s="1"/>
  <c r="K221" i="6" s="1"/>
  <c r="L221" i="6" s="1"/>
  <c r="M221" i="6" s="1"/>
  <c r="N221" i="6" s="1"/>
  <c r="O221" i="6" s="1"/>
  <c r="P221" i="6" s="1"/>
  <c r="B221" i="6"/>
  <c r="E220" i="6"/>
  <c r="F220" i="6" s="1"/>
  <c r="G220" i="6" s="1"/>
  <c r="H220" i="6" s="1"/>
  <c r="I220" i="6" s="1"/>
  <c r="J220" i="6" s="1"/>
  <c r="K220" i="6" s="1"/>
  <c r="L220" i="6" s="1"/>
  <c r="M220" i="6" s="1"/>
  <c r="N220" i="6" s="1"/>
  <c r="O220" i="6" s="1"/>
  <c r="P220" i="6" s="1"/>
  <c r="D220" i="6"/>
  <c r="B220" i="6"/>
  <c r="D219" i="6"/>
  <c r="E219" i="6" s="1"/>
  <c r="F219" i="6" s="1"/>
  <c r="G219" i="6" s="1"/>
  <c r="H219" i="6" s="1"/>
  <c r="I219" i="6" s="1"/>
  <c r="J219" i="6" s="1"/>
  <c r="K219" i="6" s="1"/>
  <c r="L219" i="6" s="1"/>
  <c r="M219" i="6" s="1"/>
  <c r="N219" i="6" s="1"/>
  <c r="O219" i="6" s="1"/>
  <c r="P219" i="6" s="1"/>
  <c r="B219" i="6"/>
  <c r="D218" i="6"/>
  <c r="B218" i="6"/>
  <c r="B100" i="6" s="1"/>
  <c r="AG216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AI109" i="6"/>
  <c r="AH109" i="6"/>
  <c r="AI108" i="6"/>
  <c r="AH108" i="6"/>
  <c r="AI107" i="6"/>
  <c r="AH107" i="6"/>
  <c r="AI106" i="6"/>
  <c r="AH106" i="6"/>
  <c r="AI105" i="6"/>
  <c r="AH105" i="6"/>
  <c r="AI104" i="6"/>
  <c r="AH104" i="6"/>
  <c r="AI103" i="6"/>
  <c r="AI102" i="6"/>
  <c r="AH102" i="6"/>
  <c r="AI101" i="6"/>
  <c r="AH101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C100" i="6"/>
  <c r="AI99" i="6"/>
  <c r="AH99" i="6"/>
  <c r="AI98" i="6"/>
  <c r="AH98" i="6"/>
  <c r="AI97" i="6"/>
  <c r="AH97" i="6"/>
  <c r="AI96" i="6"/>
  <c r="AH96" i="6"/>
  <c r="AI95" i="6"/>
  <c r="AH95" i="6"/>
  <c r="AI94" i="6"/>
  <c r="AH94" i="6"/>
  <c r="AI93" i="6"/>
  <c r="AH93" i="6"/>
  <c r="AI92" i="6"/>
  <c r="AH92" i="6"/>
  <c r="AI91" i="6"/>
  <c r="AH91" i="6"/>
  <c r="AI88" i="6"/>
  <c r="AH88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T89" i="6" s="1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I80" i="6"/>
  <c r="AH80" i="6"/>
  <c r="AI78" i="6"/>
  <c r="AH78" i="6"/>
  <c r="AG78" i="6"/>
  <c r="AI77" i="6"/>
  <c r="AH77" i="6"/>
  <c r="AI76" i="6"/>
  <c r="AH76" i="6"/>
  <c r="AI75" i="6"/>
  <c r="AH75" i="6"/>
  <c r="AG74" i="6"/>
  <c r="AF74" i="6"/>
  <c r="AE74" i="6"/>
  <c r="AD5" i="6" s="1"/>
  <c r="AD74" i="6"/>
  <c r="AC5" i="6" s="1"/>
  <c r="AC74" i="6"/>
  <c r="AB74" i="6"/>
  <c r="AA5" i="6" s="1"/>
  <c r="AA74" i="6"/>
  <c r="Z74" i="6"/>
  <c r="Y5" i="6" s="1"/>
  <c r="Y74" i="6"/>
  <c r="X5" i="6" s="1"/>
  <c r="X74" i="6"/>
  <c r="W74" i="6"/>
  <c r="V5" i="6" s="1"/>
  <c r="V74" i="6"/>
  <c r="U74" i="6"/>
  <c r="T74" i="6"/>
  <c r="S74" i="6"/>
  <c r="R74" i="6"/>
  <c r="Q5" i="6" s="1"/>
  <c r="Q74" i="6"/>
  <c r="P5" i="6" s="1"/>
  <c r="P74" i="6"/>
  <c r="O5" i="6" s="1"/>
  <c r="O74" i="6"/>
  <c r="N5" i="6" s="1"/>
  <c r="N74" i="6"/>
  <c r="M74" i="6"/>
  <c r="L74" i="6"/>
  <c r="K5" i="6" s="1"/>
  <c r="K74" i="6"/>
  <c r="J74" i="6"/>
  <c r="I5" i="6" s="1"/>
  <c r="I74" i="6"/>
  <c r="H74" i="6"/>
  <c r="G5" i="6" s="1"/>
  <c r="G74" i="6"/>
  <c r="F5" i="6" s="1"/>
  <c r="F74" i="6"/>
  <c r="E5" i="6" s="1"/>
  <c r="E74" i="6"/>
  <c r="D74" i="6"/>
  <c r="C5" i="6" s="1"/>
  <c r="C74" i="6"/>
  <c r="B74" i="6"/>
  <c r="AI73" i="6"/>
  <c r="AH73" i="6"/>
  <c r="AI72" i="6"/>
  <c r="AH72" i="6"/>
  <c r="AI71" i="6"/>
  <c r="AH71" i="6"/>
  <c r="AI70" i="6"/>
  <c r="AH70" i="6"/>
  <c r="AI69" i="6"/>
  <c r="AH69" i="6"/>
  <c r="AI68" i="6"/>
  <c r="AH68" i="6"/>
  <c r="AI67" i="6"/>
  <c r="AH67" i="6"/>
  <c r="AI66" i="6"/>
  <c r="AH66" i="6"/>
  <c r="AI65" i="6"/>
  <c r="AH65" i="6"/>
  <c r="AI64" i="6"/>
  <c r="AH64" i="6"/>
  <c r="AI63" i="6"/>
  <c r="AH63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I61" i="6"/>
  <c r="AH61" i="6"/>
  <c r="AI60" i="6"/>
  <c r="AH60" i="6"/>
  <c r="AI59" i="6"/>
  <c r="AH59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I43" i="6"/>
  <c r="AH43" i="6"/>
  <c r="AI42" i="6"/>
  <c r="AH42" i="6"/>
  <c r="AI41" i="6"/>
  <c r="AH41" i="6"/>
  <c r="AG40" i="6"/>
  <c r="AG79" i="6" s="1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S79" i="6" s="1"/>
  <c r="S81" i="6" s="1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E5" i="6"/>
  <c r="W5" i="6"/>
  <c r="U5" i="6"/>
  <c r="T5" i="6"/>
  <c r="S5" i="6"/>
  <c r="M5" i="6"/>
  <c r="H5" i="6"/>
  <c r="AG4" i="6"/>
  <c r="K4" i="6"/>
  <c r="B4" i="6"/>
  <c r="S235" i="6" s="1"/>
  <c r="AG2" i="6"/>
  <c r="AG6" i="6" s="1"/>
  <c r="AD39" i="5"/>
  <c r="AC39" i="5"/>
  <c r="AB103" i="5"/>
  <c r="AB39" i="5"/>
  <c r="AA103" i="5"/>
  <c r="Z103" i="5"/>
  <c r="Z39" i="5"/>
  <c r="Y103" i="5"/>
  <c r="Y100" i="5" s="1"/>
  <c r="Y39" i="5"/>
  <c r="W103" i="5"/>
  <c r="W39" i="5"/>
  <c r="V103" i="5"/>
  <c r="V39" i="5"/>
  <c r="U103" i="5"/>
  <c r="U39" i="5"/>
  <c r="T103" i="5"/>
  <c r="T39" i="5"/>
  <c r="S39" i="5"/>
  <c r="R39" i="5"/>
  <c r="R103" i="5"/>
  <c r="Q103" i="5"/>
  <c r="Q39" i="5"/>
  <c r="P39" i="5"/>
  <c r="O39" i="5"/>
  <c r="N39" i="5"/>
  <c r="M39" i="5"/>
  <c r="L39" i="5"/>
  <c r="K39" i="5"/>
  <c r="J39" i="5"/>
  <c r="I39" i="5"/>
  <c r="H39" i="5"/>
  <c r="G39" i="5"/>
  <c r="AI39" i="5" s="1"/>
  <c r="F39" i="5"/>
  <c r="E39" i="5"/>
  <c r="AJ6" i="5"/>
  <c r="D103" i="5"/>
  <c r="D39" i="5"/>
  <c r="C103" i="5"/>
  <c r="C39" i="5"/>
  <c r="B103" i="5"/>
  <c r="AI103" i="5" s="1"/>
  <c r="B39" i="5"/>
  <c r="B58" i="5"/>
  <c r="B44" i="5"/>
  <c r="B40" i="5"/>
  <c r="AF263" i="5"/>
  <c r="AE263" i="5"/>
  <c r="AD263" i="5"/>
  <c r="AC263" i="5"/>
  <c r="AB263" i="5"/>
  <c r="AA263" i="5"/>
  <c r="Z263" i="5"/>
  <c r="Y263" i="5"/>
  <c r="X263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AF262" i="5"/>
  <c r="AE262" i="5"/>
  <c r="AD262" i="5"/>
  <c r="AC262" i="5"/>
  <c r="AB262" i="5"/>
  <c r="AA262" i="5"/>
  <c r="Z262" i="5"/>
  <c r="Y262" i="5"/>
  <c r="X262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AF261" i="5"/>
  <c r="AE261" i="5"/>
  <c r="AD261" i="5"/>
  <c r="AC261" i="5"/>
  <c r="AB261" i="5"/>
  <c r="AA261" i="5"/>
  <c r="Z261" i="5"/>
  <c r="Y261" i="5"/>
  <c r="X261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AF260" i="5"/>
  <c r="AE260" i="5"/>
  <c r="AD260" i="5"/>
  <c r="AC260" i="5"/>
  <c r="AB260" i="5"/>
  <c r="AA260" i="5"/>
  <c r="Z260" i="5"/>
  <c r="Y260" i="5"/>
  <c r="X260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B259" i="5"/>
  <c r="S23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C224" i="5"/>
  <c r="D223" i="5"/>
  <c r="C259" i="5" s="1"/>
  <c r="B223" i="5"/>
  <c r="AF259" i="5" s="1"/>
  <c r="E222" i="5"/>
  <c r="F222" i="5" s="1"/>
  <c r="G222" i="5" s="1"/>
  <c r="H222" i="5" s="1"/>
  <c r="I222" i="5" s="1"/>
  <c r="J222" i="5" s="1"/>
  <c r="K222" i="5" s="1"/>
  <c r="L222" i="5" s="1"/>
  <c r="M222" i="5" s="1"/>
  <c r="N222" i="5" s="1"/>
  <c r="O222" i="5" s="1"/>
  <c r="P222" i="5" s="1"/>
  <c r="D222" i="5"/>
  <c r="B222" i="5"/>
  <c r="F221" i="5"/>
  <c r="G221" i="5" s="1"/>
  <c r="H221" i="5" s="1"/>
  <c r="I221" i="5" s="1"/>
  <c r="J221" i="5" s="1"/>
  <c r="K221" i="5" s="1"/>
  <c r="L221" i="5" s="1"/>
  <c r="M221" i="5" s="1"/>
  <c r="N221" i="5" s="1"/>
  <c r="O221" i="5" s="1"/>
  <c r="P221" i="5" s="1"/>
  <c r="E221" i="5"/>
  <c r="D221" i="5"/>
  <c r="B221" i="5"/>
  <c r="D220" i="5"/>
  <c r="E220" i="5" s="1"/>
  <c r="F220" i="5" s="1"/>
  <c r="G220" i="5" s="1"/>
  <c r="H220" i="5" s="1"/>
  <c r="I220" i="5" s="1"/>
  <c r="J220" i="5" s="1"/>
  <c r="K220" i="5" s="1"/>
  <c r="L220" i="5" s="1"/>
  <c r="M220" i="5" s="1"/>
  <c r="N220" i="5" s="1"/>
  <c r="O220" i="5" s="1"/>
  <c r="P220" i="5" s="1"/>
  <c r="B220" i="5"/>
  <c r="D219" i="5"/>
  <c r="B219" i="5"/>
  <c r="D218" i="5"/>
  <c r="D100" i="5" s="1"/>
  <c r="B218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I109" i="5"/>
  <c r="AH109" i="5"/>
  <c r="AI108" i="5"/>
  <c r="AH108" i="5"/>
  <c r="AI107" i="5"/>
  <c r="AH107" i="5"/>
  <c r="AI106" i="5"/>
  <c r="AH106" i="5"/>
  <c r="AI105" i="5"/>
  <c r="AH105" i="5"/>
  <c r="AI104" i="5"/>
  <c r="AH104" i="5"/>
  <c r="AI102" i="5"/>
  <c r="AH102" i="5"/>
  <c r="AI101" i="5"/>
  <c r="AH101" i="5"/>
  <c r="AF100" i="5"/>
  <c r="AE100" i="5"/>
  <c r="AD100" i="5"/>
  <c r="AC100" i="5"/>
  <c r="AB100" i="5"/>
  <c r="AA100" i="5"/>
  <c r="Z100" i="5"/>
  <c r="X100" i="5"/>
  <c r="W100" i="5"/>
  <c r="V100" i="5"/>
  <c r="U100" i="5"/>
  <c r="T100" i="5"/>
  <c r="S100" i="5"/>
  <c r="R100" i="5"/>
  <c r="Q100" i="5"/>
  <c r="C100" i="5"/>
  <c r="AI99" i="5"/>
  <c r="AH99" i="5"/>
  <c r="AI98" i="5"/>
  <c r="AH98" i="5"/>
  <c r="AI97" i="5"/>
  <c r="AH97" i="5"/>
  <c r="AI96" i="5"/>
  <c r="AH96" i="5"/>
  <c r="AI95" i="5"/>
  <c r="AH95" i="5"/>
  <c r="AI94" i="5"/>
  <c r="AH94" i="5"/>
  <c r="AI93" i="5"/>
  <c r="AH93" i="5"/>
  <c r="AI92" i="5"/>
  <c r="AH92" i="5"/>
  <c r="AI91" i="5"/>
  <c r="AH91" i="5"/>
  <c r="AI88" i="5"/>
  <c r="AH88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F83" i="5"/>
  <c r="AE83" i="5"/>
  <c r="AD83" i="5"/>
  <c r="AC83" i="5"/>
  <c r="AB83" i="5"/>
  <c r="AA83" i="5"/>
  <c r="Z83" i="5"/>
  <c r="Y83" i="5"/>
  <c r="X83" i="5"/>
  <c r="W83" i="5"/>
  <c r="W89" i="5" s="1"/>
  <c r="W90" i="5" s="1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G89" i="5" s="1"/>
  <c r="F83" i="5"/>
  <c r="E83" i="5"/>
  <c r="D83" i="5"/>
  <c r="C83" i="5"/>
  <c r="B83" i="5"/>
  <c r="AI80" i="5"/>
  <c r="AH80" i="5"/>
  <c r="AI78" i="5"/>
  <c r="AH78" i="5"/>
  <c r="AG78" i="5"/>
  <c r="AI77" i="5"/>
  <c r="AH77" i="5"/>
  <c r="AI76" i="5"/>
  <c r="AH76" i="5"/>
  <c r="AI75" i="5"/>
  <c r="AH75" i="5"/>
  <c r="AG74" i="5"/>
  <c r="AF74" i="5"/>
  <c r="AE5" i="5" s="1"/>
  <c r="AE74" i="5"/>
  <c r="AD5" i="5" s="1"/>
  <c r="AD74" i="5"/>
  <c r="AC5" i="5" s="1"/>
  <c r="AC74" i="5"/>
  <c r="AB5" i="5" s="1"/>
  <c r="AB74" i="5"/>
  <c r="AA74" i="5"/>
  <c r="Z74" i="5"/>
  <c r="Y5" i="5" s="1"/>
  <c r="Y74" i="5"/>
  <c r="X5" i="5" s="1"/>
  <c r="X74" i="5"/>
  <c r="W74" i="5"/>
  <c r="V5" i="5" s="1"/>
  <c r="V74" i="5"/>
  <c r="U5" i="5" s="1"/>
  <c r="U74" i="5"/>
  <c r="T5" i="5" s="1"/>
  <c r="T74" i="5"/>
  <c r="S5" i="5" s="1"/>
  <c r="S74" i="5"/>
  <c r="R5" i="5" s="1"/>
  <c r="R74" i="5"/>
  <c r="Q74" i="5"/>
  <c r="P5" i="5" s="1"/>
  <c r="P74" i="5"/>
  <c r="O5" i="5" s="1"/>
  <c r="O74" i="5"/>
  <c r="N5" i="5" s="1"/>
  <c r="N74" i="5"/>
  <c r="M74" i="5"/>
  <c r="L5" i="5" s="1"/>
  <c r="L74" i="5"/>
  <c r="K5" i="5" s="1"/>
  <c r="K74" i="5"/>
  <c r="J74" i="5"/>
  <c r="I74" i="5"/>
  <c r="H5" i="5" s="1"/>
  <c r="H74" i="5"/>
  <c r="G5" i="5" s="1"/>
  <c r="G74" i="5"/>
  <c r="F5" i="5" s="1"/>
  <c r="F74" i="5"/>
  <c r="E74" i="5"/>
  <c r="D5" i="5" s="1"/>
  <c r="D74" i="5"/>
  <c r="C5" i="5" s="1"/>
  <c r="C74" i="5"/>
  <c r="B5" i="5" s="1"/>
  <c r="B74" i="5"/>
  <c r="AF5" i="5" s="1"/>
  <c r="AI73" i="5"/>
  <c r="AH73" i="5"/>
  <c r="AI72" i="5"/>
  <c r="AH72" i="5"/>
  <c r="AI71" i="5"/>
  <c r="AH71" i="5"/>
  <c r="AI70" i="5"/>
  <c r="AH70" i="5"/>
  <c r="AI69" i="5"/>
  <c r="AH69" i="5"/>
  <c r="AI68" i="5"/>
  <c r="AH68" i="5"/>
  <c r="AI67" i="5"/>
  <c r="AH67" i="5"/>
  <c r="AI66" i="5"/>
  <c r="AH66" i="5"/>
  <c r="AI65" i="5"/>
  <c r="AH65" i="5"/>
  <c r="AI64" i="5"/>
  <c r="AH64" i="5"/>
  <c r="AI63" i="5"/>
  <c r="AH63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I61" i="5"/>
  <c r="AH61" i="5"/>
  <c r="AI60" i="5"/>
  <c r="AH60" i="5"/>
  <c r="AI59" i="5"/>
  <c r="AH59" i="5"/>
  <c r="AG58" i="5"/>
  <c r="AG3" i="5" s="1"/>
  <c r="AG6" i="5" s="1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AI57" i="5"/>
  <c r="AH57" i="5"/>
  <c r="AG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I43" i="5"/>
  <c r="AH43" i="5"/>
  <c r="AI42" i="5"/>
  <c r="AH42" i="5"/>
  <c r="AI41" i="5"/>
  <c r="AH41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U79" i="5" s="1"/>
  <c r="U81" i="5" s="1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A5" i="5"/>
  <c r="Z5" i="5"/>
  <c r="W5" i="5"/>
  <c r="J5" i="5"/>
  <c r="AG4" i="5"/>
  <c r="K4" i="5"/>
  <c r="B4" i="5"/>
  <c r="S235" i="5" s="1"/>
  <c r="AG2" i="5"/>
  <c r="AF103" i="4"/>
  <c r="AF39" i="4"/>
  <c r="AE103" i="4"/>
  <c r="AE39" i="4"/>
  <c r="AD103" i="4"/>
  <c r="AD39" i="4"/>
  <c r="AC103" i="4"/>
  <c r="AB103" i="4"/>
  <c r="AB39" i="4"/>
  <c r="AA103" i="4"/>
  <c r="AA39" i="4"/>
  <c r="Z103" i="4"/>
  <c r="Z100" i="4" s="1"/>
  <c r="Z39" i="4"/>
  <c r="Y103" i="4"/>
  <c r="Y100" i="4" s="1"/>
  <c r="X103" i="4"/>
  <c r="X100" i="4" s="1"/>
  <c r="X87" i="4"/>
  <c r="X86" i="4"/>
  <c r="X85" i="4"/>
  <c r="X84" i="4"/>
  <c r="X83" i="4"/>
  <c r="X78" i="4"/>
  <c r="X74" i="4"/>
  <c r="X62" i="4"/>
  <c r="X58" i="4"/>
  <c r="X44" i="4"/>
  <c r="X40" i="4"/>
  <c r="W102" i="4"/>
  <c r="AH102" i="4" s="1"/>
  <c r="W103" i="4"/>
  <c r="W39" i="4"/>
  <c r="V39" i="4"/>
  <c r="U39" i="4"/>
  <c r="T103" i="4"/>
  <c r="T100" i="4" s="1"/>
  <c r="T39" i="4"/>
  <c r="S103" i="4"/>
  <c r="S39" i="4"/>
  <c r="R103" i="4"/>
  <c r="R39" i="4"/>
  <c r="Q103" i="4"/>
  <c r="Q39" i="4"/>
  <c r="P39" i="4"/>
  <c r="O39" i="4"/>
  <c r="N39" i="4"/>
  <c r="M39" i="4"/>
  <c r="AI39" i="4" s="1"/>
  <c r="D103" i="4"/>
  <c r="D39" i="4"/>
  <c r="C103" i="4"/>
  <c r="C39" i="4"/>
  <c r="B103" i="4"/>
  <c r="AI103" i="4" s="1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A263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A262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A261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A260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B259" i="4"/>
  <c r="S234" i="4"/>
  <c r="AG224" i="4"/>
  <c r="AG57" i="4" s="1"/>
  <c r="AG58" i="4" s="1"/>
  <c r="AG3" i="4" s="1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C224" i="4"/>
  <c r="D223" i="4"/>
  <c r="C259" i="4" s="1"/>
  <c r="B223" i="4"/>
  <c r="AF259" i="4" s="1"/>
  <c r="D222" i="4"/>
  <c r="E222" i="4" s="1"/>
  <c r="F222" i="4" s="1"/>
  <c r="G222" i="4" s="1"/>
  <c r="H222" i="4" s="1"/>
  <c r="I222" i="4" s="1"/>
  <c r="J222" i="4" s="1"/>
  <c r="K222" i="4" s="1"/>
  <c r="L222" i="4" s="1"/>
  <c r="M222" i="4" s="1"/>
  <c r="N222" i="4" s="1"/>
  <c r="O222" i="4" s="1"/>
  <c r="P222" i="4" s="1"/>
  <c r="B222" i="4"/>
  <c r="D221" i="4"/>
  <c r="E221" i="4" s="1"/>
  <c r="F221" i="4" s="1"/>
  <c r="G221" i="4" s="1"/>
  <c r="H221" i="4" s="1"/>
  <c r="I221" i="4" s="1"/>
  <c r="J221" i="4" s="1"/>
  <c r="K221" i="4" s="1"/>
  <c r="L221" i="4" s="1"/>
  <c r="M221" i="4" s="1"/>
  <c r="N221" i="4" s="1"/>
  <c r="O221" i="4" s="1"/>
  <c r="P221" i="4" s="1"/>
  <c r="B221" i="4"/>
  <c r="D220" i="4"/>
  <c r="E220" i="4" s="1"/>
  <c r="F220" i="4" s="1"/>
  <c r="G220" i="4" s="1"/>
  <c r="H220" i="4" s="1"/>
  <c r="I220" i="4" s="1"/>
  <c r="J220" i="4" s="1"/>
  <c r="K220" i="4" s="1"/>
  <c r="L220" i="4" s="1"/>
  <c r="M220" i="4" s="1"/>
  <c r="N220" i="4" s="1"/>
  <c r="O220" i="4" s="1"/>
  <c r="P220" i="4" s="1"/>
  <c r="B220" i="4"/>
  <c r="D219" i="4"/>
  <c r="E219" i="4" s="1"/>
  <c r="F219" i="4" s="1"/>
  <c r="G219" i="4" s="1"/>
  <c r="H219" i="4" s="1"/>
  <c r="I219" i="4" s="1"/>
  <c r="J219" i="4" s="1"/>
  <c r="K219" i="4" s="1"/>
  <c r="L219" i="4" s="1"/>
  <c r="M219" i="4" s="1"/>
  <c r="N219" i="4" s="1"/>
  <c r="O219" i="4" s="1"/>
  <c r="P219" i="4" s="1"/>
  <c r="B219" i="4"/>
  <c r="D218" i="4"/>
  <c r="B218" i="4"/>
  <c r="B100" i="4" s="1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AI109" i="4"/>
  <c r="AH109" i="4"/>
  <c r="AI108" i="4"/>
  <c r="AH108" i="4"/>
  <c r="AI107" i="4"/>
  <c r="AH107" i="4"/>
  <c r="AI106" i="4"/>
  <c r="AH106" i="4"/>
  <c r="AI105" i="4"/>
  <c r="AH105" i="4"/>
  <c r="AI104" i="4"/>
  <c r="AH104" i="4"/>
  <c r="AI101" i="4"/>
  <c r="AH101" i="4"/>
  <c r="AF100" i="4"/>
  <c r="AE100" i="4"/>
  <c r="AD100" i="4"/>
  <c r="AC100" i="4"/>
  <c r="AB100" i="4"/>
  <c r="AA100" i="4"/>
  <c r="W100" i="4"/>
  <c r="V100" i="4"/>
  <c r="U100" i="4"/>
  <c r="S100" i="4"/>
  <c r="R100" i="4"/>
  <c r="Q100" i="4"/>
  <c r="C100" i="4"/>
  <c r="AI98" i="4"/>
  <c r="AH98" i="4"/>
  <c r="AI97" i="4"/>
  <c r="AH97" i="4"/>
  <c r="AI96" i="4"/>
  <c r="AH96" i="4"/>
  <c r="AI95" i="4"/>
  <c r="AH95" i="4"/>
  <c r="AI94" i="4"/>
  <c r="AH94" i="4"/>
  <c r="AI93" i="4"/>
  <c r="AH93" i="4"/>
  <c r="AI92" i="4"/>
  <c r="AH92" i="4"/>
  <c r="AI91" i="4"/>
  <c r="AH91" i="4"/>
  <c r="AI88" i="4"/>
  <c r="AH88" i="4"/>
  <c r="AF87" i="4"/>
  <c r="AE87" i="4"/>
  <c r="AD87" i="4"/>
  <c r="AC87" i="4"/>
  <c r="AB87" i="4"/>
  <c r="AA87" i="4"/>
  <c r="Z87" i="4"/>
  <c r="Y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AF86" i="4"/>
  <c r="AE86" i="4"/>
  <c r="AD86" i="4"/>
  <c r="AC86" i="4"/>
  <c r="AB86" i="4"/>
  <c r="AA86" i="4"/>
  <c r="Z86" i="4"/>
  <c r="Y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AF85" i="4"/>
  <c r="AE85" i="4"/>
  <c r="AD85" i="4"/>
  <c r="AC85" i="4"/>
  <c r="AB85" i="4"/>
  <c r="AA85" i="4"/>
  <c r="Z85" i="4"/>
  <c r="Y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I89" i="4" s="1"/>
  <c r="H85" i="4"/>
  <c r="G85" i="4"/>
  <c r="F85" i="4"/>
  <c r="E85" i="4"/>
  <c r="D85" i="4"/>
  <c r="C85" i="4"/>
  <c r="B85" i="4"/>
  <c r="AF84" i="4"/>
  <c r="AE84" i="4"/>
  <c r="AD84" i="4"/>
  <c r="AC84" i="4"/>
  <c r="AB84" i="4"/>
  <c r="AA84" i="4"/>
  <c r="Z84" i="4"/>
  <c r="Y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F83" i="4"/>
  <c r="AE83" i="4"/>
  <c r="AD83" i="4"/>
  <c r="AC83" i="4"/>
  <c r="AB83" i="4"/>
  <c r="AA83" i="4"/>
  <c r="Z83" i="4"/>
  <c r="Y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AI80" i="4"/>
  <c r="AH80" i="4"/>
  <c r="AI78" i="4"/>
  <c r="AH78" i="4"/>
  <c r="AG78" i="4"/>
  <c r="AI77" i="4"/>
  <c r="AH77" i="4"/>
  <c r="AI76" i="4"/>
  <c r="AH76" i="4"/>
  <c r="AI75" i="4"/>
  <c r="AH75" i="4"/>
  <c r="AG74" i="4"/>
  <c r="AF74" i="4"/>
  <c r="AE5" i="4" s="1"/>
  <c r="AE74" i="4"/>
  <c r="AD5" i="4" s="1"/>
  <c r="AD74" i="4"/>
  <c r="AC5" i="4" s="1"/>
  <c r="AC74" i="4"/>
  <c r="AB5" i="4" s="1"/>
  <c r="AB74" i="4"/>
  <c r="AA74" i="4"/>
  <c r="Z5" i="4" s="1"/>
  <c r="Z74" i="4"/>
  <c r="Y74" i="4"/>
  <c r="X5" i="4" s="1"/>
  <c r="W74" i="4"/>
  <c r="V5" i="4" s="1"/>
  <c r="V74" i="4"/>
  <c r="U5" i="4" s="1"/>
  <c r="U74" i="4"/>
  <c r="T5" i="4" s="1"/>
  <c r="T74" i="4"/>
  <c r="S5" i="4" s="1"/>
  <c r="S74" i="4"/>
  <c r="R5" i="4" s="1"/>
  <c r="R74" i="4"/>
  <c r="Q74" i="4"/>
  <c r="P5" i="4" s="1"/>
  <c r="P74" i="4"/>
  <c r="O5" i="4" s="1"/>
  <c r="O74" i="4"/>
  <c r="N5" i="4" s="1"/>
  <c r="N74" i="4"/>
  <c r="M5" i="4" s="1"/>
  <c r="M74" i="4"/>
  <c r="L5" i="4" s="1"/>
  <c r="L74" i="4"/>
  <c r="K5" i="4" s="1"/>
  <c r="K74" i="4"/>
  <c r="J5" i="4" s="1"/>
  <c r="J74" i="4"/>
  <c r="I74" i="4"/>
  <c r="H5" i="4" s="1"/>
  <c r="H74" i="4"/>
  <c r="G5" i="4" s="1"/>
  <c r="G74" i="4"/>
  <c r="F5" i="4" s="1"/>
  <c r="F74" i="4"/>
  <c r="E5" i="4" s="1"/>
  <c r="E74" i="4"/>
  <c r="D5" i="4" s="1"/>
  <c r="D74" i="4"/>
  <c r="C5" i="4" s="1"/>
  <c r="C74" i="4"/>
  <c r="B5" i="4" s="1"/>
  <c r="B74" i="4"/>
  <c r="AF5" i="4" s="1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G62" i="4"/>
  <c r="AF62" i="4"/>
  <c r="AE62" i="4"/>
  <c r="AD62" i="4"/>
  <c r="AC62" i="4"/>
  <c r="AB62" i="4"/>
  <c r="AA62" i="4"/>
  <c r="Z62" i="4"/>
  <c r="Y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I61" i="4"/>
  <c r="AH61" i="4"/>
  <c r="AI60" i="4"/>
  <c r="AH60" i="4"/>
  <c r="AI59" i="4"/>
  <c r="AH59" i="4"/>
  <c r="AF58" i="4"/>
  <c r="AE58" i="4"/>
  <c r="AD58" i="4"/>
  <c r="AC58" i="4"/>
  <c r="AB58" i="4"/>
  <c r="AA58" i="4"/>
  <c r="Z58" i="4"/>
  <c r="Y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G44" i="4"/>
  <c r="AF44" i="4"/>
  <c r="AE44" i="4"/>
  <c r="AD44" i="4"/>
  <c r="AC44" i="4"/>
  <c r="AB44" i="4"/>
  <c r="AA44" i="4"/>
  <c r="Z44" i="4"/>
  <c r="Y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I43" i="4"/>
  <c r="AH43" i="4"/>
  <c r="AI42" i="4"/>
  <c r="AH42" i="4"/>
  <c r="AI41" i="4"/>
  <c r="AH41" i="4"/>
  <c r="AG40" i="4"/>
  <c r="AF40" i="4"/>
  <c r="AE40" i="4"/>
  <c r="AD40" i="4"/>
  <c r="AC40" i="4"/>
  <c r="AB40" i="4"/>
  <c r="AA40" i="4"/>
  <c r="Z40" i="4"/>
  <c r="Y40" i="4"/>
  <c r="W40" i="4"/>
  <c r="V40" i="4"/>
  <c r="V79" i="4" s="1"/>
  <c r="V81" i="4" s="1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A5" i="4"/>
  <c r="AG4" i="4"/>
  <c r="K4" i="4"/>
  <c r="B4" i="4"/>
  <c r="D235" i="4" s="1"/>
  <c r="AG2" i="4"/>
  <c r="AF103" i="3"/>
  <c r="AF39" i="3"/>
  <c r="AE103" i="3"/>
  <c r="AE39" i="3"/>
  <c r="AD103" i="3"/>
  <c r="AD39" i="3"/>
  <c r="AC103" i="3"/>
  <c r="AA103" i="3"/>
  <c r="AA39" i="3"/>
  <c r="Z103" i="3"/>
  <c r="Z39" i="3"/>
  <c r="Y103" i="3"/>
  <c r="Y39" i="3"/>
  <c r="W103" i="3"/>
  <c r="W39" i="3"/>
  <c r="V103" i="3"/>
  <c r="V39" i="3"/>
  <c r="U39" i="3"/>
  <c r="E4" i="6"/>
  <c r="E4" i="5"/>
  <c r="E4" i="4"/>
  <c r="D259" i="6" l="1"/>
  <c r="F223" i="6"/>
  <c r="E259" i="6" s="1"/>
  <c r="AB89" i="4"/>
  <c r="D100" i="4"/>
  <c r="X89" i="5"/>
  <c r="X90" i="5" s="1"/>
  <c r="AH103" i="5"/>
  <c r="E218" i="5"/>
  <c r="F218" i="5" s="1"/>
  <c r="AG81" i="6"/>
  <c r="D224" i="6"/>
  <c r="Y89" i="5"/>
  <c r="B100" i="5"/>
  <c r="AE89" i="6"/>
  <c r="AI102" i="4"/>
  <c r="D224" i="4"/>
  <c r="AH39" i="5"/>
  <c r="AG79" i="5"/>
  <c r="S89" i="5"/>
  <c r="H89" i="6"/>
  <c r="D224" i="5"/>
  <c r="G89" i="4"/>
  <c r="G82" i="4" s="1"/>
  <c r="W89" i="4"/>
  <c r="AH103" i="4"/>
  <c r="L89" i="5"/>
  <c r="L82" i="5" s="1"/>
  <c r="Q89" i="6"/>
  <c r="Q90" i="6" s="1"/>
  <c r="C259" i="6"/>
  <c r="Y89" i="4"/>
  <c r="AG81" i="5"/>
  <c r="E89" i="5"/>
  <c r="M89" i="5"/>
  <c r="AH39" i="6"/>
  <c r="H79" i="6"/>
  <c r="H81" i="6" s="1"/>
  <c r="H7" i="6" s="1"/>
  <c r="U79" i="6"/>
  <c r="U81" i="6" s="1"/>
  <c r="X89" i="4"/>
  <c r="F89" i="5"/>
  <c r="F90" i="5" s="1"/>
  <c r="B224" i="5"/>
  <c r="AF89" i="6"/>
  <c r="AF90" i="6" s="1"/>
  <c r="AF79" i="6"/>
  <c r="AF81" i="6" s="1"/>
  <c r="AE79" i="6"/>
  <c r="AE81" i="6" s="1"/>
  <c r="AD89" i="6"/>
  <c r="AD90" i="6" s="1"/>
  <c r="AD79" i="6"/>
  <c r="AD81" i="6" s="1"/>
  <c r="AC89" i="6"/>
  <c r="AC90" i="6" s="1"/>
  <c r="AB89" i="6"/>
  <c r="AB90" i="6" s="1"/>
  <c r="AC79" i="6"/>
  <c r="AC81" i="6" s="1"/>
  <c r="AB79" i="6"/>
  <c r="AB81" i="6" s="1"/>
  <c r="AB7" i="6" s="1"/>
  <c r="AA89" i="6"/>
  <c r="AA90" i="6" s="1"/>
  <c r="AA79" i="6"/>
  <c r="AA81" i="6" s="1"/>
  <c r="AA7" i="6" s="1"/>
  <c r="Z89" i="6"/>
  <c r="Z90" i="6" s="1"/>
  <c r="Z79" i="6"/>
  <c r="Z81" i="6" s="1"/>
  <c r="Y89" i="6"/>
  <c r="Y90" i="6" s="1"/>
  <c r="Y79" i="6"/>
  <c r="Y81" i="6" s="1"/>
  <c r="Y7" i="6" s="1"/>
  <c r="X89" i="6"/>
  <c r="X79" i="6"/>
  <c r="X81" i="6" s="1"/>
  <c r="AP238" i="6" s="1"/>
  <c r="W89" i="6"/>
  <c r="W90" i="6" s="1"/>
  <c r="W79" i="6"/>
  <c r="W81" i="6" s="1"/>
  <c r="AO238" i="6" s="1"/>
  <c r="V79" i="6"/>
  <c r="V81" i="6" s="1"/>
  <c r="V7" i="6" s="1"/>
  <c r="V89" i="6"/>
  <c r="V90" i="6" s="1"/>
  <c r="U89" i="6"/>
  <c r="U90" i="6" s="1"/>
  <c r="T90" i="6"/>
  <c r="T79" i="6"/>
  <c r="T81" i="6" s="1"/>
  <c r="T7" i="6" s="1"/>
  <c r="S89" i="6"/>
  <c r="S90" i="6" s="1"/>
  <c r="R89" i="6"/>
  <c r="R90" i="6" s="1"/>
  <c r="R79" i="6"/>
  <c r="R81" i="6" s="1"/>
  <c r="R7" i="6" s="1"/>
  <c r="Q79" i="6"/>
  <c r="Q81" i="6" s="1"/>
  <c r="Q7" i="6" s="1"/>
  <c r="P89" i="6"/>
  <c r="P79" i="6"/>
  <c r="P81" i="6" s="1"/>
  <c r="O89" i="6"/>
  <c r="O79" i="6"/>
  <c r="O81" i="6" s="1"/>
  <c r="AG238" i="6" s="1"/>
  <c r="N89" i="6"/>
  <c r="N90" i="6" s="1"/>
  <c r="N79" i="6"/>
  <c r="N81" i="6" s="1"/>
  <c r="M89" i="6"/>
  <c r="M90" i="6" s="1"/>
  <c r="M79" i="6"/>
  <c r="M81" i="6" s="1"/>
  <c r="L89" i="6"/>
  <c r="K89" i="6"/>
  <c r="K90" i="6" s="1"/>
  <c r="L90" i="6"/>
  <c r="J89" i="6"/>
  <c r="J90" i="6" s="1"/>
  <c r="K79" i="6"/>
  <c r="K81" i="6" s="1"/>
  <c r="K7" i="6" s="1"/>
  <c r="J79" i="6"/>
  <c r="J81" i="6" s="1"/>
  <c r="J82" i="6" s="1"/>
  <c r="I89" i="6"/>
  <c r="I90" i="6" s="1"/>
  <c r="AI85" i="6"/>
  <c r="I79" i="6"/>
  <c r="I81" i="6" s="1"/>
  <c r="I7" i="6" s="1"/>
  <c r="G89" i="6"/>
  <c r="G79" i="6"/>
  <c r="G81" i="6" s="1"/>
  <c r="G82" i="6" s="1"/>
  <c r="F89" i="6"/>
  <c r="F90" i="6" s="1"/>
  <c r="F79" i="6"/>
  <c r="F81" i="6" s="1"/>
  <c r="F82" i="6" s="1"/>
  <c r="E79" i="6"/>
  <c r="E81" i="6" s="1"/>
  <c r="E7" i="6" s="1"/>
  <c r="E89" i="6"/>
  <c r="E90" i="6" s="1"/>
  <c r="D89" i="6"/>
  <c r="D90" i="6" s="1"/>
  <c r="AI84" i="6"/>
  <c r="AH62" i="6"/>
  <c r="L79" i="6"/>
  <c r="L81" i="6" s="1"/>
  <c r="L82" i="6" s="1"/>
  <c r="D79" i="6"/>
  <c r="D81" i="6" s="1"/>
  <c r="V238" i="6" s="1"/>
  <c r="AH74" i="6"/>
  <c r="AI86" i="6"/>
  <c r="AI83" i="6"/>
  <c r="C89" i="6"/>
  <c r="C90" i="6" s="1"/>
  <c r="AI87" i="6"/>
  <c r="AI62" i="6"/>
  <c r="AH58" i="6"/>
  <c r="AI44" i="6"/>
  <c r="C79" i="6"/>
  <c r="C81" i="6" s="1"/>
  <c r="C7" i="6" s="1"/>
  <c r="AI40" i="6"/>
  <c r="AH85" i="6"/>
  <c r="AF5" i="6"/>
  <c r="AI58" i="6"/>
  <c r="H4" i="6"/>
  <c r="AD7" i="6"/>
  <c r="AV238" i="6"/>
  <c r="U7" i="6"/>
  <c r="AM238" i="6"/>
  <c r="AC7" i="6"/>
  <c r="AU238" i="6"/>
  <c r="AC82" i="6"/>
  <c r="N7" i="6"/>
  <c r="AF238" i="6"/>
  <c r="Y238" i="6"/>
  <c r="W82" i="6"/>
  <c r="W7" i="6"/>
  <c r="AW238" i="6"/>
  <c r="AE82" i="6"/>
  <c r="AE7" i="6"/>
  <c r="P7" i="6"/>
  <c r="AH238" i="6"/>
  <c r="P82" i="6"/>
  <c r="AF7" i="6"/>
  <c r="AX238" i="6"/>
  <c r="AF82" i="6"/>
  <c r="Q82" i="6"/>
  <c r="AQ238" i="6"/>
  <c r="Y82" i="6"/>
  <c r="AJ238" i="6"/>
  <c r="R82" i="6"/>
  <c r="Z7" i="6"/>
  <c r="AR238" i="6"/>
  <c r="C82" i="6"/>
  <c r="AK238" i="6"/>
  <c r="S7" i="6"/>
  <c r="AS238" i="6"/>
  <c r="AA82" i="6"/>
  <c r="H90" i="6"/>
  <c r="P90" i="6"/>
  <c r="X90" i="6"/>
  <c r="AL238" i="6"/>
  <c r="T82" i="6"/>
  <c r="AT238" i="6"/>
  <c r="G90" i="6"/>
  <c r="O90" i="6"/>
  <c r="AE90" i="6"/>
  <c r="D100" i="6"/>
  <c r="D235" i="6"/>
  <c r="B5" i="6"/>
  <c r="J5" i="6"/>
  <c r="R5" i="6"/>
  <c r="Z5" i="6"/>
  <c r="AI74" i="6"/>
  <c r="AH83" i="6"/>
  <c r="B89" i="6"/>
  <c r="D5" i="6"/>
  <c r="L5" i="6"/>
  <c r="AB5" i="6"/>
  <c r="AH84" i="6"/>
  <c r="E218" i="6"/>
  <c r="G223" i="6"/>
  <c r="AH40" i="6"/>
  <c r="AH44" i="6"/>
  <c r="B79" i="6"/>
  <c r="AH86" i="6"/>
  <c r="B224" i="6"/>
  <c r="AH87" i="6"/>
  <c r="AF89" i="5"/>
  <c r="AF90" i="5" s="1"/>
  <c r="AF79" i="5"/>
  <c r="AF81" i="5" s="1"/>
  <c r="AE89" i="5"/>
  <c r="AE90" i="5" s="1"/>
  <c r="AE79" i="5"/>
  <c r="AE81" i="5" s="1"/>
  <c r="AW238" i="5" s="1"/>
  <c r="AC89" i="5"/>
  <c r="AD89" i="5"/>
  <c r="AD90" i="5" s="1"/>
  <c r="AD79" i="5"/>
  <c r="AD81" i="5" s="1"/>
  <c r="AC79" i="5"/>
  <c r="AC81" i="5" s="1"/>
  <c r="AC82" i="5" s="1"/>
  <c r="AB89" i="5"/>
  <c r="AB79" i="5"/>
  <c r="AB81" i="5" s="1"/>
  <c r="AA79" i="5"/>
  <c r="AA81" i="5" s="1"/>
  <c r="AA82" i="5" s="1"/>
  <c r="AA89" i="5"/>
  <c r="Z89" i="5"/>
  <c r="Z90" i="5" s="1"/>
  <c r="Z79" i="5"/>
  <c r="Z81" i="5" s="1"/>
  <c r="AR238" i="5" s="1"/>
  <c r="Y79" i="5"/>
  <c r="Y81" i="5" s="1"/>
  <c r="X79" i="5"/>
  <c r="X81" i="5" s="1"/>
  <c r="X7" i="5" s="1"/>
  <c r="W79" i="5"/>
  <c r="W81" i="5" s="1"/>
  <c r="V89" i="5"/>
  <c r="V82" i="5" s="1"/>
  <c r="V90" i="5"/>
  <c r="V79" i="5"/>
  <c r="V81" i="5" s="1"/>
  <c r="U89" i="5"/>
  <c r="U90" i="5" s="1"/>
  <c r="T89" i="5"/>
  <c r="T79" i="5"/>
  <c r="T81" i="5" s="1"/>
  <c r="AL238" i="5" s="1"/>
  <c r="S79" i="5"/>
  <c r="S81" i="5" s="1"/>
  <c r="S7" i="5" s="1"/>
  <c r="Q79" i="5"/>
  <c r="Q81" i="5" s="1"/>
  <c r="R89" i="5"/>
  <c r="R90" i="5" s="1"/>
  <c r="Q5" i="5"/>
  <c r="R79" i="5"/>
  <c r="R81" i="5" s="1"/>
  <c r="Q89" i="5"/>
  <c r="Q82" i="5" s="1"/>
  <c r="P89" i="5"/>
  <c r="P90" i="5" s="1"/>
  <c r="P79" i="5"/>
  <c r="P81" i="5" s="1"/>
  <c r="AH238" i="5" s="1"/>
  <c r="O89" i="5"/>
  <c r="O90" i="5" s="1"/>
  <c r="O79" i="5"/>
  <c r="O81" i="5" s="1"/>
  <c r="N89" i="5"/>
  <c r="N90" i="5" s="1"/>
  <c r="M5" i="5"/>
  <c r="N79" i="5"/>
  <c r="N81" i="5" s="1"/>
  <c r="N82" i="5" s="1"/>
  <c r="M79" i="5"/>
  <c r="M81" i="5" s="1"/>
  <c r="M82" i="5" s="1"/>
  <c r="L79" i="5"/>
  <c r="L81" i="5" s="1"/>
  <c r="L7" i="5" s="1"/>
  <c r="K89" i="5"/>
  <c r="K90" i="5" s="1"/>
  <c r="K79" i="5"/>
  <c r="K81" i="5" s="1"/>
  <c r="K7" i="5" s="1"/>
  <c r="J89" i="5"/>
  <c r="J90" i="5" s="1"/>
  <c r="I5" i="5"/>
  <c r="J79" i="5"/>
  <c r="J81" i="5" s="1"/>
  <c r="AB238" i="5" s="1"/>
  <c r="AI44" i="5"/>
  <c r="AI85" i="5"/>
  <c r="I89" i="5"/>
  <c r="I79" i="5"/>
  <c r="I81" i="5" s="1"/>
  <c r="I7" i="5" s="1"/>
  <c r="H89" i="5"/>
  <c r="H90" i="5" s="1"/>
  <c r="H79" i="5"/>
  <c r="H81" i="5" s="1"/>
  <c r="G90" i="5"/>
  <c r="E5" i="5"/>
  <c r="F79" i="5"/>
  <c r="F81" i="5" s="1"/>
  <c r="F82" i="5" s="1"/>
  <c r="E79" i="5"/>
  <c r="E81" i="5" s="1"/>
  <c r="E7" i="5" s="1"/>
  <c r="AI58" i="5"/>
  <c r="D89" i="5"/>
  <c r="AI87" i="5"/>
  <c r="AI84" i="5"/>
  <c r="AI62" i="5"/>
  <c r="G79" i="5"/>
  <c r="G81" i="5" s="1"/>
  <c r="Y238" i="5" s="1"/>
  <c r="D79" i="5"/>
  <c r="D81" i="5" s="1"/>
  <c r="D7" i="5" s="1"/>
  <c r="AI40" i="5"/>
  <c r="AI83" i="5"/>
  <c r="C89" i="5"/>
  <c r="AI86" i="5"/>
  <c r="C79" i="5"/>
  <c r="C81" i="5" s="1"/>
  <c r="U238" i="5" s="1"/>
  <c r="AH85" i="5"/>
  <c r="AH84" i="5"/>
  <c r="D235" i="5"/>
  <c r="H4" i="5"/>
  <c r="S82" i="5"/>
  <c r="T7" i="5"/>
  <c r="T82" i="5"/>
  <c r="AB7" i="5"/>
  <c r="AT238" i="5"/>
  <c r="AB82" i="5"/>
  <c r="G218" i="5"/>
  <c r="U7" i="5"/>
  <c r="AM238" i="5"/>
  <c r="AC7" i="5"/>
  <c r="AU238" i="5"/>
  <c r="AA7" i="5"/>
  <c r="AS238" i="5"/>
  <c r="F7" i="5"/>
  <c r="X238" i="5"/>
  <c r="N7" i="5"/>
  <c r="AF238" i="5"/>
  <c r="V7" i="5"/>
  <c r="AN238" i="5"/>
  <c r="AD7" i="5"/>
  <c r="AV238" i="5"/>
  <c r="AC238" i="5"/>
  <c r="AG238" i="5"/>
  <c r="O7" i="5"/>
  <c r="AO238" i="5"/>
  <c r="W82" i="5"/>
  <c r="W7" i="5"/>
  <c r="AE7" i="5"/>
  <c r="Z238" i="5"/>
  <c r="H82" i="5"/>
  <c r="H7" i="5"/>
  <c r="P82" i="5"/>
  <c r="P7" i="5"/>
  <c r="AX238" i="5"/>
  <c r="AF7" i="5"/>
  <c r="C90" i="5"/>
  <c r="S90" i="5"/>
  <c r="AA90" i="5"/>
  <c r="AA238" i="5"/>
  <c r="I82" i="5"/>
  <c r="Q7" i="5"/>
  <c r="AI238" i="5"/>
  <c r="Y7" i="5"/>
  <c r="AQ238" i="5"/>
  <c r="Y82" i="5"/>
  <c r="D90" i="5"/>
  <c r="T90" i="5"/>
  <c r="AB90" i="5"/>
  <c r="R7" i="5"/>
  <c r="AJ238" i="5"/>
  <c r="Z7" i="5"/>
  <c r="E90" i="5"/>
  <c r="M90" i="5"/>
  <c r="AC90" i="5"/>
  <c r="AH58" i="5"/>
  <c r="AH62" i="5"/>
  <c r="AH74" i="5"/>
  <c r="E219" i="5"/>
  <c r="E223" i="5"/>
  <c r="AI74" i="5"/>
  <c r="AH83" i="5"/>
  <c r="B89" i="5"/>
  <c r="B90" i="5" s="1"/>
  <c r="I90" i="5"/>
  <c r="Q90" i="5"/>
  <c r="Y90" i="5"/>
  <c r="AH40" i="5"/>
  <c r="AH44" i="5"/>
  <c r="B79" i="5"/>
  <c r="AH86" i="5"/>
  <c r="AH87" i="5"/>
  <c r="AE89" i="4"/>
  <c r="AE82" i="4" s="1"/>
  <c r="AE79" i="4"/>
  <c r="AE81" i="4" s="1"/>
  <c r="AC89" i="4"/>
  <c r="AD79" i="4"/>
  <c r="AD81" i="4" s="1"/>
  <c r="AD7" i="4" s="1"/>
  <c r="AB79" i="4"/>
  <c r="AB81" i="4" s="1"/>
  <c r="AA79" i="4"/>
  <c r="AA81" i="4" s="1"/>
  <c r="Y79" i="4"/>
  <c r="Y81" i="4" s="1"/>
  <c r="AQ238" i="4" s="1"/>
  <c r="X79" i="4"/>
  <c r="X81" i="4" s="1"/>
  <c r="X82" i="4" s="1"/>
  <c r="X99" i="4" s="1"/>
  <c r="X90" i="4"/>
  <c r="W5" i="4"/>
  <c r="W79" i="4"/>
  <c r="W81" i="4" s="1"/>
  <c r="W7" i="4" s="1"/>
  <c r="AH39" i="4"/>
  <c r="U89" i="4"/>
  <c r="T89" i="4"/>
  <c r="T79" i="4"/>
  <c r="T81" i="4" s="1"/>
  <c r="T7" i="4" s="1"/>
  <c r="S79" i="4"/>
  <c r="S81" i="4" s="1"/>
  <c r="Q89" i="4"/>
  <c r="Q90" i="4" s="1"/>
  <c r="Q79" i="4"/>
  <c r="Q81" i="4" s="1"/>
  <c r="O89" i="4"/>
  <c r="O79" i="4"/>
  <c r="O81" i="4" s="1"/>
  <c r="AG238" i="4" s="1"/>
  <c r="N89" i="4"/>
  <c r="N90" i="4" s="1"/>
  <c r="M89" i="4"/>
  <c r="N79" i="4"/>
  <c r="N81" i="4" s="1"/>
  <c r="N82" i="4" s="1"/>
  <c r="L89" i="4"/>
  <c r="L79" i="4"/>
  <c r="L81" i="4" s="1"/>
  <c r="AD238" i="4" s="1"/>
  <c r="M79" i="4"/>
  <c r="M81" i="4" s="1"/>
  <c r="AE238" i="4" s="1"/>
  <c r="U79" i="4"/>
  <c r="U81" i="4" s="1"/>
  <c r="AM238" i="4" s="1"/>
  <c r="AC79" i="4"/>
  <c r="AC81" i="4" s="1"/>
  <c r="AU238" i="4" s="1"/>
  <c r="Y90" i="4"/>
  <c r="V89" i="4"/>
  <c r="V90" i="4" s="1"/>
  <c r="AD89" i="4"/>
  <c r="AD90" i="4" s="1"/>
  <c r="P89" i="4"/>
  <c r="P90" i="4" s="1"/>
  <c r="AF89" i="4"/>
  <c r="AF90" i="4" s="1"/>
  <c r="AI85" i="4"/>
  <c r="AH87" i="4"/>
  <c r="P79" i="4"/>
  <c r="P81" i="4" s="1"/>
  <c r="P7" i="4" s="1"/>
  <c r="X7" i="4"/>
  <c r="AF79" i="4"/>
  <c r="AF81" i="4" s="1"/>
  <c r="AF7" i="4" s="1"/>
  <c r="AG6" i="4"/>
  <c r="AH62" i="4"/>
  <c r="R89" i="4"/>
  <c r="R90" i="4" s="1"/>
  <c r="Z89" i="4"/>
  <c r="Z90" i="4" s="1"/>
  <c r="E218" i="4"/>
  <c r="E224" i="4" s="1"/>
  <c r="J79" i="4"/>
  <c r="J81" i="4" s="1"/>
  <c r="AB238" i="4" s="1"/>
  <c r="R79" i="4"/>
  <c r="R81" i="4" s="1"/>
  <c r="R82" i="4" s="1"/>
  <c r="Z79" i="4"/>
  <c r="Z81" i="4" s="1"/>
  <c r="Z7" i="4" s="1"/>
  <c r="K89" i="4"/>
  <c r="S89" i="4"/>
  <c r="S90" i="4" s="1"/>
  <c r="AA89" i="4"/>
  <c r="AA82" i="4" s="1"/>
  <c r="E223" i="4"/>
  <c r="D259" i="4" s="1"/>
  <c r="O90" i="4"/>
  <c r="W90" i="4"/>
  <c r="AG81" i="4"/>
  <c r="I79" i="4"/>
  <c r="I81" i="4" s="1"/>
  <c r="I7" i="4" s="1"/>
  <c r="H89" i="4"/>
  <c r="H90" i="4" s="1"/>
  <c r="H79" i="4"/>
  <c r="H81" i="4" s="1"/>
  <c r="Z238" i="4" s="1"/>
  <c r="AI84" i="4"/>
  <c r="G90" i="4"/>
  <c r="G79" i="4"/>
  <c r="G81" i="4" s="1"/>
  <c r="G7" i="4" s="1"/>
  <c r="AI44" i="4"/>
  <c r="F89" i="4"/>
  <c r="F90" i="4" s="1"/>
  <c r="AI83" i="4"/>
  <c r="J89" i="4"/>
  <c r="J90" i="4" s="1"/>
  <c r="K79" i="4"/>
  <c r="K81" i="4" s="1"/>
  <c r="AC238" i="4" s="1"/>
  <c r="I90" i="4"/>
  <c r="E89" i="4"/>
  <c r="E90" i="4" s="1"/>
  <c r="F79" i="4"/>
  <c r="F81" i="4" s="1"/>
  <c r="X238" i="4" s="1"/>
  <c r="E79" i="4"/>
  <c r="E81" i="4" s="1"/>
  <c r="W238" i="4" s="1"/>
  <c r="AI87" i="4"/>
  <c r="D89" i="4"/>
  <c r="D90" i="4" s="1"/>
  <c r="D79" i="4"/>
  <c r="D81" i="4" s="1"/>
  <c r="V238" i="4" s="1"/>
  <c r="AI86" i="4"/>
  <c r="C89" i="4"/>
  <c r="C79" i="4"/>
  <c r="C81" i="4" s="1"/>
  <c r="U238" i="4" s="1"/>
  <c r="AH58" i="4"/>
  <c r="AI40" i="4"/>
  <c r="S235" i="4"/>
  <c r="H4" i="4"/>
  <c r="S7" i="4"/>
  <c r="AK238" i="4"/>
  <c r="AC7" i="4"/>
  <c r="V7" i="4"/>
  <c r="AN238" i="4"/>
  <c r="AA7" i="4"/>
  <c r="AS238" i="4"/>
  <c r="AB7" i="4"/>
  <c r="AT238" i="4"/>
  <c r="AB82" i="4"/>
  <c r="Y238" i="4"/>
  <c r="O82" i="4"/>
  <c r="AO238" i="4"/>
  <c r="W82" i="4"/>
  <c r="AW238" i="4"/>
  <c r="AE7" i="4"/>
  <c r="C90" i="4"/>
  <c r="K90" i="4"/>
  <c r="H7" i="4"/>
  <c r="AP238" i="4"/>
  <c r="L90" i="4"/>
  <c r="AB90" i="4"/>
  <c r="T82" i="4"/>
  <c r="T90" i="4"/>
  <c r="AI238" i="4"/>
  <c r="Q7" i="4"/>
  <c r="Q82" i="4"/>
  <c r="Y7" i="4"/>
  <c r="AG79" i="4"/>
  <c r="M90" i="4"/>
  <c r="U90" i="4"/>
  <c r="AC90" i="4"/>
  <c r="AH74" i="4"/>
  <c r="I5" i="4"/>
  <c r="Q5" i="4"/>
  <c r="Y5" i="4"/>
  <c r="AI58" i="4"/>
  <c r="AI62" i="4"/>
  <c r="AI74" i="4"/>
  <c r="AH83" i="4"/>
  <c r="B89" i="4"/>
  <c r="F223" i="4"/>
  <c r="AH84" i="4"/>
  <c r="AH40" i="4"/>
  <c r="AH44" i="4"/>
  <c r="B79" i="4"/>
  <c r="AH85" i="4"/>
  <c r="AH86" i="4"/>
  <c r="B224" i="4"/>
  <c r="D82" i="6" l="1"/>
  <c r="X7" i="6"/>
  <c r="Y82" i="4"/>
  <c r="AL238" i="4"/>
  <c r="C7" i="4"/>
  <c r="S82" i="4"/>
  <c r="Z82" i="5"/>
  <c r="AD82" i="5"/>
  <c r="AK238" i="5"/>
  <c r="S82" i="6"/>
  <c r="AI238" i="6"/>
  <c r="F7" i="6"/>
  <c r="N82" i="6"/>
  <c r="X238" i="6"/>
  <c r="O7" i="4"/>
  <c r="L90" i="5"/>
  <c r="AI90" i="5" s="1"/>
  <c r="AF82" i="5"/>
  <c r="U82" i="5"/>
  <c r="AB82" i="6"/>
  <c r="AD82" i="6"/>
  <c r="AV238" i="4"/>
  <c r="R82" i="5"/>
  <c r="X82" i="5"/>
  <c r="O82" i="5"/>
  <c r="V82" i="6"/>
  <c r="H82" i="6"/>
  <c r="E82" i="5"/>
  <c r="AN238" i="6"/>
  <c r="Z238" i="6"/>
  <c r="H82" i="4"/>
  <c r="AE90" i="4"/>
  <c r="AP238" i="5"/>
  <c r="AE82" i="5"/>
  <c r="G7" i="5"/>
  <c r="W238" i="5"/>
  <c r="X82" i="6"/>
  <c r="J7" i="5"/>
  <c r="K82" i="5"/>
  <c r="AD238" i="5"/>
  <c r="Z82" i="6"/>
  <c r="U82" i="6"/>
  <c r="O7" i="6"/>
  <c r="O82" i="6"/>
  <c r="M82" i="6"/>
  <c r="AE238" i="6"/>
  <c r="M7" i="6"/>
  <c r="AB238" i="6"/>
  <c r="J7" i="6"/>
  <c r="K82" i="6"/>
  <c r="AC238" i="6"/>
  <c r="AD238" i="6"/>
  <c r="L7" i="6"/>
  <c r="I82" i="6"/>
  <c r="AA238" i="6"/>
  <c r="G7" i="6"/>
  <c r="B233" i="6"/>
  <c r="C233" i="6"/>
  <c r="E82" i="6"/>
  <c r="W238" i="6"/>
  <c r="D7" i="6"/>
  <c r="U238" i="6"/>
  <c r="B90" i="6"/>
  <c r="AI89" i="6"/>
  <c r="AH89" i="6"/>
  <c r="F218" i="6"/>
  <c r="E100" i="6"/>
  <c r="E224" i="6"/>
  <c r="F259" i="6"/>
  <c r="H223" i="6"/>
  <c r="AI79" i="6"/>
  <c r="AH79" i="6"/>
  <c r="B81" i="6"/>
  <c r="AE238" i="5"/>
  <c r="M7" i="5"/>
  <c r="C233" i="5"/>
  <c r="J82" i="5"/>
  <c r="B233" i="5"/>
  <c r="G82" i="5"/>
  <c r="C7" i="5"/>
  <c r="V238" i="5"/>
  <c r="D82" i="5"/>
  <c r="C82" i="5"/>
  <c r="AI89" i="5"/>
  <c r="AH89" i="5"/>
  <c r="B81" i="5"/>
  <c r="AI79" i="5"/>
  <c r="AH79" i="5"/>
  <c r="D259" i="5"/>
  <c r="F223" i="5"/>
  <c r="E100" i="5"/>
  <c r="E224" i="5"/>
  <c r="F219" i="5"/>
  <c r="H218" i="5"/>
  <c r="AF82" i="4"/>
  <c r="AX238" i="4"/>
  <c r="D7" i="4"/>
  <c r="D82" i="4"/>
  <c r="AD82" i="4"/>
  <c r="AC82" i="4"/>
  <c r="AA90" i="4"/>
  <c r="Z82" i="4"/>
  <c r="AR238" i="4"/>
  <c r="AI99" i="4"/>
  <c r="AH99" i="4"/>
  <c r="V82" i="4"/>
  <c r="U82" i="4"/>
  <c r="U7" i="4"/>
  <c r="P82" i="4"/>
  <c r="AH238" i="4"/>
  <c r="AF238" i="4"/>
  <c r="M7" i="4"/>
  <c r="AJ238" i="4"/>
  <c r="N7" i="4"/>
  <c r="R7" i="4"/>
  <c r="M82" i="4"/>
  <c r="L7" i="4"/>
  <c r="L82" i="4"/>
  <c r="K7" i="4"/>
  <c r="J7" i="4"/>
  <c r="F218" i="4"/>
  <c r="E100" i="4"/>
  <c r="K82" i="4"/>
  <c r="C82" i="4"/>
  <c r="J82" i="4"/>
  <c r="I82" i="4"/>
  <c r="AA238" i="4"/>
  <c r="B233" i="4"/>
  <c r="C233" i="4"/>
  <c r="F7" i="4"/>
  <c r="F82" i="4"/>
  <c r="E82" i="4"/>
  <c r="E7" i="4"/>
  <c r="AI79" i="4"/>
  <c r="AH79" i="4"/>
  <c r="B81" i="4"/>
  <c r="AI89" i="4"/>
  <c r="AH89" i="4"/>
  <c r="B90" i="4"/>
  <c r="E259" i="4"/>
  <c r="G223" i="4"/>
  <c r="AH90" i="5" l="1"/>
  <c r="K6" i="6"/>
  <c r="G218" i="6"/>
  <c r="F100" i="6"/>
  <c r="F224" i="6"/>
  <c r="B7" i="6"/>
  <c r="A7" i="6" s="1"/>
  <c r="T238" i="6"/>
  <c r="B82" i="6"/>
  <c r="AI81" i="6"/>
  <c r="AH81" i="6"/>
  <c r="AI90" i="6"/>
  <c r="AH90" i="6"/>
  <c r="G259" i="6"/>
  <c r="I223" i="6"/>
  <c r="K6" i="5"/>
  <c r="E259" i="5"/>
  <c r="G223" i="5"/>
  <c r="F100" i="5"/>
  <c r="I218" i="5"/>
  <c r="G219" i="5"/>
  <c r="F224" i="5"/>
  <c r="B7" i="5"/>
  <c r="A7" i="5" s="1"/>
  <c r="T238" i="5"/>
  <c r="B82" i="5"/>
  <c r="AH81" i="5"/>
  <c r="AI81" i="5"/>
  <c r="K6" i="4"/>
  <c r="G218" i="4"/>
  <c r="F224" i="4"/>
  <c r="F100" i="4"/>
  <c r="F259" i="4"/>
  <c r="H223" i="4"/>
  <c r="AI90" i="4"/>
  <c r="AH90" i="4"/>
  <c r="B7" i="4"/>
  <c r="A7" i="4" s="1"/>
  <c r="T238" i="4"/>
  <c r="B82" i="4"/>
  <c r="AI81" i="4"/>
  <c r="AH81" i="4"/>
  <c r="AI82" i="6" l="1"/>
  <c r="AH82" i="6"/>
  <c r="H259" i="6"/>
  <c r="J223" i="6"/>
  <c r="H218" i="6"/>
  <c r="G100" i="6"/>
  <c r="G224" i="6"/>
  <c r="J218" i="5"/>
  <c r="AI82" i="5"/>
  <c r="AH82" i="5"/>
  <c r="F259" i="5"/>
  <c r="H223" i="5"/>
  <c r="G100" i="5"/>
  <c r="H219" i="5"/>
  <c r="G224" i="5"/>
  <c r="H218" i="4"/>
  <c r="G224" i="4"/>
  <c r="G100" i="4"/>
  <c r="AH82" i="4"/>
  <c r="AI82" i="4"/>
  <c r="G259" i="4"/>
  <c r="I223" i="4"/>
  <c r="I218" i="6" l="1"/>
  <c r="H100" i="6"/>
  <c r="H224" i="6"/>
  <c r="K223" i="6"/>
  <c r="I259" i="6"/>
  <c r="G259" i="5"/>
  <c r="I223" i="5"/>
  <c r="H100" i="5"/>
  <c r="K218" i="5"/>
  <c r="I219" i="5"/>
  <c r="H224" i="5"/>
  <c r="H100" i="4"/>
  <c r="H224" i="4"/>
  <c r="I218" i="4"/>
  <c r="H259" i="4"/>
  <c r="J223" i="4"/>
  <c r="T39" i="3"/>
  <c r="S103" i="3"/>
  <c r="S39" i="3"/>
  <c r="R103" i="3"/>
  <c r="J259" i="6" l="1"/>
  <c r="L223" i="6"/>
  <c r="I100" i="6"/>
  <c r="I224" i="6"/>
  <c r="J218" i="6"/>
  <c r="L218" i="5"/>
  <c r="H259" i="5"/>
  <c r="J223" i="5"/>
  <c r="I100" i="5"/>
  <c r="J219" i="5"/>
  <c r="I224" i="5"/>
  <c r="I224" i="4"/>
  <c r="J218" i="4"/>
  <c r="K218" i="4" s="1"/>
  <c r="I100" i="4"/>
  <c r="L218" i="4"/>
  <c r="K223" i="4"/>
  <c r="I259" i="4"/>
  <c r="J224" i="4" l="1"/>
  <c r="J100" i="4"/>
  <c r="J100" i="6"/>
  <c r="J224" i="6"/>
  <c r="K218" i="6"/>
  <c r="K259" i="6"/>
  <c r="M223" i="6"/>
  <c r="M218" i="5"/>
  <c r="K223" i="5"/>
  <c r="I259" i="5"/>
  <c r="J100" i="5"/>
  <c r="K219" i="5"/>
  <c r="J224" i="5"/>
  <c r="J259" i="4"/>
  <c r="L223" i="4"/>
  <c r="L100" i="4" s="1"/>
  <c r="L224" i="4"/>
  <c r="M218" i="4"/>
  <c r="K224" i="4"/>
  <c r="K100" i="4"/>
  <c r="K100" i="6" l="1"/>
  <c r="K224" i="6"/>
  <c r="L218" i="6"/>
  <c r="L259" i="6"/>
  <c r="N223" i="6"/>
  <c r="L223" i="5"/>
  <c r="J259" i="5"/>
  <c r="K100" i="5"/>
  <c r="N218" i="5"/>
  <c r="L219" i="5"/>
  <c r="K224" i="5"/>
  <c r="N218" i="4"/>
  <c r="M100" i="4"/>
  <c r="M223" i="4"/>
  <c r="K259" i="4"/>
  <c r="M259" i="6" l="1"/>
  <c r="O223" i="6"/>
  <c r="L224" i="6"/>
  <c r="M218" i="6"/>
  <c r="L100" i="6"/>
  <c r="O218" i="5"/>
  <c r="M219" i="5"/>
  <c r="L224" i="5"/>
  <c r="K259" i="5"/>
  <c r="M223" i="5"/>
  <c r="L100" i="5"/>
  <c r="L259" i="4"/>
  <c r="N223" i="4"/>
  <c r="N224" i="4" s="1"/>
  <c r="M224" i="4"/>
  <c r="O218" i="4"/>
  <c r="N100" i="4"/>
  <c r="N218" i="6" l="1"/>
  <c r="M100" i="6"/>
  <c r="M224" i="6"/>
  <c r="N259" i="6"/>
  <c r="P223" i="6"/>
  <c r="O259" i="6" s="1"/>
  <c r="L259" i="5"/>
  <c r="N223" i="5"/>
  <c r="M100" i="5"/>
  <c r="N219" i="5"/>
  <c r="M224" i="5"/>
  <c r="P218" i="5"/>
  <c r="M259" i="4"/>
  <c r="O223" i="4"/>
  <c r="P218" i="4"/>
  <c r="O100" i="4"/>
  <c r="O224" i="4"/>
  <c r="O218" i="6" l="1"/>
  <c r="N100" i="6"/>
  <c r="N224" i="6"/>
  <c r="O219" i="5"/>
  <c r="N224" i="5"/>
  <c r="M259" i="5"/>
  <c r="O223" i="5"/>
  <c r="N100" i="5"/>
  <c r="N259" i="4"/>
  <c r="P223" i="4"/>
  <c r="O259" i="4" s="1"/>
  <c r="P100" i="4"/>
  <c r="P224" i="4"/>
  <c r="P218" i="6" l="1"/>
  <c r="O100" i="6"/>
  <c r="O224" i="6"/>
  <c r="N259" i="5"/>
  <c r="P223" i="5"/>
  <c r="O100" i="5"/>
  <c r="P219" i="5"/>
  <c r="P224" i="5" s="1"/>
  <c r="O224" i="5"/>
  <c r="AH100" i="4"/>
  <c r="AI100" i="4"/>
  <c r="P100" i="6" l="1"/>
  <c r="P224" i="6"/>
  <c r="O259" i="5"/>
  <c r="P100" i="5"/>
  <c r="AI100" i="6" l="1"/>
  <c r="AH100" i="6"/>
  <c r="AH100" i="5"/>
  <c r="AI100" i="5"/>
  <c r="R39" i="3" l="1"/>
  <c r="Q103" i="3"/>
  <c r="Q39" i="3"/>
  <c r="P103" i="3"/>
  <c r="P39" i="3"/>
  <c r="O103" i="3"/>
  <c r="O39" i="3"/>
  <c r="N103" i="3"/>
  <c r="N39" i="3"/>
  <c r="M103" i="3" l="1"/>
  <c r="L103" i="3"/>
  <c r="M39" i="3"/>
  <c r="L39" i="3"/>
  <c r="K103" i="3"/>
  <c r="K39" i="3"/>
  <c r="J103" i="3"/>
  <c r="J39" i="3"/>
  <c r="I103" i="3"/>
  <c r="I39" i="3"/>
  <c r="H103" i="3"/>
  <c r="H39" i="3"/>
  <c r="G103" i="3"/>
  <c r="G39" i="3"/>
  <c r="F103" i="3"/>
  <c r="F39" i="3"/>
  <c r="E103" i="3"/>
  <c r="E39" i="3"/>
  <c r="AK52" i="3"/>
  <c r="AK51" i="3"/>
  <c r="D103" i="3"/>
  <c r="D39" i="3"/>
  <c r="C103" i="3"/>
  <c r="AH103" i="3" s="1"/>
  <c r="C39" i="3"/>
  <c r="AI39" i="3" s="1"/>
  <c r="B10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B259" i="3"/>
  <c r="S23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D224" i="3"/>
  <c r="C224" i="3"/>
  <c r="D223" i="3"/>
  <c r="E223" i="3" s="1"/>
  <c r="B223" i="3"/>
  <c r="AF259" i="3" s="1"/>
  <c r="D222" i="3"/>
  <c r="E222" i="3" s="1"/>
  <c r="F222" i="3" s="1"/>
  <c r="G222" i="3" s="1"/>
  <c r="H222" i="3" s="1"/>
  <c r="I222" i="3" s="1"/>
  <c r="J222" i="3" s="1"/>
  <c r="K222" i="3" s="1"/>
  <c r="L222" i="3" s="1"/>
  <c r="M222" i="3" s="1"/>
  <c r="N222" i="3" s="1"/>
  <c r="O222" i="3" s="1"/>
  <c r="P222" i="3" s="1"/>
  <c r="B222" i="3"/>
  <c r="E221" i="3"/>
  <c r="F221" i="3" s="1"/>
  <c r="G221" i="3" s="1"/>
  <c r="H221" i="3" s="1"/>
  <c r="I221" i="3" s="1"/>
  <c r="J221" i="3" s="1"/>
  <c r="K221" i="3" s="1"/>
  <c r="L221" i="3" s="1"/>
  <c r="M221" i="3" s="1"/>
  <c r="N221" i="3" s="1"/>
  <c r="O221" i="3" s="1"/>
  <c r="P221" i="3" s="1"/>
  <c r="D221" i="3"/>
  <c r="B221" i="3"/>
  <c r="D220" i="3"/>
  <c r="E220" i="3" s="1"/>
  <c r="F220" i="3" s="1"/>
  <c r="G220" i="3" s="1"/>
  <c r="H220" i="3" s="1"/>
  <c r="I220" i="3" s="1"/>
  <c r="J220" i="3" s="1"/>
  <c r="K220" i="3" s="1"/>
  <c r="L220" i="3" s="1"/>
  <c r="M220" i="3" s="1"/>
  <c r="N220" i="3" s="1"/>
  <c r="O220" i="3" s="1"/>
  <c r="P220" i="3" s="1"/>
  <c r="B220" i="3"/>
  <c r="D219" i="3"/>
  <c r="E219" i="3" s="1"/>
  <c r="F219" i="3" s="1"/>
  <c r="G219" i="3" s="1"/>
  <c r="H219" i="3" s="1"/>
  <c r="I219" i="3" s="1"/>
  <c r="J219" i="3" s="1"/>
  <c r="K219" i="3" s="1"/>
  <c r="L219" i="3" s="1"/>
  <c r="M219" i="3" s="1"/>
  <c r="N219" i="3" s="1"/>
  <c r="O219" i="3" s="1"/>
  <c r="P219" i="3" s="1"/>
  <c r="B219" i="3"/>
  <c r="D218" i="3"/>
  <c r="E218" i="3" s="1"/>
  <c r="B218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I109" i="3"/>
  <c r="AH109" i="3"/>
  <c r="AI108" i="3"/>
  <c r="AH108" i="3"/>
  <c r="AI107" i="3"/>
  <c r="AH107" i="3"/>
  <c r="AI106" i="3"/>
  <c r="AH106" i="3"/>
  <c r="AI105" i="3"/>
  <c r="AH105" i="3"/>
  <c r="AI104" i="3"/>
  <c r="AH104" i="3"/>
  <c r="AI103" i="3"/>
  <c r="AI102" i="3"/>
  <c r="AH102" i="3"/>
  <c r="AI101" i="3"/>
  <c r="AH101" i="3"/>
  <c r="AF100" i="3"/>
  <c r="AE100" i="3"/>
  <c r="AD100" i="3"/>
  <c r="AC100" i="3"/>
  <c r="AB100" i="3"/>
  <c r="AA100" i="3"/>
  <c r="Z100" i="3"/>
  <c r="Y100" i="3"/>
  <c r="W100" i="3"/>
  <c r="V100" i="3"/>
  <c r="U100" i="3"/>
  <c r="T100" i="3"/>
  <c r="S100" i="3"/>
  <c r="R100" i="3"/>
  <c r="Q100" i="3"/>
  <c r="D100" i="3"/>
  <c r="AI99" i="3"/>
  <c r="AH99" i="3"/>
  <c r="AI98" i="3"/>
  <c r="AH98" i="3"/>
  <c r="AI97" i="3"/>
  <c r="AH97" i="3"/>
  <c r="AI96" i="3"/>
  <c r="AH96" i="3"/>
  <c r="AI95" i="3"/>
  <c r="AH95" i="3"/>
  <c r="AI94" i="3"/>
  <c r="AH94" i="3"/>
  <c r="AI93" i="3"/>
  <c r="AH93" i="3"/>
  <c r="AI92" i="3"/>
  <c r="AH92" i="3"/>
  <c r="AI91" i="3"/>
  <c r="AH91" i="3"/>
  <c r="AI88" i="3"/>
  <c r="AH88" i="3"/>
  <c r="AF87" i="3"/>
  <c r="AE87" i="3"/>
  <c r="AD87" i="3"/>
  <c r="AC87" i="3"/>
  <c r="AB87" i="3"/>
  <c r="AA87" i="3"/>
  <c r="Z87" i="3"/>
  <c r="Y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F86" i="3"/>
  <c r="AE86" i="3"/>
  <c r="AD86" i="3"/>
  <c r="AC86" i="3"/>
  <c r="AB86" i="3"/>
  <c r="AA86" i="3"/>
  <c r="Z86" i="3"/>
  <c r="Y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F85" i="3"/>
  <c r="AE85" i="3"/>
  <c r="AD85" i="3"/>
  <c r="AC85" i="3"/>
  <c r="AB85" i="3"/>
  <c r="AA85" i="3"/>
  <c r="Z85" i="3"/>
  <c r="Y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F84" i="3"/>
  <c r="AE84" i="3"/>
  <c r="AD84" i="3"/>
  <c r="AC84" i="3"/>
  <c r="AB84" i="3"/>
  <c r="AA84" i="3"/>
  <c r="Z84" i="3"/>
  <c r="Y84" i="3"/>
  <c r="W84" i="3"/>
  <c r="V84" i="3"/>
  <c r="U84" i="3"/>
  <c r="U89" i="3" s="1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/>
  <c r="AF83" i="3"/>
  <c r="AE83" i="3"/>
  <c r="AD83" i="3"/>
  <c r="AC83" i="3"/>
  <c r="AB83" i="3"/>
  <c r="AA83" i="3"/>
  <c r="Z83" i="3"/>
  <c r="Y83" i="3"/>
  <c r="W83" i="3"/>
  <c r="V83" i="3"/>
  <c r="U83" i="3"/>
  <c r="T83" i="3"/>
  <c r="S83" i="3"/>
  <c r="S89" i="3" s="1"/>
  <c r="R83" i="3"/>
  <c r="R89" i="3" s="1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I80" i="3"/>
  <c r="AH80" i="3"/>
  <c r="AI78" i="3"/>
  <c r="AH78" i="3"/>
  <c r="AG78" i="3"/>
  <c r="AI77" i="3"/>
  <c r="AH77" i="3"/>
  <c r="AI76" i="3"/>
  <c r="AH76" i="3"/>
  <c r="AI75" i="3"/>
  <c r="AH75" i="3"/>
  <c r="AG74" i="3"/>
  <c r="AF74" i="3"/>
  <c r="AE5" i="3" s="1"/>
  <c r="AE74" i="3"/>
  <c r="AD74" i="3"/>
  <c r="AC5" i="3" s="1"/>
  <c r="AC74" i="3"/>
  <c r="AB5" i="3" s="1"/>
  <c r="AB74" i="3"/>
  <c r="AA5" i="3" s="1"/>
  <c r="AA74" i="3"/>
  <c r="Z5" i="3" s="1"/>
  <c r="Z74" i="3"/>
  <c r="Y5" i="3" s="1"/>
  <c r="Y74" i="3"/>
  <c r="W5" i="3"/>
  <c r="W74" i="3"/>
  <c r="V5" i="3" s="1"/>
  <c r="V74" i="3"/>
  <c r="U5" i="3" s="1"/>
  <c r="U74" i="3"/>
  <c r="T5" i="3" s="1"/>
  <c r="T74" i="3"/>
  <c r="S5" i="3" s="1"/>
  <c r="S74" i="3"/>
  <c r="R5" i="3" s="1"/>
  <c r="R74" i="3"/>
  <c r="Q74" i="3"/>
  <c r="P74" i="3"/>
  <c r="O5" i="3" s="1"/>
  <c r="O74" i="3"/>
  <c r="N5" i="3" s="1"/>
  <c r="N74" i="3"/>
  <c r="M5" i="3" s="1"/>
  <c r="M74" i="3"/>
  <c r="L5" i="3" s="1"/>
  <c r="L74" i="3"/>
  <c r="K5" i="3" s="1"/>
  <c r="K74" i="3"/>
  <c r="J5" i="3" s="1"/>
  <c r="J74" i="3"/>
  <c r="I74" i="3"/>
  <c r="H74" i="3"/>
  <c r="G5" i="3" s="1"/>
  <c r="G74" i="3"/>
  <c r="F74" i="3"/>
  <c r="E5" i="3" s="1"/>
  <c r="E74" i="3"/>
  <c r="D5" i="3" s="1"/>
  <c r="D74" i="3"/>
  <c r="C5" i="3" s="1"/>
  <c r="C74" i="3"/>
  <c r="B5" i="3" s="1"/>
  <c r="B74" i="3"/>
  <c r="AF5" i="3" s="1"/>
  <c r="AI73" i="3"/>
  <c r="AH73" i="3"/>
  <c r="AI72" i="3"/>
  <c r="AH72" i="3"/>
  <c r="AI71" i="3"/>
  <c r="AH71" i="3"/>
  <c r="AI70" i="3"/>
  <c r="AH70" i="3"/>
  <c r="AI69" i="3"/>
  <c r="AH69" i="3"/>
  <c r="AI68" i="3"/>
  <c r="AH68" i="3"/>
  <c r="AI67" i="3"/>
  <c r="AH67" i="3"/>
  <c r="AI66" i="3"/>
  <c r="AH66" i="3"/>
  <c r="AI65" i="3"/>
  <c r="AH65" i="3"/>
  <c r="AI64" i="3"/>
  <c r="AH64" i="3"/>
  <c r="AI63" i="3"/>
  <c r="AH63" i="3"/>
  <c r="AG62" i="3"/>
  <c r="AF62" i="3"/>
  <c r="AE62" i="3"/>
  <c r="AD62" i="3"/>
  <c r="AC62" i="3"/>
  <c r="AB62" i="3"/>
  <c r="AA62" i="3"/>
  <c r="Z62" i="3"/>
  <c r="Y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I62" i="3" s="1"/>
  <c r="AI61" i="3"/>
  <c r="AH61" i="3"/>
  <c r="AI60" i="3"/>
  <c r="AH60" i="3"/>
  <c r="AI59" i="3"/>
  <c r="AH59" i="3"/>
  <c r="AF58" i="3"/>
  <c r="AE58" i="3"/>
  <c r="AD58" i="3"/>
  <c r="AC58" i="3"/>
  <c r="AB58" i="3"/>
  <c r="AA58" i="3"/>
  <c r="Z58" i="3"/>
  <c r="Y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I57" i="3"/>
  <c r="AH57" i="3"/>
  <c r="AG57" i="3"/>
  <c r="AG58" i="3" s="1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49" i="3"/>
  <c r="AH49" i="3"/>
  <c r="AI48" i="3"/>
  <c r="AH48" i="3"/>
  <c r="AI47" i="3"/>
  <c r="AH47" i="3"/>
  <c r="AI46" i="3"/>
  <c r="AH46" i="3"/>
  <c r="AI45" i="3"/>
  <c r="AH45" i="3"/>
  <c r="AG44" i="3"/>
  <c r="AF44" i="3"/>
  <c r="AE44" i="3"/>
  <c r="AD44" i="3"/>
  <c r="AC44" i="3"/>
  <c r="AB44" i="3"/>
  <c r="AA44" i="3"/>
  <c r="Z44" i="3"/>
  <c r="Y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I43" i="3"/>
  <c r="AH43" i="3"/>
  <c r="AI42" i="3"/>
  <c r="AH42" i="3"/>
  <c r="AI41" i="3"/>
  <c r="AH41" i="3"/>
  <c r="AG40" i="3"/>
  <c r="AF40" i="3"/>
  <c r="AE40" i="3"/>
  <c r="AD40" i="3"/>
  <c r="AC40" i="3"/>
  <c r="AB40" i="3"/>
  <c r="AA40" i="3"/>
  <c r="Z40" i="3"/>
  <c r="Y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AG4" i="3"/>
  <c r="K4" i="3"/>
  <c r="B4" i="3"/>
  <c r="S235" i="3" s="1"/>
  <c r="AG2" i="3"/>
  <c r="AF103" i="1"/>
  <c r="AF39" i="1"/>
  <c r="AE103" i="1"/>
  <c r="AE39" i="1"/>
  <c r="AD103" i="1"/>
  <c r="AD39" i="1"/>
  <c r="AC103" i="1"/>
  <c r="AC39" i="1"/>
  <c r="AB103" i="1"/>
  <c r="AB39" i="1"/>
  <c r="Y100" i="1"/>
  <c r="E4" i="3"/>
  <c r="F223" i="3" l="1"/>
  <c r="D259" i="3"/>
  <c r="C100" i="3"/>
  <c r="AH39" i="3"/>
  <c r="AD89" i="3"/>
  <c r="AD90" i="3" s="1"/>
  <c r="F89" i="3"/>
  <c r="AE89" i="3"/>
  <c r="C259" i="3"/>
  <c r="R90" i="3"/>
  <c r="O89" i="3"/>
  <c r="S79" i="3"/>
  <c r="S81" i="3" s="1"/>
  <c r="B224" i="3"/>
  <c r="AF89" i="3"/>
  <c r="AF79" i="3"/>
  <c r="AF81" i="3" s="1"/>
  <c r="AF82" i="3" s="1"/>
  <c r="AE79" i="3"/>
  <c r="AE81" i="3" s="1"/>
  <c r="AW238" i="3" s="1"/>
  <c r="AE90" i="3"/>
  <c r="AD5" i="3"/>
  <c r="AD79" i="3"/>
  <c r="AD81" i="3" s="1"/>
  <c r="AC89" i="3"/>
  <c r="AC79" i="3"/>
  <c r="AC81" i="3" s="1"/>
  <c r="AC82" i="3" s="1"/>
  <c r="AB89" i="3"/>
  <c r="AB79" i="3"/>
  <c r="AB81" i="3" s="1"/>
  <c r="AT238" i="3" s="1"/>
  <c r="AA79" i="3"/>
  <c r="AA81" i="3" s="1"/>
  <c r="AS238" i="3" s="1"/>
  <c r="AA89" i="3"/>
  <c r="Z89" i="3"/>
  <c r="Z90" i="3" s="1"/>
  <c r="Z79" i="3"/>
  <c r="Z81" i="3" s="1"/>
  <c r="X5" i="3"/>
  <c r="Y89" i="3"/>
  <c r="Y90" i="3" s="1"/>
  <c r="Y79" i="3"/>
  <c r="Y81" i="3" s="1"/>
  <c r="Y7" i="3" s="1"/>
  <c r="W89" i="3"/>
  <c r="W90" i="3" s="1"/>
  <c r="W79" i="3"/>
  <c r="W81" i="3" s="1"/>
  <c r="W82" i="3" s="1"/>
  <c r="V89" i="3"/>
  <c r="V90" i="3" s="1"/>
  <c r="V79" i="3"/>
  <c r="V81" i="3" s="1"/>
  <c r="V7" i="3" s="1"/>
  <c r="U79" i="3"/>
  <c r="U81" i="3" s="1"/>
  <c r="U7" i="3" s="1"/>
  <c r="T89" i="3"/>
  <c r="T79" i="3"/>
  <c r="T81" i="3" s="1"/>
  <c r="AL238" i="3" s="1"/>
  <c r="Q5" i="3"/>
  <c r="R79" i="3"/>
  <c r="R81" i="3" s="1"/>
  <c r="R82" i="3" s="1"/>
  <c r="Q89" i="3"/>
  <c r="Q90" i="3" s="1"/>
  <c r="P5" i="3"/>
  <c r="Q79" i="3"/>
  <c r="Q81" i="3" s="1"/>
  <c r="Q7" i="3" s="1"/>
  <c r="P89" i="3"/>
  <c r="P79" i="3"/>
  <c r="P81" i="3" s="1"/>
  <c r="O90" i="3"/>
  <c r="O79" i="3"/>
  <c r="O81" i="3" s="1"/>
  <c r="O82" i="3" s="1"/>
  <c r="N89" i="3"/>
  <c r="N90" i="3" s="1"/>
  <c r="N79" i="3"/>
  <c r="N81" i="3" s="1"/>
  <c r="AF238" i="3" s="1"/>
  <c r="M89" i="3"/>
  <c r="M79" i="3"/>
  <c r="M81" i="3" s="1"/>
  <c r="L89" i="3"/>
  <c r="L79" i="3"/>
  <c r="L81" i="3" s="1"/>
  <c r="L7" i="3" s="1"/>
  <c r="K89" i="3"/>
  <c r="K79" i="3"/>
  <c r="K81" i="3" s="1"/>
  <c r="K82" i="3" s="1"/>
  <c r="I5" i="3"/>
  <c r="J89" i="3"/>
  <c r="J90" i="3" s="1"/>
  <c r="J79" i="3"/>
  <c r="J81" i="3" s="1"/>
  <c r="J7" i="3" s="1"/>
  <c r="H5" i="3"/>
  <c r="I89" i="3"/>
  <c r="I90" i="3" s="1"/>
  <c r="I79" i="3"/>
  <c r="I81" i="3" s="1"/>
  <c r="AA238" i="3" s="1"/>
  <c r="H89" i="3"/>
  <c r="H79" i="3"/>
  <c r="H81" i="3" s="1"/>
  <c r="H82" i="3" s="1"/>
  <c r="G89" i="3"/>
  <c r="G90" i="3" s="1"/>
  <c r="AI85" i="3"/>
  <c r="F5" i="3"/>
  <c r="G79" i="3"/>
  <c r="G81" i="3" s="1"/>
  <c r="F90" i="3"/>
  <c r="F79" i="3"/>
  <c r="F81" i="3" s="1"/>
  <c r="X238" i="3" s="1"/>
  <c r="AI83" i="3"/>
  <c r="E89" i="3"/>
  <c r="E90" i="3" s="1"/>
  <c r="AI86" i="3"/>
  <c r="AI84" i="3"/>
  <c r="E79" i="3"/>
  <c r="E81" i="3" s="1"/>
  <c r="E7" i="3" s="1"/>
  <c r="AH44" i="3"/>
  <c r="AH87" i="3"/>
  <c r="D89" i="3"/>
  <c r="D79" i="3"/>
  <c r="D81" i="3" s="1"/>
  <c r="V238" i="3" s="1"/>
  <c r="C89" i="3"/>
  <c r="AI58" i="3"/>
  <c r="C79" i="3"/>
  <c r="C81" i="3" s="1"/>
  <c r="U238" i="3" s="1"/>
  <c r="AH86" i="3"/>
  <c r="B79" i="3"/>
  <c r="B81" i="3" s="1"/>
  <c r="AI44" i="3"/>
  <c r="H4" i="3"/>
  <c r="Z7" i="3"/>
  <c r="AR238" i="3"/>
  <c r="Z82" i="3"/>
  <c r="S7" i="3"/>
  <c r="AK238" i="3"/>
  <c r="S82" i="3"/>
  <c r="D7" i="3"/>
  <c r="N7" i="3"/>
  <c r="AN238" i="3"/>
  <c r="V82" i="3"/>
  <c r="AV238" i="3"/>
  <c r="AD82" i="3"/>
  <c r="AD7" i="3"/>
  <c r="M7" i="3"/>
  <c r="AE238" i="3"/>
  <c r="M82" i="3"/>
  <c r="C90" i="3"/>
  <c r="K90" i="3"/>
  <c r="S90" i="3"/>
  <c r="AC7" i="3"/>
  <c r="AU238" i="3"/>
  <c r="AH238" i="3"/>
  <c r="AF7" i="3"/>
  <c r="AX238" i="3"/>
  <c r="AG3" i="3"/>
  <c r="AG6" i="3" s="1"/>
  <c r="AG81" i="3"/>
  <c r="D90" i="3"/>
  <c r="L90" i="3"/>
  <c r="T90" i="3"/>
  <c r="AB90" i="3"/>
  <c r="X7" i="3"/>
  <c r="AP238" i="3"/>
  <c r="AI238" i="3"/>
  <c r="Y82" i="3"/>
  <c r="AG79" i="3"/>
  <c r="M90" i="3"/>
  <c r="U90" i="3"/>
  <c r="AC90" i="3"/>
  <c r="F218" i="3"/>
  <c r="E100" i="3"/>
  <c r="E224" i="3"/>
  <c r="D235" i="3"/>
  <c r="AI87" i="3"/>
  <c r="AH58" i="3"/>
  <c r="AH62" i="3"/>
  <c r="AH74" i="3"/>
  <c r="H90" i="3"/>
  <c r="P90" i="3"/>
  <c r="AF90" i="3"/>
  <c r="AI74" i="3"/>
  <c r="AH83" i="3"/>
  <c r="B89" i="3"/>
  <c r="AH84" i="3"/>
  <c r="AH40" i="3"/>
  <c r="AH85" i="3"/>
  <c r="AI40" i="3"/>
  <c r="B100" i="3"/>
  <c r="C7" i="3" l="1"/>
  <c r="N82" i="3"/>
  <c r="Q82" i="3"/>
  <c r="AA7" i="3"/>
  <c r="AB82" i="3"/>
  <c r="AJ238" i="3"/>
  <c r="P82" i="3"/>
  <c r="AB7" i="3"/>
  <c r="R7" i="3"/>
  <c r="AE7" i="3"/>
  <c r="T82" i="3"/>
  <c r="AE82" i="3"/>
  <c r="T7" i="3"/>
  <c r="AA82" i="3"/>
  <c r="G223" i="3"/>
  <c r="E259" i="3"/>
  <c r="AA90" i="3"/>
  <c r="AQ238" i="3"/>
  <c r="U82" i="3"/>
  <c r="AM238" i="3"/>
  <c r="AO238" i="3"/>
  <c r="W7" i="3"/>
  <c r="P7" i="3"/>
  <c r="AG238" i="3"/>
  <c r="O7" i="3"/>
  <c r="AD238" i="3"/>
  <c r="L82" i="3"/>
  <c r="I7" i="3"/>
  <c r="K7" i="3"/>
  <c r="AC238" i="3"/>
  <c r="J82" i="3"/>
  <c r="AB238" i="3"/>
  <c r="I82" i="3"/>
  <c r="Z238" i="3"/>
  <c r="H7" i="3"/>
  <c r="C233" i="3"/>
  <c r="G7" i="3"/>
  <c r="Y238" i="3"/>
  <c r="G82" i="3"/>
  <c r="B233" i="3"/>
  <c r="F7" i="3"/>
  <c r="F82" i="3"/>
  <c r="AH79" i="3"/>
  <c r="E82" i="3"/>
  <c r="W238" i="3"/>
  <c r="AI79" i="3"/>
  <c r="D82" i="3"/>
  <c r="C82" i="3"/>
  <c r="B7" i="3"/>
  <c r="T238" i="3"/>
  <c r="B82" i="3"/>
  <c r="AI81" i="3"/>
  <c r="AH81" i="3"/>
  <c r="AI89" i="3"/>
  <c r="AH89" i="3"/>
  <c r="G218" i="3"/>
  <c r="F100" i="3"/>
  <c r="F224" i="3"/>
  <c r="B90" i="3"/>
  <c r="H223" i="3" l="1"/>
  <c r="F259" i="3"/>
  <c r="A7" i="3"/>
  <c r="K6" i="3"/>
  <c r="AI90" i="3"/>
  <c r="AH90" i="3"/>
  <c r="H218" i="3"/>
  <c r="G100" i="3"/>
  <c r="G224" i="3"/>
  <c r="AI82" i="3"/>
  <c r="AH82" i="3"/>
  <c r="G259" i="3" l="1"/>
  <c r="I223" i="3"/>
  <c r="H100" i="3"/>
  <c r="H224" i="3"/>
  <c r="I218" i="3"/>
  <c r="J223" i="3" l="1"/>
  <c r="H259" i="3"/>
  <c r="I100" i="3"/>
  <c r="I224" i="3"/>
  <c r="J218" i="3"/>
  <c r="K223" i="3" l="1"/>
  <c r="I259" i="3"/>
  <c r="J100" i="3"/>
  <c r="J224" i="3"/>
  <c r="K218" i="3"/>
  <c r="J259" i="3" l="1"/>
  <c r="L223" i="3"/>
  <c r="K224" i="3"/>
  <c r="L218" i="3"/>
  <c r="K100" i="3"/>
  <c r="K259" i="3" l="1"/>
  <c r="M223" i="3"/>
  <c r="M218" i="3"/>
  <c r="L224" i="3"/>
  <c r="L100" i="3"/>
  <c r="L259" i="3" l="1"/>
  <c r="N223" i="3"/>
  <c r="N218" i="3"/>
  <c r="M100" i="3"/>
  <c r="M224" i="3"/>
  <c r="M259" i="3" l="1"/>
  <c r="O223" i="3"/>
  <c r="O218" i="3"/>
  <c r="N100" i="3"/>
  <c r="N224" i="3"/>
  <c r="N259" i="3" l="1"/>
  <c r="P223" i="3"/>
  <c r="O259" i="3" s="1"/>
  <c r="P218" i="3"/>
  <c r="O100" i="3"/>
  <c r="O224" i="3"/>
  <c r="P100" i="3" l="1"/>
  <c r="P224" i="3"/>
  <c r="AI100" i="3" l="1"/>
  <c r="AH100" i="3"/>
  <c r="X100" i="1" l="1"/>
  <c r="AL100" i="1"/>
  <c r="R103" i="1" l="1"/>
  <c r="R39" i="1"/>
  <c r="Q103" i="1" l="1"/>
  <c r="Q39" i="1"/>
  <c r="P103" i="1"/>
  <c r="P39" i="1"/>
  <c r="O103" i="1"/>
  <c r="O39" i="1"/>
  <c r="N103" i="1"/>
  <c r="N39" i="1"/>
  <c r="M39" i="1"/>
  <c r="L39" i="1"/>
  <c r="K39" i="1"/>
  <c r="J39" i="1"/>
  <c r="B4" i="2"/>
  <c r="S239" i="2" s="1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B263" i="2"/>
  <c r="S238" i="2"/>
  <c r="AG228" i="2"/>
  <c r="AG61" i="2" s="1"/>
  <c r="AG62" i="2" s="1"/>
  <c r="AG3" i="2" s="1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C228" i="2"/>
  <c r="D227" i="2"/>
  <c r="C263" i="2" s="1"/>
  <c r="B227" i="2"/>
  <c r="AF263" i="2" s="1"/>
  <c r="D226" i="2"/>
  <c r="E226" i="2" s="1"/>
  <c r="F226" i="2" s="1"/>
  <c r="G226" i="2" s="1"/>
  <c r="H226" i="2" s="1"/>
  <c r="I226" i="2" s="1"/>
  <c r="J226" i="2" s="1"/>
  <c r="K226" i="2" s="1"/>
  <c r="L226" i="2" s="1"/>
  <c r="M226" i="2" s="1"/>
  <c r="N226" i="2" s="1"/>
  <c r="O226" i="2" s="1"/>
  <c r="P226" i="2" s="1"/>
  <c r="B226" i="2"/>
  <c r="D225" i="2"/>
  <c r="E225" i="2" s="1"/>
  <c r="F225" i="2" s="1"/>
  <c r="G225" i="2" s="1"/>
  <c r="H225" i="2" s="1"/>
  <c r="I225" i="2" s="1"/>
  <c r="J225" i="2" s="1"/>
  <c r="K225" i="2" s="1"/>
  <c r="L225" i="2" s="1"/>
  <c r="M225" i="2" s="1"/>
  <c r="N225" i="2" s="1"/>
  <c r="O225" i="2" s="1"/>
  <c r="P225" i="2" s="1"/>
  <c r="B225" i="2"/>
  <c r="D224" i="2"/>
  <c r="E224" i="2" s="1"/>
  <c r="F224" i="2" s="1"/>
  <c r="G224" i="2" s="1"/>
  <c r="H224" i="2" s="1"/>
  <c r="I224" i="2" s="1"/>
  <c r="J224" i="2" s="1"/>
  <c r="K224" i="2" s="1"/>
  <c r="L224" i="2" s="1"/>
  <c r="M224" i="2" s="1"/>
  <c r="N224" i="2" s="1"/>
  <c r="O224" i="2" s="1"/>
  <c r="P224" i="2" s="1"/>
  <c r="B224" i="2"/>
  <c r="D223" i="2"/>
  <c r="E223" i="2" s="1"/>
  <c r="F223" i="2" s="1"/>
  <c r="G223" i="2" s="1"/>
  <c r="H223" i="2" s="1"/>
  <c r="I223" i="2" s="1"/>
  <c r="J223" i="2" s="1"/>
  <c r="K223" i="2" s="1"/>
  <c r="L223" i="2" s="1"/>
  <c r="M223" i="2" s="1"/>
  <c r="N223" i="2" s="1"/>
  <c r="O223" i="2" s="1"/>
  <c r="P223" i="2" s="1"/>
  <c r="B223" i="2"/>
  <c r="E222" i="2"/>
  <c r="F222" i="2" s="1"/>
  <c r="D222" i="2"/>
  <c r="B222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I113" i="2"/>
  <c r="AH113" i="2"/>
  <c r="AI112" i="2"/>
  <c r="AH112" i="2"/>
  <c r="AI111" i="2"/>
  <c r="AH111" i="2"/>
  <c r="AI110" i="2"/>
  <c r="AH110" i="2"/>
  <c r="AI109" i="2"/>
  <c r="AH109" i="2"/>
  <c r="AI108" i="2"/>
  <c r="AH108" i="2"/>
  <c r="AI107" i="2"/>
  <c r="AH107" i="2"/>
  <c r="AI106" i="2"/>
  <c r="AH106" i="2"/>
  <c r="AI105" i="2"/>
  <c r="AH105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D104" i="2"/>
  <c r="C104" i="2"/>
  <c r="AI103" i="2"/>
  <c r="AH103" i="2"/>
  <c r="AI102" i="2"/>
  <c r="AH102" i="2"/>
  <c r="AI101" i="2"/>
  <c r="AH101" i="2"/>
  <c r="AI100" i="2"/>
  <c r="AH100" i="2"/>
  <c r="AI99" i="2"/>
  <c r="AH99" i="2"/>
  <c r="AI98" i="2"/>
  <c r="AH98" i="2"/>
  <c r="AI97" i="2"/>
  <c r="AH97" i="2"/>
  <c r="AI96" i="2"/>
  <c r="AH96" i="2"/>
  <c r="AI95" i="2"/>
  <c r="AH95" i="2"/>
  <c r="AI92" i="2"/>
  <c r="AH92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F87" i="2"/>
  <c r="AE87" i="2"/>
  <c r="AD87" i="2"/>
  <c r="AC87" i="2"/>
  <c r="AB87" i="2"/>
  <c r="AB93" i="2" s="1"/>
  <c r="AA87" i="2"/>
  <c r="AA93" i="2" s="1"/>
  <c r="Z87" i="2"/>
  <c r="Z93" i="2" s="1"/>
  <c r="Y87" i="2"/>
  <c r="Y93" i="2" s="1"/>
  <c r="X87" i="2"/>
  <c r="W87" i="2"/>
  <c r="V87" i="2"/>
  <c r="U87" i="2"/>
  <c r="T87" i="2"/>
  <c r="T93" i="2" s="1"/>
  <c r="S87" i="2"/>
  <c r="S93" i="2" s="1"/>
  <c r="R87" i="2"/>
  <c r="R93" i="2" s="1"/>
  <c r="Q87" i="2"/>
  <c r="Q93" i="2" s="1"/>
  <c r="P87" i="2"/>
  <c r="O87" i="2"/>
  <c r="N87" i="2"/>
  <c r="M87" i="2"/>
  <c r="L87" i="2"/>
  <c r="L93" i="2" s="1"/>
  <c r="K87" i="2"/>
  <c r="K93" i="2" s="1"/>
  <c r="J87" i="2"/>
  <c r="J93" i="2" s="1"/>
  <c r="I87" i="2"/>
  <c r="I93" i="2" s="1"/>
  <c r="H87" i="2"/>
  <c r="G87" i="2"/>
  <c r="F87" i="2"/>
  <c r="E87" i="2"/>
  <c r="D87" i="2"/>
  <c r="D93" i="2" s="1"/>
  <c r="C87" i="2"/>
  <c r="C93" i="2" s="1"/>
  <c r="B87" i="2"/>
  <c r="AI84" i="2"/>
  <c r="AH84" i="2"/>
  <c r="AI82" i="2"/>
  <c r="AH82" i="2"/>
  <c r="AG82" i="2"/>
  <c r="AI81" i="2"/>
  <c r="AH81" i="2"/>
  <c r="AI80" i="2"/>
  <c r="AH80" i="2"/>
  <c r="AI79" i="2"/>
  <c r="AH79" i="2"/>
  <c r="AG78" i="2"/>
  <c r="AF78" i="2"/>
  <c r="AE78" i="2"/>
  <c r="AD5" i="2" s="1"/>
  <c r="AD78" i="2"/>
  <c r="AC78" i="2"/>
  <c r="AB78" i="2"/>
  <c r="AA78" i="2"/>
  <c r="AA94" i="2" s="1"/>
  <c r="Z78" i="2"/>
  <c r="Z94" i="2" s="1"/>
  <c r="Y78" i="2"/>
  <c r="Y94" i="2" s="1"/>
  <c r="X78" i="2"/>
  <c r="W78" i="2"/>
  <c r="V5" i="2" s="1"/>
  <c r="V78" i="2"/>
  <c r="U78" i="2"/>
  <c r="T78" i="2"/>
  <c r="S78" i="2"/>
  <c r="S94" i="2" s="1"/>
  <c r="R78" i="2"/>
  <c r="R94" i="2" s="1"/>
  <c r="Q78" i="2"/>
  <c r="Q94" i="2" s="1"/>
  <c r="P78" i="2"/>
  <c r="O78" i="2"/>
  <c r="N5" i="2" s="1"/>
  <c r="N78" i="2"/>
  <c r="M78" i="2"/>
  <c r="L78" i="2"/>
  <c r="K78" i="2"/>
  <c r="K94" i="2" s="1"/>
  <c r="J78" i="2"/>
  <c r="J94" i="2" s="1"/>
  <c r="I78" i="2"/>
  <c r="I94" i="2" s="1"/>
  <c r="H78" i="2"/>
  <c r="G78" i="2"/>
  <c r="F5" i="2" s="1"/>
  <c r="F78" i="2"/>
  <c r="E78" i="2"/>
  <c r="D78" i="2"/>
  <c r="C78" i="2"/>
  <c r="C94" i="2" s="1"/>
  <c r="B78" i="2"/>
  <c r="AI77" i="2"/>
  <c r="AH77" i="2"/>
  <c r="AI76" i="2"/>
  <c r="AH76" i="2"/>
  <c r="AI75" i="2"/>
  <c r="AH75" i="2"/>
  <c r="AI74" i="2"/>
  <c r="AH74" i="2"/>
  <c r="AI73" i="2"/>
  <c r="AH73" i="2"/>
  <c r="AI72" i="2"/>
  <c r="AH72" i="2"/>
  <c r="AI71" i="2"/>
  <c r="AH71" i="2"/>
  <c r="AI70" i="2"/>
  <c r="AH70" i="2"/>
  <c r="AI69" i="2"/>
  <c r="AH69" i="2"/>
  <c r="AI68" i="2"/>
  <c r="AH68" i="2"/>
  <c r="AI67" i="2"/>
  <c r="AH67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I65" i="2"/>
  <c r="AH65" i="2"/>
  <c r="AI64" i="2"/>
  <c r="AH64" i="2"/>
  <c r="AI63" i="2"/>
  <c r="AH63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I61" i="2"/>
  <c r="AH61" i="2"/>
  <c r="AI60" i="2"/>
  <c r="AH60" i="2"/>
  <c r="AI59" i="2"/>
  <c r="AH59" i="2"/>
  <c r="AI58" i="2"/>
  <c r="AH58" i="2"/>
  <c r="AI57" i="2"/>
  <c r="AH57" i="2"/>
  <c r="AI56" i="2"/>
  <c r="AH56" i="2"/>
  <c r="AI55" i="2"/>
  <c r="AH55" i="2"/>
  <c r="AI54" i="2"/>
  <c r="AH54" i="2"/>
  <c r="AI53" i="2"/>
  <c r="AH53" i="2"/>
  <c r="AI52" i="2"/>
  <c r="AH52" i="2"/>
  <c r="AI51" i="2"/>
  <c r="AH51" i="2"/>
  <c r="AI50" i="2"/>
  <c r="AH50" i="2"/>
  <c r="AI49" i="2"/>
  <c r="AH49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I47" i="2"/>
  <c r="AH47" i="2"/>
  <c r="AI46" i="2"/>
  <c r="AH46" i="2"/>
  <c r="AI45" i="2"/>
  <c r="AH45" i="2"/>
  <c r="AG44" i="2"/>
  <c r="AG2" i="2" s="1"/>
  <c r="AF44" i="2"/>
  <c r="AF83" i="2" s="1"/>
  <c r="AF85" i="2" s="1"/>
  <c r="AE44" i="2"/>
  <c r="AD44" i="2"/>
  <c r="AD83" i="2" s="1"/>
  <c r="AD85" i="2" s="1"/>
  <c r="AC44" i="2"/>
  <c r="AB44" i="2"/>
  <c r="AB83" i="2" s="1"/>
  <c r="AB85" i="2" s="1"/>
  <c r="AA44" i="2"/>
  <c r="AA83" i="2" s="1"/>
  <c r="AA85" i="2" s="1"/>
  <c r="Z44" i="2"/>
  <c r="Y44" i="2"/>
  <c r="Y83" i="2" s="1"/>
  <c r="Y85" i="2" s="1"/>
  <c r="X44" i="2"/>
  <c r="X83" i="2" s="1"/>
  <c r="X85" i="2" s="1"/>
  <c r="W44" i="2"/>
  <c r="V44" i="2"/>
  <c r="V83" i="2" s="1"/>
  <c r="V85" i="2" s="1"/>
  <c r="U44" i="2"/>
  <c r="T44" i="2"/>
  <c r="T83" i="2" s="1"/>
  <c r="T85" i="2" s="1"/>
  <c r="S44" i="2"/>
  <c r="S83" i="2" s="1"/>
  <c r="S85" i="2" s="1"/>
  <c r="R44" i="2"/>
  <c r="Q44" i="2"/>
  <c r="Q83" i="2" s="1"/>
  <c r="Q85" i="2" s="1"/>
  <c r="P44" i="2"/>
  <c r="P83" i="2" s="1"/>
  <c r="P85" i="2" s="1"/>
  <c r="O44" i="2"/>
  <c r="N44" i="2"/>
  <c r="N83" i="2" s="1"/>
  <c r="N85" i="2" s="1"/>
  <c r="M44" i="2"/>
  <c r="L44" i="2"/>
  <c r="L83" i="2" s="1"/>
  <c r="L85" i="2" s="1"/>
  <c r="K44" i="2"/>
  <c r="K83" i="2" s="1"/>
  <c r="K85" i="2" s="1"/>
  <c r="J44" i="2"/>
  <c r="I44" i="2"/>
  <c r="I83" i="2" s="1"/>
  <c r="I85" i="2" s="1"/>
  <c r="H44" i="2"/>
  <c r="H83" i="2" s="1"/>
  <c r="H85" i="2" s="1"/>
  <c r="G44" i="2"/>
  <c r="F44" i="2"/>
  <c r="F83" i="2" s="1"/>
  <c r="F85" i="2" s="1"/>
  <c r="E44" i="2"/>
  <c r="D44" i="2"/>
  <c r="D83" i="2" s="1"/>
  <c r="D85" i="2" s="1"/>
  <c r="C44" i="2"/>
  <c r="C83" i="2" s="1"/>
  <c r="C85" i="2" s="1"/>
  <c r="B44" i="2"/>
  <c r="AI43" i="2"/>
  <c r="AH43" i="2"/>
  <c r="AI42" i="2"/>
  <c r="AH42" i="2"/>
  <c r="AI41" i="2"/>
  <c r="AH41" i="2"/>
  <c r="AI40" i="2"/>
  <c r="AH40" i="2"/>
  <c r="AI39" i="2"/>
  <c r="AH39" i="2"/>
  <c r="AI38" i="2"/>
  <c r="AH38" i="2"/>
  <c r="AI37" i="2"/>
  <c r="AH37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14" i="2"/>
  <c r="AH14" i="2"/>
  <c r="AI13" i="2"/>
  <c r="AH13" i="2"/>
  <c r="AI12" i="2"/>
  <c r="AH12" i="2"/>
  <c r="AI11" i="2"/>
  <c r="AH11" i="2"/>
  <c r="AF5" i="2"/>
  <c r="AE5" i="2"/>
  <c r="AC5" i="2"/>
  <c r="AB5" i="2"/>
  <c r="AA5" i="2"/>
  <c r="Z5" i="2"/>
  <c r="Y5" i="2"/>
  <c r="X5" i="2"/>
  <c r="W5" i="2"/>
  <c r="U5" i="2"/>
  <c r="T5" i="2"/>
  <c r="S5" i="2"/>
  <c r="R5" i="2"/>
  <c r="Q5" i="2"/>
  <c r="P5" i="2"/>
  <c r="O5" i="2"/>
  <c r="M5" i="2"/>
  <c r="L5" i="2"/>
  <c r="K5" i="2"/>
  <c r="J5" i="2"/>
  <c r="I5" i="2"/>
  <c r="H5" i="2"/>
  <c r="G5" i="2"/>
  <c r="E5" i="2"/>
  <c r="D5" i="2"/>
  <c r="C5" i="2"/>
  <c r="B5" i="2"/>
  <c r="AG4" i="2"/>
  <c r="K4" i="2"/>
  <c r="B4" i="1"/>
  <c r="S235" i="1" s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B259" i="1"/>
  <c r="S23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C224" i="1"/>
  <c r="D223" i="1"/>
  <c r="C259" i="1" s="1"/>
  <c r="B223" i="1"/>
  <c r="AF259" i="1" s="1"/>
  <c r="D222" i="1"/>
  <c r="E222" i="1" s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B222" i="1"/>
  <c r="D221" i="1"/>
  <c r="B221" i="1"/>
  <c r="D220" i="1"/>
  <c r="E220" i="1" s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B220" i="1"/>
  <c r="D219" i="1"/>
  <c r="E219" i="1" s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B219" i="1"/>
  <c r="E218" i="1"/>
  <c r="D218" i="1"/>
  <c r="B218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I109" i="1"/>
  <c r="AH109" i="1"/>
  <c r="AI108" i="1"/>
  <c r="AH108" i="1"/>
  <c r="AI107" i="1"/>
  <c r="AH107" i="1"/>
  <c r="AI106" i="1"/>
  <c r="AH106" i="1"/>
  <c r="AI105" i="1"/>
  <c r="AH105" i="1"/>
  <c r="AI104" i="1"/>
  <c r="AH104" i="1"/>
  <c r="D103" i="1"/>
  <c r="C103" i="1"/>
  <c r="B103" i="1"/>
  <c r="AI102" i="1"/>
  <c r="AH102" i="1"/>
  <c r="AI101" i="1"/>
  <c r="AH101" i="1"/>
  <c r="AF100" i="1"/>
  <c r="AE100" i="1"/>
  <c r="AD100" i="1"/>
  <c r="AC100" i="1"/>
  <c r="AB100" i="1"/>
  <c r="AA100" i="1"/>
  <c r="Z100" i="1"/>
  <c r="W100" i="1"/>
  <c r="V100" i="1"/>
  <c r="U100" i="1"/>
  <c r="T100" i="1"/>
  <c r="S100" i="1"/>
  <c r="R100" i="1"/>
  <c r="Q100" i="1"/>
  <c r="D100" i="1"/>
  <c r="B100" i="1"/>
  <c r="AI99" i="1"/>
  <c r="AH99" i="1"/>
  <c r="AI98" i="1"/>
  <c r="AH98" i="1"/>
  <c r="AI97" i="1"/>
  <c r="AH97" i="1"/>
  <c r="AI96" i="1"/>
  <c r="AH96" i="1"/>
  <c r="AI95" i="1"/>
  <c r="AH95" i="1"/>
  <c r="AI94" i="1"/>
  <c r="AH94" i="1"/>
  <c r="AI93" i="1"/>
  <c r="AH93" i="1"/>
  <c r="AI92" i="1"/>
  <c r="AH92" i="1"/>
  <c r="AI91" i="1"/>
  <c r="AH91" i="1"/>
  <c r="AI88" i="1"/>
  <c r="AH88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I80" i="1"/>
  <c r="AH80" i="1"/>
  <c r="AI78" i="1"/>
  <c r="AH78" i="1"/>
  <c r="AG78" i="1"/>
  <c r="AI77" i="1"/>
  <c r="AH77" i="1"/>
  <c r="AI76" i="1"/>
  <c r="AH76" i="1"/>
  <c r="AI75" i="1"/>
  <c r="AH75" i="1"/>
  <c r="AG74" i="1"/>
  <c r="AF74" i="1"/>
  <c r="AE5" i="1" s="1"/>
  <c r="AE74" i="1"/>
  <c r="AD74" i="1"/>
  <c r="AC5" i="1" s="1"/>
  <c r="AC74" i="1"/>
  <c r="AB5" i="1" s="1"/>
  <c r="AB74" i="1"/>
  <c r="AA5" i="1" s="1"/>
  <c r="AA74" i="1"/>
  <c r="Z5" i="1" s="1"/>
  <c r="Z74" i="1"/>
  <c r="Y5" i="1" s="1"/>
  <c r="Y74" i="1"/>
  <c r="X5" i="1" s="1"/>
  <c r="X74" i="1"/>
  <c r="W5" i="1" s="1"/>
  <c r="W74" i="1"/>
  <c r="V74" i="1"/>
  <c r="U5" i="1" s="1"/>
  <c r="U74" i="1"/>
  <c r="T5" i="1" s="1"/>
  <c r="T74" i="1"/>
  <c r="S5" i="1" s="1"/>
  <c r="S74" i="1"/>
  <c r="R5" i="1" s="1"/>
  <c r="R74" i="1"/>
  <c r="Q5" i="1" s="1"/>
  <c r="Q74" i="1"/>
  <c r="P74" i="1"/>
  <c r="O74" i="1"/>
  <c r="N74" i="1"/>
  <c r="M5" i="1" s="1"/>
  <c r="M74" i="1"/>
  <c r="L74" i="1"/>
  <c r="K5" i="1" s="1"/>
  <c r="K74" i="1"/>
  <c r="J5" i="1" s="1"/>
  <c r="J74" i="1"/>
  <c r="I74" i="1"/>
  <c r="H74" i="1"/>
  <c r="G74" i="1"/>
  <c r="F5" i="1" s="1"/>
  <c r="F74" i="1"/>
  <c r="E74" i="1"/>
  <c r="D5" i="1" s="1"/>
  <c r="D74" i="1"/>
  <c r="C74" i="1"/>
  <c r="B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I61" i="1"/>
  <c r="AH61" i="1"/>
  <c r="AI60" i="1"/>
  <c r="AH60" i="1"/>
  <c r="AI59" i="1"/>
  <c r="AH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I57" i="1"/>
  <c r="AH57" i="1"/>
  <c r="AG57" i="1"/>
  <c r="AG58" i="1" s="1"/>
  <c r="AG3" i="1" s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I43" i="1"/>
  <c r="AH43" i="1"/>
  <c r="AI42" i="1"/>
  <c r="AH42" i="1"/>
  <c r="AI41" i="1"/>
  <c r="AH41" i="1"/>
  <c r="AG40" i="1"/>
  <c r="AG2" i="1" s="1"/>
  <c r="AG6" i="1" s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I79" i="1" s="1"/>
  <c r="I81" i="1" s="1"/>
  <c r="H40" i="1"/>
  <c r="G40" i="1"/>
  <c r="F40" i="1"/>
  <c r="F79" i="1" s="1"/>
  <c r="F81" i="1" s="1"/>
  <c r="E40" i="1"/>
  <c r="D40" i="1"/>
  <c r="D79" i="1" s="1"/>
  <c r="D81" i="1" s="1"/>
  <c r="C40" i="1"/>
  <c r="B40" i="1"/>
  <c r="I39" i="1"/>
  <c r="H39" i="1"/>
  <c r="G39" i="1"/>
  <c r="E39" i="1"/>
  <c r="D39" i="1"/>
  <c r="C39" i="1"/>
  <c r="B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O5" i="1"/>
  <c r="H5" i="1"/>
  <c r="G5" i="1"/>
  <c r="E5" i="1"/>
  <c r="C5" i="1"/>
  <c r="B5" i="1"/>
  <c r="AG4" i="1"/>
  <c r="K4" i="1"/>
  <c r="E4" i="2"/>
  <c r="E4" i="1"/>
  <c r="E223" i="1" l="1"/>
  <c r="AF94" i="2"/>
  <c r="E93" i="2"/>
  <c r="M93" i="2"/>
  <c r="U93" i="2"/>
  <c r="U94" i="2" s="1"/>
  <c r="AC93" i="2"/>
  <c r="AH39" i="1"/>
  <c r="C79" i="1"/>
  <c r="C81" i="1" s="1"/>
  <c r="D89" i="1"/>
  <c r="E83" i="2"/>
  <c r="E85" i="2" s="1"/>
  <c r="E7" i="2" s="1"/>
  <c r="M83" i="2"/>
  <c r="M85" i="2" s="1"/>
  <c r="U83" i="2"/>
  <c r="U85" i="2" s="1"/>
  <c r="AC83" i="2"/>
  <c r="AC85" i="2" s="1"/>
  <c r="AC7" i="2" s="1"/>
  <c r="F93" i="2"/>
  <c r="N93" i="2"/>
  <c r="V93" i="2"/>
  <c r="AD93" i="2"/>
  <c r="D228" i="2"/>
  <c r="AI103" i="1"/>
  <c r="G93" i="2"/>
  <c r="O93" i="2"/>
  <c r="O94" i="2" s="1"/>
  <c r="W93" i="2"/>
  <c r="AE93" i="2"/>
  <c r="AE94" i="2" s="1"/>
  <c r="F89" i="1"/>
  <c r="AH103" i="1"/>
  <c r="E100" i="1"/>
  <c r="G83" i="2"/>
  <c r="G85" i="2" s="1"/>
  <c r="O83" i="2"/>
  <c r="O85" i="2" s="1"/>
  <c r="O7" i="2" s="1"/>
  <c r="W83" i="2"/>
  <c r="W85" i="2" s="1"/>
  <c r="AE83" i="2"/>
  <c r="AE85" i="2" s="1"/>
  <c r="H93" i="2"/>
  <c r="H94" i="2" s="1"/>
  <c r="P93" i="2"/>
  <c r="P94" i="2" s="1"/>
  <c r="X93" i="2"/>
  <c r="X86" i="2" s="1"/>
  <c r="AF93" i="2"/>
  <c r="AI48" i="2"/>
  <c r="AI66" i="2"/>
  <c r="D94" i="2"/>
  <c r="L94" i="2"/>
  <c r="T94" i="2"/>
  <c r="AB94" i="2"/>
  <c r="H79" i="1"/>
  <c r="H81" i="1" s="1"/>
  <c r="H82" i="1" s="1"/>
  <c r="I89" i="1"/>
  <c r="I90" i="1" s="1"/>
  <c r="Q89" i="1"/>
  <c r="Q90" i="1" s="1"/>
  <c r="B224" i="1"/>
  <c r="J83" i="2"/>
  <c r="J85" i="2" s="1"/>
  <c r="R83" i="2"/>
  <c r="R85" i="2" s="1"/>
  <c r="Z83" i="2"/>
  <c r="Z85" i="2" s="1"/>
  <c r="AI87" i="2"/>
  <c r="AI62" i="2"/>
  <c r="G94" i="2"/>
  <c r="W94" i="2"/>
  <c r="AG6" i="2"/>
  <c r="AI91" i="2"/>
  <c r="AI90" i="2"/>
  <c r="AG85" i="2"/>
  <c r="AI89" i="2"/>
  <c r="AG83" i="2"/>
  <c r="AI88" i="2"/>
  <c r="B228" i="2"/>
  <c r="AI44" i="2"/>
  <c r="AF79" i="1"/>
  <c r="AF81" i="1" s="1"/>
  <c r="AD89" i="1"/>
  <c r="AD90" i="1" s="1"/>
  <c r="AD79" i="1"/>
  <c r="AD81" i="1" s="1"/>
  <c r="AV238" i="1" s="1"/>
  <c r="AB89" i="1"/>
  <c r="AB79" i="1"/>
  <c r="AB81" i="1" s="1"/>
  <c r="AA79" i="1"/>
  <c r="AA81" i="1" s="1"/>
  <c r="AA7" i="1" s="1"/>
  <c r="Y89" i="1"/>
  <c r="Y90" i="1"/>
  <c r="X79" i="1"/>
  <c r="X81" i="1" s="1"/>
  <c r="V89" i="1"/>
  <c r="V79" i="1"/>
  <c r="V81" i="1" s="1"/>
  <c r="AN238" i="1" s="1"/>
  <c r="T89" i="1"/>
  <c r="T79" i="1"/>
  <c r="T81" i="1" s="1"/>
  <c r="S79" i="1"/>
  <c r="S81" i="1" s="1"/>
  <c r="AK238" i="1" s="1"/>
  <c r="P5" i="1"/>
  <c r="Q79" i="1"/>
  <c r="Q81" i="1" s="1"/>
  <c r="AI238" i="1" s="1"/>
  <c r="P79" i="1"/>
  <c r="P81" i="1" s="1"/>
  <c r="R79" i="1"/>
  <c r="R81" i="1" s="1"/>
  <c r="AJ238" i="1" s="1"/>
  <c r="Z79" i="1"/>
  <c r="Z81" i="1" s="1"/>
  <c r="Z7" i="1" s="1"/>
  <c r="F90" i="1"/>
  <c r="V90" i="1"/>
  <c r="C89" i="1"/>
  <c r="S89" i="1"/>
  <c r="AA89" i="1"/>
  <c r="AG81" i="1"/>
  <c r="U89" i="1"/>
  <c r="U90" i="1" s="1"/>
  <c r="AC89" i="1"/>
  <c r="AC90" i="1" s="1"/>
  <c r="C100" i="1"/>
  <c r="E79" i="1"/>
  <c r="E81" i="1" s="1"/>
  <c r="E7" i="1" s="1"/>
  <c r="U79" i="1"/>
  <c r="U81" i="1" s="1"/>
  <c r="AM238" i="1" s="1"/>
  <c r="AC79" i="1"/>
  <c r="AC81" i="1" s="1"/>
  <c r="AU238" i="1" s="1"/>
  <c r="G89" i="1"/>
  <c r="G90" i="1" s="1"/>
  <c r="W89" i="1"/>
  <c r="W90" i="1" s="1"/>
  <c r="AE89" i="1"/>
  <c r="AE90" i="1" s="1"/>
  <c r="G79" i="1"/>
  <c r="G81" i="1" s="1"/>
  <c r="W79" i="1"/>
  <c r="W81" i="1" s="1"/>
  <c r="AE79" i="1"/>
  <c r="AE81" i="1" s="1"/>
  <c r="AW238" i="1" s="1"/>
  <c r="H89" i="1"/>
  <c r="H90" i="1" s="1"/>
  <c r="P89" i="1"/>
  <c r="P90" i="1" s="1"/>
  <c r="X89" i="1"/>
  <c r="X90" i="1" s="1"/>
  <c r="AF89" i="1"/>
  <c r="AF90" i="1" s="1"/>
  <c r="D224" i="1"/>
  <c r="V5" i="1"/>
  <c r="AD5" i="1"/>
  <c r="AI62" i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Y79" i="1"/>
  <c r="Y81" i="1" s="1"/>
  <c r="AG79" i="1"/>
  <c r="B89" i="1"/>
  <c r="J89" i="1"/>
  <c r="J90" i="1" s="1"/>
  <c r="R89" i="1"/>
  <c r="R90" i="1" s="1"/>
  <c r="Z89" i="1"/>
  <c r="Z90" i="1" s="1"/>
  <c r="O79" i="1"/>
  <c r="O81" i="1" s="1"/>
  <c r="O89" i="1"/>
  <c r="O90" i="1" s="1"/>
  <c r="N5" i="1"/>
  <c r="N89" i="1"/>
  <c r="N90" i="1" s="1"/>
  <c r="N79" i="1"/>
  <c r="N81" i="1" s="1"/>
  <c r="AF238" i="1" s="1"/>
  <c r="M89" i="1"/>
  <c r="M90" i="1" s="1"/>
  <c r="L5" i="1"/>
  <c r="M79" i="1"/>
  <c r="M81" i="1" s="1"/>
  <c r="AE238" i="1" s="1"/>
  <c r="AI86" i="1"/>
  <c r="L89" i="1"/>
  <c r="L79" i="1"/>
  <c r="L81" i="1" s="1"/>
  <c r="AD238" i="1" s="1"/>
  <c r="AI85" i="1"/>
  <c r="AI74" i="1"/>
  <c r="AI84" i="1"/>
  <c r="AI87" i="1"/>
  <c r="K89" i="1"/>
  <c r="K90" i="1" s="1"/>
  <c r="AH87" i="1"/>
  <c r="AI58" i="1"/>
  <c r="AI44" i="1"/>
  <c r="K79" i="1"/>
  <c r="K81" i="1" s="1"/>
  <c r="AC238" i="1" s="1"/>
  <c r="AI40" i="1"/>
  <c r="AH83" i="1"/>
  <c r="I5" i="1"/>
  <c r="J79" i="1"/>
  <c r="J81" i="1" s="1"/>
  <c r="J7" i="1" s="1"/>
  <c r="H4" i="2"/>
  <c r="E86" i="2"/>
  <c r="M7" i="2"/>
  <c r="AE242" i="2"/>
  <c r="M86" i="2"/>
  <c r="U7" i="2"/>
  <c r="AM242" i="2"/>
  <c r="AU242" i="2"/>
  <c r="AD7" i="2"/>
  <c r="AV242" i="2"/>
  <c r="AD86" i="2"/>
  <c r="Y242" i="2"/>
  <c r="G86" i="2"/>
  <c r="C237" i="2"/>
  <c r="B237" i="2"/>
  <c r="G7" i="2"/>
  <c r="O86" i="2"/>
  <c r="AO242" i="2"/>
  <c r="W86" i="2"/>
  <c r="W7" i="2"/>
  <c r="AW242" i="2"/>
  <c r="AE86" i="2"/>
  <c r="AE7" i="2"/>
  <c r="F7" i="2"/>
  <c r="X242" i="2"/>
  <c r="F86" i="2"/>
  <c r="H7" i="2"/>
  <c r="Z242" i="2"/>
  <c r="H86" i="2"/>
  <c r="P7" i="2"/>
  <c r="AH242" i="2"/>
  <c r="P86" i="2"/>
  <c r="X7" i="2"/>
  <c r="AP242" i="2"/>
  <c r="AF7" i="2"/>
  <c r="AX242" i="2"/>
  <c r="AF86" i="2"/>
  <c r="V7" i="2"/>
  <c r="AN242" i="2"/>
  <c r="V86" i="2"/>
  <c r="I7" i="2"/>
  <c r="AA242" i="2"/>
  <c r="I86" i="2"/>
  <c r="Q7" i="2"/>
  <c r="AI242" i="2"/>
  <c r="Q86" i="2"/>
  <c r="Y7" i="2"/>
  <c r="AQ242" i="2"/>
  <c r="Y86" i="2"/>
  <c r="N7" i="2"/>
  <c r="AF242" i="2"/>
  <c r="N86" i="2"/>
  <c r="J7" i="2"/>
  <c r="AB242" i="2"/>
  <c r="J86" i="2"/>
  <c r="R7" i="2"/>
  <c r="AJ242" i="2"/>
  <c r="R86" i="2"/>
  <c r="Z7" i="2"/>
  <c r="AR242" i="2"/>
  <c r="Z86" i="2"/>
  <c r="E94" i="2"/>
  <c r="M94" i="2"/>
  <c r="AC94" i="2"/>
  <c r="C7" i="2"/>
  <c r="U242" i="2"/>
  <c r="C86" i="2"/>
  <c r="K7" i="2"/>
  <c r="AC242" i="2"/>
  <c r="K86" i="2"/>
  <c r="S7" i="2"/>
  <c r="AK242" i="2"/>
  <c r="S86" i="2"/>
  <c r="AA7" i="2"/>
  <c r="AS242" i="2"/>
  <c r="AA86" i="2"/>
  <c r="F94" i="2"/>
  <c r="N94" i="2"/>
  <c r="V94" i="2"/>
  <c r="AD94" i="2"/>
  <c r="G222" i="2"/>
  <c r="D7" i="2"/>
  <c r="V242" i="2"/>
  <c r="D86" i="2"/>
  <c r="L7" i="2"/>
  <c r="AD242" i="2"/>
  <c r="L86" i="2"/>
  <c r="T7" i="2"/>
  <c r="AL242" i="2"/>
  <c r="T86" i="2"/>
  <c r="AB7" i="2"/>
  <c r="AT242" i="2"/>
  <c r="AB86" i="2"/>
  <c r="D239" i="2"/>
  <c r="AH62" i="2"/>
  <c r="AH66" i="2"/>
  <c r="AH78" i="2"/>
  <c r="E227" i="2"/>
  <c r="AI78" i="2"/>
  <c r="AH87" i="2"/>
  <c r="B93" i="2"/>
  <c r="B94" i="2" s="1"/>
  <c r="AH88" i="2"/>
  <c r="AH44" i="2"/>
  <c r="AH48" i="2"/>
  <c r="B83" i="2"/>
  <c r="AH89" i="2"/>
  <c r="AH90" i="2"/>
  <c r="AH91" i="2"/>
  <c r="B104" i="2"/>
  <c r="H4" i="1"/>
  <c r="I82" i="1"/>
  <c r="AA238" i="1"/>
  <c r="I7" i="1"/>
  <c r="Q82" i="1"/>
  <c r="Q7" i="1"/>
  <c r="Y82" i="1"/>
  <c r="AQ238" i="1"/>
  <c r="Y7" i="1"/>
  <c r="E90" i="1"/>
  <c r="V238" i="1"/>
  <c r="D7" i="1"/>
  <c r="D82" i="1"/>
  <c r="AL238" i="1"/>
  <c r="T7" i="1"/>
  <c r="T82" i="1"/>
  <c r="AT238" i="1"/>
  <c r="AB7" i="1"/>
  <c r="AB82" i="1"/>
  <c r="W238" i="1"/>
  <c r="X238" i="1"/>
  <c r="F7" i="1"/>
  <c r="F82" i="1"/>
  <c r="N82" i="1"/>
  <c r="AD7" i="1"/>
  <c r="U238" i="1"/>
  <c r="C7" i="1"/>
  <c r="C82" i="1"/>
  <c r="Y238" i="1"/>
  <c r="G7" i="1"/>
  <c r="G82" i="1"/>
  <c r="AG238" i="1"/>
  <c r="O7" i="1"/>
  <c r="O82" i="1"/>
  <c r="AO238" i="1"/>
  <c r="W7" i="1"/>
  <c r="C90" i="1"/>
  <c r="S90" i="1"/>
  <c r="AA90" i="1"/>
  <c r="AS238" i="1"/>
  <c r="H7" i="1"/>
  <c r="Z238" i="1"/>
  <c r="P7" i="1"/>
  <c r="AH238" i="1"/>
  <c r="X7" i="1"/>
  <c r="AP238" i="1"/>
  <c r="AF7" i="1"/>
  <c r="AF82" i="1"/>
  <c r="AX238" i="1"/>
  <c r="D90" i="1"/>
  <c r="L90" i="1"/>
  <c r="T90" i="1"/>
  <c r="AB90" i="1"/>
  <c r="AI39" i="1"/>
  <c r="AI83" i="1"/>
  <c r="AH84" i="1"/>
  <c r="B90" i="1"/>
  <c r="D235" i="1"/>
  <c r="AH40" i="1"/>
  <c r="AH44" i="1"/>
  <c r="B79" i="1"/>
  <c r="AH85" i="1"/>
  <c r="AH86" i="1"/>
  <c r="E89" i="1"/>
  <c r="F218" i="1"/>
  <c r="AH58" i="1"/>
  <c r="AH62" i="1"/>
  <c r="AH74" i="1"/>
  <c r="R7" i="1" l="1"/>
  <c r="N7" i="1"/>
  <c r="AG242" i="2"/>
  <c r="AD82" i="1"/>
  <c r="AC86" i="2"/>
  <c r="S82" i="1"/>
  <c r="W242" i="2"/>
  <c r="X94" i="2"/>
  <c r="AI94" i="2" s="1"/>
  <c r="V82" i="1"/>
  <c r="S7" i="1"/>
  <c r="U86" i="2"/>
  <c r="AA82" i="1"/>
  <c r="V7" i="1"/>
  <c r="U82" i="1"/>
  <c r="X82" i="1"/>
  <c r="AR238" i="1"/>
  <c r="D259" i="1"/>
  <c r="F223" i="1"/>
  <c r="AE82" i="1"/>
  <c r="AE7" i="1"/>
  <c r="AC7" i="1"/>
  <c r="Z82" i="1"/>
  <c r="U7" i="1"/>
  <c r="R82" i="1"/>
  <c r="P82" i="1"/>
  <c r="E224" i="1"/>
  <c r="M82" i="1"/>
  <c r="AI89" i="1"/>
  <c r="W82" i="1"/>
  <c r="AC82" i="1"/>
  <c r="M7" i="1"/>
  <c r="L82" i="1"/>
  <c r="L7" i="1"/>
  <c r="K7" i="1"/>
  <c r="K82" i="1"/>
  <c r="B233" i="1"/>
  <c r="AB238" i="1"/>
  <c r="J82" i="1"/>
  <c r="C233" i="1"/>
  <c r="D263" i="2"/>
  <c r="F227" i="2"/>
  <c r="E104" i="2"/>
  <c r="AI83" i="2"/>
  <c r="AH83" i="2"/>
  <c r="B85" i="2"/>
  <c r="K6" i="2"/>
  <c r="H222" i="2"/>
  <c r="AI93" i="2"/>
  <c r="AH93" i="2"/>
  <c r="E228" i="2"/>
  <c r="E82" i="1"/>
  <c r="AH90" i="1"/>
  <c r="AI90" i="1"/>
  <c r="AH89" i="1"/>
  <c r="F100" i="1"/>
  <c r="G218" i="1"/>
  <c r="F224" i="1"/>
  <c r="B81" i="1"/>
  <c r="AI79" i="1"/>
  <c r="AH79" i="1"/>
  <c r="AH94" i="2" l="1"/>
  <c r="G223" i="1"/>
  <c r="E259" i="1"/>
  <c r="K6" i="1"/>
  <c r="B7" i="2"/>
  <c r="A7" i="2" s="1"/>
  <c r="T242" i="2"/>
  <c r="B86" i="2"/>
  <c r="AI85" i="2"/>
  <c r="AH85" i="2"/>
  <c r="I222" i="2"/>
  <c r="E263" i="2"/>
  <c r="G227" i="2"/>
  <c r="F104" i="2"/>
  <c r="F228" i="2"/>
  <c r="B82" i="1"/>
  <c r="AI81" i="1"/>
  <c r="AH81" i="1"/>
  <c r="T238" i="1"/>
  <c r="B7" i="1"/>
  <c r="A7" i="1" s="1"/>
  <c r="H218" i="1"/>
  <c r="G224" i="1"/>
  <c r="G100" i="1"/>
  <c r="F259" i="1" l="1"/>
  <c r="H223" i="1"/>
  <c r="AI86" i="2"/>
  <c r="AH86" i="2"/>
  <c r="J222" i="2"/>
  <c r="F263" i="2"/>
  <c r="H227" i="2"/>
  <c r="G104" i="2"/>
  <c r="G228" i="2"/>
  <c r="AI82" i="1"/>
  <c r="AH82" i="1"/>
  <c r="I218" i="1"/>
  <c r="H224" i="1"/>
  <c r="H100" i="1"/>
  <c r="G259" i="1" l="1"/>
  <c r="I223" i="1"/>
  <c r="K222" i="2"/>
  <c r="G263" i="2"/>
  <c r="I227" i="2"/>
  <c r="H228" i="2"/>
  <c r="H104" i="2"/>
  <c r="I224" i="1"/>
  <c r="J218" i="1"/>
  <c r="H259" i="1" l="1"/>
  <c r="J223" i="1"/>
  <c r="I100" i="1"/>
  <c r="L222" i="2"/>
  <c r="H263" i="2"/>
  <c r="J227" i="2"/>
  <c r="I104" i="2"/>
  <c r="I228" i="2"/>
  <c r="J224" i="1"/>
  <c r="J100" i="1"/>
  <c r="K218" i="1"/>
  <c r="K223" i="1" l="1"/>
  <c r="I259" i="1"/>
  <c r="K227" i="2"/>
  <c r="I263" i="2"/>
  <c r="J104" i="2"/>
  <c r="J228" i="2"/>
  <c r="M222" i="2"/>
  <c r="K224" i="1"/>
  <c r="K100" i="1"/>
  <c r="L218" i="1"/>
  <c r="J259" i="1" l="1"/>
  <c r="L223" i="1"/>
  <c r="J263" i="2"/>
  <c r="L227" i="2"/>
  <c r="K104" i="2"/>
  <c r="K228" i="2"/>
  <c r="N222" i="2"/>
  <c r="L100" i="1"/>
  <c r="M218" i="1"/>
  <c r="K259" i="1" l="1"/>
  <c r="M223" i="1"/>
  <c r="L224" i="1"/>
  <c r="O222" i="2"/>
  <c r="K263" i="2"/>
  <c r="M227" i="2"/>
  <c r="L228" i="2"/>
  <c r="L104" i="2"/>
  <c r="M100" i="1"/>
  <c r="N218" i="1"/>
  <c r="M224" i="1"/>
  <c r="L259" i="1" l="1"/>
  <c r="N223" i="1"/>
  <c r="L263" i="2"/>
  <c r="N227" i="2"/>
  <c r="M228" i="2"/>
  <c r="M104" i="2"/>
  <c r="P222" i="2"/>
  <c r="N100" i="1"/>
  <c r="O218" i="1"/>
  <c r="N224" i="1"/>
  <c r="O223" i="1" l="1"/>
  <c r="M259" i="1"/>
  <c r="M263" i="2"/>
  <c r="O227" i="2"/>
  <c r="N104" i="2"/>
  <c r="N228" i="2"/>
  <c r="P218" i="1"/>
  <c r="O224" i="1"/>
  <c r="O100" i="1"/>
  <c r="N259" i="1" l="1"/>
  <c r="P223" i="1"/>
  <c r="O259" i="1" s="1"/>
  <c r="N263" i="2"/>
  <c r="P227" i="2"/>
  <c r="O104" i="2"/>
  <c r="O228" i="2"/>
  <c r="P224" i="1"/>
  <c r="P100" i="1"/>
  <c r="O263" i="2" l="1"/>
  <c r="P104" i="2"/>
  <c r="P228" i="2"/>
  <c r="AH100" i="1"/>
  <c r="AI100" i="1"/>
  <c r="AH104" i="2" l="1"/>
  <c r="AI10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<sst xmlns="http://schemas.openxmlformats.org/spreadsheetml/2006/main" count="8043" uniqueCount="284">
  <si>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</si>
  <si>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</si>
  <si>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</si>
  <si>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</si>
  <si>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</si>
  <si>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</si>
  <si>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</si>
  <si>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</si>
  <si>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</si>
  <si>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</si>
  <si>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</si>
  <si>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</si>
  <si>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</si>
  <si>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</si>
  <si>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</si>
  <si>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</si>
  <si>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</si>
  <si>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</si>
  <si>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</si>
  <si>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Likhu-IV(52.4)</t>
  </si>
  <si>
    <t>Upper Marsyangdi "A"(50)</t>
  </si>
  <si>
    <t>Upper Bhotekoshi Khola(45)</t>
  </si>
  <si>
    <t>Mistri Khola(42)</t>
  </si>
  <si>
    <t>Nyadi(30)</t>
  </si>
  <si>
    <t>Likhu Khola A(29.04)</t>
  </si>
  <si>
    <t>Dordi(27)</t>
  </si>
  <si>
    <t>Upper Madi(25)</t>
  </si>
  <si>
    <t>Kabeli B-1(25)</t>
  </si>
  <si>
    <t>Singati Khola(25)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</si>
  <si>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</si>
  <si>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</si>
  <si>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</si>
  <si>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</si>
  <si>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</si>
  <si>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</si>
  <si>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</si>
  <si>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</si>
  <si>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</si>
  <si>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</si>
  <si>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</si>
  <si>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</si>
  <si>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</si>
  <si>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</si>
  <si>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</si>
  <si>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</si>
  <si>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</si>
  <si>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</si>
  <si>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</si>
  <si>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</si>
  <si>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</si>
  <si>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</si>
  <si>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</si>
  <si>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</si>
  <si>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</si>
  <si>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</si>
  <si>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</si>
  <si>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</si>
  <si>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</si>
  <si>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</si>
  <si>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</si>
  <si>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</si>
  <si>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</si>
  <si>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</si>
  <si>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</si>
  <si>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</si>
  <si>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</si>
  <si>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</si>
  <si>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</si>
  <si>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</si>
  <si>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</si>
  <si>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</si>
  <si>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</si>
  <si>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</si>
  <si>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</si>
  <si>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</si>
  <si>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</si>
  <si>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</si>
  <si>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</si>
  <si>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</si>
  <si>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</si>
  <si>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</si>
  <si>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</si>
  <si>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</si>
  <si>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</si>
  <si>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</si>
  <si>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</si>
  <si>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</si>
  <si>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</si>
  <si>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</si>
  <si>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</si>
  <si>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</si>
  <si>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</si>
  <si>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</si>
  <si>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</si>
  <si>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</si>
  <si>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</si>
  <si>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</si>
  <si>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</si>
  <si>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</si>
  <si>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</si>
  <si>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</si>
  <si>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</si>
  <si>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</si>
  <si>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>133..2</t>
  </si>
  <si>
    <t xml:space="preserve">SUI 66KV </t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</si>
  <si>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</si>
  <si>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</si>
  <si>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</si>
  <si>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</si>
  <si>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</si>
  <si>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</si>
  <si>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</si>
  <si>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</si>
  <si>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</si>
  <si>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HETAUDA-KAMANE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</si>
  <si>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</si>
  <si>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</si>
  <si>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</si>
  <si>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</si>
  <si>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</si>
  <si>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</si>
  <si>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</si>
  <si>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</si>
  <si>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</si>
  <si>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</si>
  <si>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</si>
  <si>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</si>
  <si>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</si>
  <si>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</si>
  <si>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</si>
  <si>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</si>
  <si>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</si>
  <si>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</si>
  <si>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</si>
  <si>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</si>
  <si>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</si>
  <si>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</si>
  <si>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</si>
  <si>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</si>
  <si>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</si>
  <si>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</si>
  <si>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</si>
  <si>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</si>
  <si>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</si>
  <si>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</si>
  <si>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</si>
  <si>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</si>
  <si>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</si>
  <si>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</si>
  <si>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</si>
  <si>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</si>
  <si>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</si>
  <si>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</si>
  <si>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</si>
  <si>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</si>
  <si>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</si>
  <si>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</si>
  <si>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</si>
  <si>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</si>
  <si>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</si>
  <si>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</si>
  <si>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</si>
  <si>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</si>
  <si>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</si>
  <si>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</si>
  <si>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</si>
  <si>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</si>
  <si>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</si>
  <si>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</si>
  <si>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</si>
  <si>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</si>
  <si>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</si>
  <si>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</si>
  <si>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</si>
  <si>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</si>
  <si>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</si>
  <si>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</si>
  <si>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</si>
  <si>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</si>
  <si>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</si>
  <si>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</si>
  <si>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</si>
  <si>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</si>
  <si>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</si>
  <si>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</si>
  <si>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</si>
  <si>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</si>
  <si>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</si>
  <si>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</si>
  <si>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</si>
  <si>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</si>
  <si>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</si>
  <si>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</si>
  <si>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</si>
  <si>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</si>
  <si>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</si>
  <si>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</si>
  <si>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</si>
  <si>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</si>
  <si>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</si>
  <si>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</si>
  <si>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</si>
  <si>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</si>
  <si>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</si>
  <si>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</si>
  <si>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</si>
  <si>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</si>
  <si>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</si>
  <si>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</si>
  <si>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</si>
  <si>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</si>
  <si>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</si>
  <si>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</si>
  <si>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</si>
  <si>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</si>
  <si>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</si>
  <si>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</si>
  <si>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</si>
  <si>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</si>
  <si>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</si>
  <si>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</si>
  <si>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</si>
  <si>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</si>
  <si>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</si>
  <si>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</si>
  <si>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</si>
  <si>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</si>
  <si>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</si>
  <si>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</si>
  <si>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</si>
  <si>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</si>
  <si>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</si>
  <si>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</si>
  <si>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</si>
  <si>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</si>
  <si>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</si>
  <si>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</si>
  <si>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</si>
  <si>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</si>
  <si>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</si>
  <si>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</si>
  <si>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</si>
  <si>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</si>
  <si>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</si>
  <si>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 xml:space="preserve">\ </t>
  </si>
  <si>
    <t>Dordi corridor</t>
  </si>
  <si>
    <t>Ipp total</t>
  </si>
  <si>
    <t>20+25(kga from 4)+5-10(mrs)+</t>
  </si>
  <si>
    <t/>
  </si>
  <si>
    <t xml:space="preserve"> </t>
  </si>
  <si>
    <t>49..985</t>
  </si>
  <si>
    <t>Upper Dordi (25)</t>
  </si>
  <si>
    <t>48..6</t>
  </si>
  <si>
    <t>Lower Likhu(28)</t>
  </si>
  <si>
    <t xml:space="preserve">Upper Balefi (36) </t>
  </si>
  <si>
    <t>Upper Balefi (36)</t>
  </si>
  <si>
    <t>Dordi27</t>
  </si>
  <si>
    <t>Dordi25</t>
  </si>
  <si>
    <t>Dordi12</t>
  </si>
  <si>
    <t>sardi</t>
  </si>
  <si>
    <t>API</t>
  </si>
  <si>
    <t>balefi</t>
  </si>
  <si>
    <t>Sipring</t>
  </si>
  <si>
    <t xml:space="preserve">Spill </t>
  </si>
  <si>
    <t>p</t>
  </si>
  <si>
    <t>a</t>
  </si>
  <si>
    <t>r</t>
  </si>
  <si>
    <t>t</t>
  </si>
  <si>
    <t>i</t>
  </si>
  <si>
    <t>l</t>
  </si>
  <si>
    <t>s</t>
  </si>
  <si>
    <t>y</t>
  </si>
  <si>
    <t>e</t>
  </si>
  <si>
    <t>m</t>
  </si>
  <si>
    <t>c</t>
  </si>
  <si>
    <t>o</t>
  </si>
  <si>
    <t>124..9</t>
  </si>
  <si>
    <t>Middle Modi (18)</t>
  </si>
  <si>
    <t>breaker problem</t>
  </si>
  <si>
    <t>54..8</t>
  </si>
  <si>
    <t>37..3</t>
  </si>
  <si>
    <t>133..9</t>
  </si>
  <si>
    <t>‍=31.3+37.1</t>
  </si>
  <si>
    <t>34..5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</si>
</sst>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</font>
    <font>
      <b/>
      <sz val="12"/>
      <color indexed="12"/>
      <name val="Times New Roman"/>
      <family val="1"/>
    </font>
    <font>
      <b/>
      <sz val="12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CC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4" fillId="0" borderId="0"/>
    <xf numFmtId="0" fontId="35" fillId="0" borderId="0"/>
    <xf numFmtId="0" fontId="36" fillId="0" borderId="0"/>
  </cellStyleXfs>
  <cellXfs count="264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6" fontId="12" fillId="0" borderId="26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12" fillId="0" borderId="39" xfId="2" applyFont="1" applyBorder="1" applyAlignment="1">
      <alignment horizontal="right" vertical="center"/>
    </xf>
    <xf numFmtId="166" fontId="12" fillId="0" borderId="37" xfId="2" applyNumberFormat="1" applyFont="1" applyBorder="1" applyAlignment="1">
      <alignment horizontal="center" vertical="center"/>
    </xf>
    <xf numFmtId="169" fontId="12" fillId="0" borderId="40" xfId="2" applyNumberFormat="1" applyFont="1" applyBorder="1" applyAlignment="1">
      <alignment horizontal="center" vertical="center"/>
    </xf>
    <xf numFmtId="169" fontId="16" fillId="0" borderId="41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1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2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43" xfId="2" applyNumberFormat="1" applyFont="1" applyBorder="1" applyAlignment="1">
      <alignment horizontal="center" vertical="center"/>
    </xf>
    <xf numFmtId="164" fontId="12" fillId="0" borderId="44" xfId="2" applyFont="1" applyBorder="1" applyAlignment="1">
      <alignment horizontal="right" vertical="center"/>
    </xf>
    <xf numFmtId="169" fontId="12" fillId="0" borderId="45" xfId="2" applyNumberFormat="1" applyFont="1" applyBorder="1" applyAlignment="1">
      <alignment horizontal="center" vertical="center"/>
    </xf>
    <xf numFmtId="164" fontId="12" fillId="0" borderId="46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45" xfId="2" applyNumberFormat="1" applyFont="1" applyBorder="1" applyAlignment="1">
      <alignment horizontal="center"/>
    </xf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9" fontId="12" fillId="0" borderId="47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48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9" xfId="2" applyNumberFormat="1" applyFont="1" applyBorder="1" applyAlignment="1" applyProtection="1">
      <alignment horizontal="center" vertical="center"/>
      <protection locked="0"/>
    </xf>
    <xf numFmtId="164" fontId="12" fillId="0" borderId="50" xfId="2" applyFont="1" applyBorder="1" applyAlignment="1">
      <alignment horizontal="right" vertical="center"/>
    </xf>
    <xf numFmtId="166" fontId="12" fillId="0" borderId="51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52" xfId="2" applyFont="1" applyBorder="1" applyAlignment="1">
      <alignment vertical="center"/>
    </xf>
    <xf numFmtId="164" fontId="1" fillId="0" borderId="53" xfId="2" applyBorder="1" applyAlignment="1">
      <alignment horizontal="center"/>
    </xf>
    <xf numFmtId="169" fontId="1" fillId="0" borderId="54" xfId="2" applyNumberFormat="1" applyBorder="1" applyAlignment="1">
      <alignment horizontal="center"/>
    </xf>
    <xf numFmtId="164" fontId="12" fillId="0" borderId="55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5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57" xfId="2" applyNumberFormat="1" applyFont="1" applyBorder="1" applyAlignment="1">
      <alignment horizontal="center" vertical="center"/>
    </xf>
    <xf numFmtId="169" fontId="25" fillId="0" borderId="58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59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0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57" xfId="2" applyNumberFormat="1" applyFont="1" applyBorder="1" applyAlignment="1">
      <alignment horizontal="center" vertical="center"/>
    </xf>
    <xf numFmtId="169" fontId="28" fillId="0" borderId="58" xfId="2" applyNumberFormat="1" applyFont="1" applyBorder="1" applyAlignment="1">
      <alignment horizontal="center" vertical="center"/>
    </xf>
    <xf numFmtId="164" fontId="12" fillId="0" borderId="59" xfId="2" applyFont="1" applyBorder="1" applyAlignment="1">
      <alignment horizontal="right" vertical="center"/>
    </xf>
    <xf numFmtId="169" fontId="1" fillId="0" borderId="61" xfId="2" applyNumberFormat="1" applyBorder="1" applyAlignment="1">
      <alignment horizontal="center"/>
    </xf>
    <xf numFmtId="164" fontId="16" fillId="0" borderId="42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55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56" xfId="2" applyNumberFormat="1" applyFont="1" applyBorder="1" applyAlignment="1">
      <alignment horizontal="center" vertical="center"/>
    </xf>
    <xf numFmtId="164" fontId="1" fillId="0" borderId="62" xfId="2" applyBorder="1" applyAlignment="1">
      <alignment horizontal="center"/>
    </xf>
    <xf numFmtId="164" fontId="16" fillId="0" borderId="44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57" xfId="2" applyNumberFormat="1" applyFont="1" applyBorder="1" applyAlignment="1">
      <alignment horizontal="center" vertical="center"/>
    </xf>
    <xf numFmtId="164" fontId="16" fillId="0" borderId="63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2" borderId="6" xfId="2" applyFont="1" applyFill="1" applyBorder="1" applyAlignment="1">
      <alignment vertical="center"/>
    </xf>
    <xf numFmtId="1" fontId="1" fillId="12" borderId="6" xfId="2" applyNumberFormat="1" applyFill="1" applyBorder="1"/>
    <xf numFmtId="20" fontId="30" fillId="12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4" borderId="0" xfId="2" applyFont="1" applyFill="1"/>
    <xf numFmtId="164" fontId="1" fillId="15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4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5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0" fontId="1" fillId="0" borderId="0" xfId="2" applyNumberFormat="1"/>
    <xf numFmtId="164" fontId="0" fillId="0" borderId="0" xfId="2" applyFont="1"/>
    <xf numFmtId="0" fontId="0" fillId="0" borderId="0" xfId="2" applyNumberFormat="1" applyFont="1"/>
    <xf numFmtId="166" fontId="37" fillId="16" borderId="2" xfId="0" applyNumberFormat="1" applyFont="1" applyFill="1" applyBorder="1" applyAlignment="1">
      <alignment horizontal="center" vertical="top" wrapText="1"/>
    </xf>
    <xf numFmtId="166" fontId="37" fillId="16" borderId="6" xfId="0" applyNumberFormat="1" applyFont="1" applyFill="1" applyBorder="1" applyAlignment="1">
      <alignment horizontal="center" vertical="top" wrapText="1"/>
    </xf>
    <xf numFmtId="166" fontId="37" fillId="16" borderId="6" xfId="0" applyNumberFormat="1" applyFont="1" applyFill="1" applyBorder="1" applyAlignment="1" applyProtection="1">
      <alignment horizontal="center" vertical="top" wrapText="1"/>
      <protection locked="0"/>
    </xf>
    <xf numFmtId="166" fontId="37" fillId="16" borderId="37" xfId="0" applyNumberFormat="1" applyFont="1" applyFill="1" applyBorder="1" applyAlignment="1" applyProtection="1">
      <alignment horizontal="center" vertical="top" wrapText="1"/>
      <protection locked="0"/>
    </xf>
    <xf numFmtId="166" fontId="37" fillId="16" borderId="25" xfId="0" applyNumberFormat="1" applyFont="1" applyFill="1" applyBorder="1" applyAlignment="1" applyProtection="1">
      <alignment horizontal="center" vertical="top" wrapText="1"/>
      <protection locked="0"/>
    </xf>
    <xf numFmtId="166" fontId="38" fillId="16" borderId="59" xfId="0" applyNumberFormat="1" applyFont="1" applyFill="1" applyBorder="1" applyAlignment="1">
      <alignment horizontal="center" vertical="top" wrapText="1"/>
    </xf>
    <xf numFmtId="166" fontId="37" fillId="16" borderId="25" xfId="0" applyNumberFormat="1" applyFont="1" applyFill="1" applyBorder="1" applyAlignment="1">
      <alignment horizontal="center" vertical="top" wrapText="1"/>
    </xf>
    <xf numFmtId="166" fontId="37" fillId="16" borderId="37" xfId="0" applyNumberFormat="1" applyFont="1" applyFill="1" applyBorder="1" applyAlignment="1">
      <alignment horizontal="center" vertical="top" wrapText="1"/>
    </xf>
    <xf numFmtId="166" fontId="37" fillId="16" borderId="55" xfId="0" applyNumberFormat="1" applyFont="1" applyFill="1" applyBorder="1" applyAlignment="1" applyProtection="1">
      <alignment horizontal="center" vertical="top" wrapText="1"/>
      <protection locked="0"/>
    </xf>
    <xf numFmtId="166" fontId="37" fillId="16" borderId="44" xfId="0" applyNumberFormat="1" applyFont="1" applyFill="1" applyBorder="1" applyAlignment="1">
      <alignment horizontal="center" vertical="top" wrapText="1"/>
    </xf>
    <xf numFmtId="166" fontId="37" fillId="16" borderId="44" xfId="0" applyNumberFormat="1" applyFont="1" applyFill="1" applyBorder="1" applyAlignment="1" applyProtection="1">
      <alignment horizontal="center" vertical="top" wrapText="1"/>
      <protection locked="0"/>
    </xf>
    <xf numFmtId="166" fontId="37" fillId="16" borderId="50" xfId="0" applyNumberFormat="1" applyFont="1" applyFill="1" applyBorder="1" applyAlignment="1" applyProtection="1">
      <alignment horizontal="center" vertical="top" wrapText="1"/>
      <protection locked="0"/>
    </xf>
    <xf numFmtId="166" fontId="38" fillId="16" borderId="31" xfId="0" applyNumberFormat="1" applyFont="1" applyFill="1" applyBorder="1" applyAlignment="1">
      <alignment horizontal="center" vertical="top" wrapText="1"/>
    </xf>
    <xf numFmtId="0" fontId="37" fillId="16" borderId="55" xfId="0" applyFont="1" applyFill="1" applyBorder="1" applyAlignment="1">
      <alignment horizontal="center" vertical="top" wrapText="1"/>
    </xf>
    <xf numFmtId="166" fontId="37" fillId="16" borderId="50" xfId="0" applyNumberFormat="1" applyFont="1" applyFill="1" applyBorder="1" applyAlignment="1">
      <alignment horizontal="center" vertical="top" wrapText="1"/>
    </xf>
    <xf numFmtId="2" fontId="39" fillId="16" borderId="59" xfId="0" applyNumberFormat="1" applyFont="1" applyFill="1" applyBorder="1" applyAlignment="1" applyProtection="1">
      <alignment horizontal="center" vertical="top" wrapText="1"/>
      <protection locked="0"/>
    </xf>
    <xf numFmtId="0" fontId="37" fillId="16" borderId="44" xfId="0" applyFont="1" applyFill="1" applyBorder="1" applyAlignment="1">
      <alignment horizontal="center" vertical="top" wrapText="1"/>
    </xf>
    <xf numFmtId="0" fontId="38" fillId="16" borderId="50" xfId="0" applyFont="1" applyFill="1" applyBorder="1" applyAlignment="1">
      <alignment horizontal="center" vertical="top" wrapText="1"/>
    </xf>
    <xf numFmtId="2" fontId="39" fillId="16" borderId="1" xfId="0" applyNumberFormat="1" applyFont="1" applyFill="1" applyBorder="1" applyAlignment="1" applyProtection="1">
      <alignment horizontal="center" vertical="top" wrapText="1"/>
      <protection locked="0"/>
    </xf>
    <xf numFmtId="2" fontId="37" fillId="16" borderId="2" xfId="0" applyNumberFormat="1" applyFont="1" applyFill="1" applyBorder="1" applyAlignment="1" applyProtection="1">
      <alignment horizontal="center" vertical="top" wrapText="1"/>
      <protection locked="0"/>
    </xf>
    <xf numFmtId="2" fontId="37" fillId="16" borderId="6" xfId="0" applyNumberFormat="1" applyFont="1" applyFill="1" applyBorder="1" applyAlignment="1" applyProtection="1">
      <alignment horizontal="center" vertical="top" wrapText="1"/>
      <protection locked="0"/>
    </xf>
    <xf numFmtId="2" fontId="37" fillId="16" borderId="8" xfId="0" applyNumberFormat="1" applyFont="1" applyFill="1" applyBorder="1" applyAlignment="1" applyProtection="1">
      <alignment horizontal="center" vertical="top" wrapText="1"/>
      <protection locked="0"/>
    </xf>
    <xf numFmtId="0" fontId="31" fillId="0" borderId="0" xfId="0" applyFont="1" applyAlignment="1">
      <alignment horizontal="center"/>
    </xf>
    <xf numFmtId="2" fontId="18" fillId="0" borderId="31" xfId="0" applyNumberFormat="1" applyFont="1" applyBorder="1"/>
    <xf numFmtId="166" fontId="12" fillId="0" borderId="48" xfId="5" applyNumberFormat="1" applyFont="1" applyBorder="1" applyAlignment="1" applyProtection="1">
      <alignment horizontal="center" vertical="center"/>
      <protection locked="0"/>
    </xf>
    <xf numFmtId="166" fontId="12" fillId="0" borderId="26" xfId="5" applyNumberFormat="1" applyFont="1" applyBorder="1" applyAlignment="1" applyProtection="1">
      <alignment horizontal="center" vertical="center"/>
      <protection locked="0"/>
    </xf>
    <xf numFmtId="166" fontId="12" fillId="0" borderId="49" xfId="5" applyNumberFormat="1" applyFont="1" applyBorder="1" applyAlignment="1" applyProtection="1">
      <alignment horizontal="center" vertical="center"/>
      <protection locked="0"/>
    </xf>
    <xf numFmtId="166" fontId="12" fillId="0" borderId="51" xfId="5" applyNumberFormat="1" applyFont="1" applyBorder="1" applyAlignment="1" applyProtection="1">
      <alignment horizontal="center"/>
      <protection locked="0"/>
    </xf>
    <xf numFmtId="166" fontId="12" fillId="0" borderId="6" xfId="5" applyNumberFormat="1" applyFont="1" applyBorder="1" applyAlignment="1" applyProtection="1">
      <alignment horizontal="center"/>
      <protection locked="0"/>
    </xf>
    <xf numFmtId="166" fontId="12" fillId="5" borderId="6" xfId="2" applyNumberFormat="1" applyFont="1" applyFill="1" applyBorder="1" applyAlignment="1" applyProtection="1">
      <alignment horizontal="center" vertical="center"/>
      <protection locked="0"/>
    </xf>
    <xf numFmtId="166" fontId="12" fillId="17" borderId="6" xfId="2" applyNumberFormat="1" applyFont="1" applyFill="1" applyBorder="1" applyAlignment="1" applyProtection="1">
      <alignment horizontal="center" vertical="center"/>
      <protection locked="0"/>
    </xf>
    <xf numFmtId="166" fontId="12" fillId="5" borderId="25" xfId="2" applyNumberFormat="1" applyFont="1" applyFill="1" applyBorder="1" applyAlignment="1" applyProtection="1">
      <alignment horizontal="center" vertical="center"/>
      <protection locked="0"/>
    </xf>
    <xf numFmtId="166" fontId="12" fillId="5" borderId="26" xfId="2" applyNumberFormat="1" applyFont="1" applyFill="1" applyBorder="1" applyAlignment="1" applyProtection="1">
      <alignment horizontal="center" vertical="center"/>
      <protection locked="0"/>
    </xf>
    <xf numFmtId="166" fontId="16" fillId="5" borderId="31" xfId="2" applyNumberFormat="1" applyFont="1" applyFill="1" applyBorder="1" applyAlignment="1">
      <alignment horizontal="center" vertical="center"/>
    </xf>
    <xf numFmtId="166" fontId="12" fillId="5" borderId="2" xfId="0" applyNumberFormat="1" applyFont="1" applyFill="1" applyBorder="1" applyAlignment="1">
      <alignment horizontal="center" vertical="top" wrapText="1"/>
    </xf>
    <xf numFmtId="166" fontId="12" fillId="5" borderId="6" xfId="0" applyNumberFormat="1" applyFont="1" applyFill="1" applyBorder="1" applyAlignment="1">
      <alignment horizontal="center" vertical="top" wrapText="1"/>
    </xf>
    <xf numFmtId="166" fontId="12" fillId="5" borderId="6" xfId="0" applyNumberFormat="1" applyFont="1" applyFill="1" applyBorder="1" applyAlignment="1" applyProtection="1">
      <alignment horizontal="center" vertical="top" wrapText="1"/>
      <protection locked="0"/>
    </xf>
    <xf numFmtId="166" fontId="12" fillId="5" borderId="37" xfId="0" applyNumberFormat="1" applyFont="1" applyFill="1" applyBorder="1" applyAlignment="1" applyProtection="1">
      <alignment horizontal="center" vertical="top" wrapText="1"/>
      <protection locked="0"/>
    </xf>
    <xf numFmtId="166" fontId="12" fillId="5" borderId="25" xfId="0" applyNumberFormat="1" applyFont="1" applyFill="1" applyBorder="1" applyAlignment="1" applyProtection="1">
      <alignment horizontal="center" vertical="top" wrapText="1"/>
      <protection locked="0"/>
    </xf>
    <xf numFmtId="166" fontId="12" fillId="5" borderId="55" xfId="0" applyNumberFormat="1" applyFont="1" applyFill="1" applyBorder="1" applyAlignment="1" applyProtection="1">
      <alignment horizontal="center" vertical="top" wrapText="1"/>
      <protection locked="0"/>
    </xf>
    <xf numFmtId="166" fontId="12" fillId="5" borderId="44" xfId="0" applyNumberFormat="1" applyFont="1" applyFill="1" applyBorder="1" applyAlignment="1">
      <alignment horizontal="center" vertical="top" wrapText="1"/>
    </xf>
    <xf numFmtId="166" fontId="12" fillId="5" borderId="44" xfId="0" applyNumberFormat="1" applyFont="1" applyFill="1" applyBorder="1" applyAlignment="1" applyProtection="1">
      <alignment horizontal="center" vertical="top" wrapText="1"/>
      <protection locked="0"/>
    </xf>
    <xf numFmtId="166" fontId="12" fillId="5" borderId="25" xfId="0" applyNumberFormat="1" applyFont="1" applyFill="1" applyBorder="1" applyAlignment="1">
      <alignment horizontal="center" vertical="top" wrapText="1"/>
    </xf>
    <xf numFmtId="166" fontId="12" fillId="5" borderId="37" xfId="0" applyNumberFormat="1" applyFont="1" applyFill="1" applyBorder="1" applyAlignment="1">
      <alignment horizontal="center" vertical="top" wrapText="1"/>
    </xf>
    <xf numFmtId="164" fontId="30" fillId="0" borderId="53" xfId="2" applyFont="1" applyBorder="1" applyAlignment="1">
      <alignment horizontal="center"/>
    </xf>
    <xf numFmtId="166" fontId="12" fillId="5" borderId="18" xfId="2" applyNumberFormat="1" applyFont="1" applyFill="1" applyBorder="1" applyAlignment="1" applyProtection="1">
      <alignment horizontal="center" vertical="center"/>
      <protection locked="0"/>
    </xf>
    <xf numFmtId="2" fontId="26" fillId="5" borderId="37" xfId="2" applyNumberFormat="1" applyFont="1" applyFill="1" applyBorder="1" applyAlignment="1">
      <alignment horizontal="center" vertical="center"/>
    </xf>
    <xf numFmtId="166" fontId="12" fillId="5" borderId="25" xfId="2" applyNumberFormat="1" applyFont="1" applyFill="1" applyBorder="1" applyAlignment="1">
      <alignment horizontal="center" vertical="center"/>
    </xf>
    <xf numFmtId="166" fontId="12" fillId="5" borderId="6" xfId="2" applyNumberFormat="1" applyFont="1" applyFill="1" applyBorder="1" applyAlignment="1">
      <alignment horizontal="center" vertical="center"/>
    </xf>
    <xf numFmtId="166" fontId="12" fillId="5" borderId="37" xfId="2" applyNumberFormat="1" applyFont="1" applyFill="1" applyBorder="1" applyAlignment="1">
      <alignment horizontal="center" vertical="center"/>
    </xf>
    <xf numFmtId="1" fontId="16" fillId="5" borderId="31" xfId="2" applyNumberFormat="1" applyFont="1" applyFill="1" applyBorder="1" applyAlignment="1">
      <alignment horizontal="center" vertical="center"/>
    </xf>
    <xf numFmtId="166" fontId="12" fillId="5" borderId="31" xfId="2" applyNumberFormat="1" applyFont="1" applyFill="1" applyBorder="1" applyAlignment="1" applyProtection="1">
      <alignment horizontal="center" vertical="center"/>
      <protection locked="0"/>
    </xf>
    <xf numFmtId="2" fontId="12" fillId="5" borderId="2" xfId="2" applyNumberFormat="1" applyFont="1" applyFill="1" applyBorder="1" applyAlignment="1" applyProtection="1">
      <alignment horizontal="center" vertical="center"/>
      <protection locked="0"/>
    </xf>
    <xf numFmtId="166" fontId="12" fillId="5" borderId="6" xfId="2" applyNumberFormat="1" applyFont="1" applyFill="1" applyBorder="1" applyAlignment="1" applyProtection="1">
      <alignment horizontal="center"/>
      <protection locked="0"/>
    </xf>
    <xf numFmtId="166" fontId="12" fillId="5" borderId="8" xfId="2" applyNumberFormat="1" applyFont="1" applyFill="1" applyBorder="1" applyAlignment="1" applyProtection="1">
      <alignment horizontal="center" vertical="center"/>
      <protection locked="0"/>
    </xf>
    <xf numFmtId="166" fontId="16" fillId="5" borderId="3" xfId="2" applyNumberFormat="1" applyFont="1" applyFill="1" applyBorder="1" applyAlignment="1">
      <alignment horizontal="center" vertical="center"/>
    </xf>
    <xf numFmtId="166" fontId="12" fillId="5" borderId="48" xfId="2" applyNumberFormat="1" applyFont="1" applyFill="1" applyBorder="1" applyAlignment="1" applyProtection="1">
      <alignment horizontal="center" vertical="center"/>
      <protection locked="0"/>
    </xf>
    <xf numFmtId="166" fontId="12" fillId="5" borderId="49" xfId="2" applyNumberFormat="1" applyFont="1" applyFill="1" applyBorder="1" applyAlignment="1" applyProtection="1">
      <alignment horizontal="center" vertical="center"/>
      <protection locked="0"/>
    </xf>
    <xf numFmtId="166" fontId="12" fillId="5" borderId="51" xfId="2" applyNumberFormat="1" applyFont="1" applyFill="1" applyBorder="1" applyAlignment="1" applyProtection="1">
      <alignment horizontal="center"/>
      <protection locked="0"/>
    </xf>
    <xf numFmtId="164" fontId="0" fillId="0" borderId="53" xfId="2" applyFont="1" applyBorder="1" applyAlignment="1">
      <alignment horizontal="center"/>
    </xf>
    <xf numFmtId="164" fontId="2" fillId="5" borderId="6" xfId="2" applyFont="1" applyFill="1" applyBorder="1" applyAlignment="1">
      <alignment horizontal="center" vertical="center"/>
    </xf>
    <xf numFmtId="165" fontId="14" fillId="0" borderId="6" xfId="2" applyNumberFormat="1" applyFont="1" applyBorder="1"/>
    <xf numFmtId="164" fontId="0" fillId="0" borderId="6" xfId="2" applyFont="1" applyBorder="1" applyAlignment="1">
      <alignment horizontal="center" vertical="center"/>
    </xf>
    <xf numFmtId="20" fontId="0" fillId="0" borderId="6" xfId="2" applyNumberFormat="1" applyFont="1" applyBorder="1"/>
    <xf numFmtId="0" fontId="1" fillId="0" borderId="6" xfId="2" applyNumberFormat="1" applyBorder="1" applyAlignment="1">
      <alignment horizontal="center" vertical="center"/>
    </xf>
    <xf numFmtId="2" fontId="14" fillId="0" borderId="6" xfId="2" applyNumberFormat="1" applyFont="1" applyBorder="1"/>
    <xf numFmtId="0" fontId="14" fillId="0" borderId="6" xfId="2" applyNumberFormat="1" applyFont="1" applyBorder="1"/>
    <xf numFmtId="20" fontId="1" fillId="0" borderId="6" xfId="2" applyNumberFormat="1" applyBorder="1"/>
    <xf numFmtId="164" fontId="31" fillId="13" borderId="0" xfId="2" applyFont="1" applyFill="1" applyAlignment="1">
      <alignment horizontal="center"/>
    </xf>
    <xf numFmtId="167" fontId="12" fillId="0" borderId="19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8" xfId="2" applyNumberFormat="1" applyFont="1" applyBorder="1" applyAlignment="1">
      <alignment horizontal="center" vertic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7" fontId="12" fillId="5" borderId="19" xfId="2" applyNumberFormat="1" applyFont="1" applyFill="1" applyBorder="1" applyAlignment="1">
      <alignment horizontal="center" vertical="center"/>
    </xf>
    <xf numFmtId="167" fontId="12" fillId="5" borderId="22" xfId="2" applyNumberFormat="1" applyFont="1" applyFill="1" applyBorder="1" applyAlignment="1">
      <alignment horizontal="center" vertical="center"/>
    </xf>
    <xf numFmtId="166" fontId="12" fillId="0" borderId="48" xfId="2" applyNumberFormat="1" applyFont="1" applyBorder="1" applyAlignment="1" applyProtection="1">
      <alignment horizontal="center" vertical="center"/>
      <protection locked="0"/>
    </xf>
    <xf numFmtId="166" fontId="12" fillId="0" borderId="65" xfId="2" applyNumberFormat="1" applyFont="1" applyBorder="1" applyAlignment="1" applyProtection="1">
      <alignment horizontal="center" vertical="center"/>
      <protection locked="0"/>
    </xf>
  </cellXfs>
  <cellStyles count="7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_4" xfId="6" xr:uid="{00000000-0005-0000-0000-000006000000}"/>
  </cellStyles>
  <dxfs count="7489"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94FAA3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4FAA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483328"/>
        <c:axId val="241425792"/>
      </c:lineChart>
      <c:catAx>
        <c:axId val="240483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25792"/>
        <c:crosses val="autoZero"/>
        <c:auto val="1"/>
        <c:lblAlgn val="ctr"/>
        <c:lblOffset val="100"/>
        <c:noMultiLvlLbl val="0"/>
      </c:catAx>
      <c:valAx>
        <c:axId val="241425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8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275584"/>
        <c:axId val="259273856"/>
      </c:lineChart>
      <c:catAx>
        <c:axId val="258275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73856"/>
        <c:crosses val="autoZero"/>
        <c:auto val="1"/>
        <c:lblAlgn val="ctr"/>
        <c:lblOffset val="100"/>
        <c:noMultiLvlLbl val="0"/>
      </c:catAx>
      <c:valAx>
        <c:axId val="259273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855488"/>
        <c:axId val="312451072"/>
      </c:lineChart>
      <c:catAx>
        <c:axId val="303855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51072"/>
        <c:crosses val="autoZero"/>
        <c:auto val="1"/>
        <c:lblAlgn val="ctr"/>
        <c:lblOffset val="100"/>
        <c:noMultiLvlLbl val="0"/>
      </c:catAx>
      <c:valAx>
        <c:axId val="312451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85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081472"/>
        <c:axId val="317505536"/>
      </c:lineChart>
      <c:catAx>
        <c:axId val="317081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505536"/>
        <c:crosses val="autoZero"/>
        <c:auto val="1"/>
        <c:lblAlgn val="ctr"/>
        <c:lblOffset val="100"/>
        <c:noMultiLvlLbl val="0"/>
      </c:catAx>
      <c:valAx>
        <c:axId val="31750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08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'5'!$U$237:$AX$237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2238720"/>
        <c:axId val="323309568"/>
      </c:lineChart>
      <c:catAx>
        <c:axId val="322238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09568"/>
        <c:crosses val="autoZero"/>
        <c:auto val="1"/>
        <c:lblAlgn val="ctr"/>
        <c:lblOffset val="100"/>
        <c:noMultiLvlLbl val="0"/>
      </c:catAx>
      <c:valAx>
        <c:axId val="323309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23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'6'!$U$237:$AX$237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299648"/>
        <c:axId val="412301568"/>
      </c:lineChart>
      <c:catAx>
        <c:axId val="412299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301568"/>
        <c:crosses val="autoZero"/>
        <c:auto val="1"/>
        <c:lblAlgn val="ctr"/>
        <c:lblOffset val="100"/>
        <c:noMultiLvlLbl val="0"/>
      </c:catAx>
      <c:valAx>
        <c:axId val="412301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29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'7'!$U$237:$AX$237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349696"/>
        <c:axId val="448351616"/>
      </c:lineChart>
      <c:catAx>
        <c:axId val="448349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51616"/>
        <c:crosses val="autoZero"/>
        <c:auto val="1"/>
        <c:lblAlgn val="ctr"/>
        <c:lblOffset val="100"/>
        <c:noMultiLvlLbl val="0"/>
      </c:catAx>
      <c:valAx>
        <c:axId val="448351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34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'8'!$U$237:$AX$237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9472384"/>
        <c:axId val="449474560"/>
      </c:lineChart>
      <c:catAx>
        <c:axId val="449472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74560"/>
        <c:crosses val="autoZero"/>
        <c:auto val="1"/>
        <c:lblAlgn val="ctr"/>
        <c:lblOffset val="100"/>
        <c:noMultiLvlLbl val="0"/>
      </c:catAx>
      <c:valAx>
        <c:axId val="449474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47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'9'!$U$240:$AX$240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412736"/>
        <c:axId val="453427200"/>
      </c:lineChart>
      <c:catAx>
        <c:axId val="453412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27200"/>
        <c:crosses val="autoZero"/>
        <c:auto val="1"/>
        <c:lblAlgn val="ctr"/>
        <c:lblOffset val="100"/>
        <c:noMultiLvlLbl val="0"/>
      </c:catAx>
      <c:valAx>
        <c:axId val="453427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41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'10'!$U$240:$AX$240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469504"/>
        <c:axId val="454164480"/>
      </c:lineChart>
      <c:catAx>
        <c:axId val="454469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64480"/>
        <c:crosses val="autoZero"/>
        <c:auto val="1"/>
        <c:lblAlgn val="ctr"/>
        <c:lblOffset val="100"/>
        <c:noMultiLvlLbl val="0"/>
      </c:catAx>
      <c:valAx>
        <c:axId val="4541644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6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'11'!$U$240:$AX$240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482368"/>
        <c:axId val="455488640"/>
      </c:lineChart>
      <c:catAx>
        <c:axId val="4554823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88640"/>
        <c:crosses val="autoZero"/>
        <c:auto val="1"/>
        <c:lblAlgn val="ctr"/>
        <c:lblOffset val="100"/>
        <c:noMultiLvlLbl val="0"/>
      </c:catAx>
      <c:valAx>
        <c:axId val="455488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8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'12'!$U$240:$AX$240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125440"/>
        <c:axId val="456127616"/>
      </c:lineChart>
      <c:catAx>
        <c:axId val="456125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27616"/>
        <c:crosses val="autoZero"/>
        <c:auto val="1"/>
        <c:lblAlgn val="ctr"/>
        <c:lblOffset val="100"/>
        <c:noMultiLvlLbl val="0"/>
      </c:catAx>
      <c:valAx>
        <c:axId val="456127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2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'13'!$U$240:$AX$240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317952"/>
        <c:axId val="456135808"/>
      </c:lineChart>
      <c:catAx>
        <c:axId val="4563179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135808"/>
        <c:crosses val="autoZero"/>
        <c:auto val="1"/>
        <c:lblAlgn val="ctr"/>
        <c:lblOffset val="100"/>
        <c:noMultiLvlLbl val="0"/>
      </c:catAx>
      <c:valAx>
        <c:axId val="456135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1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'14'!$U$240:$AX$240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710976"/>
        <c:axId val="457741824"/>
      </c:lineChart>
      <c:catAx>
        <c:axId val="457710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41824"/>
        <c:crosses val="autoZero"/>
        <c:auto val="1"/>
        <c:lblAlgn val="ctr"/>
        <c:lblOffset val="100"/>
        <c:noMultiLvlLbl val="0"/>
      </c:catAx>
      <c:valAx>
        <c:axId val="457741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71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'15'!$U$240:$AX$240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422144"/>
        <c:axId val="458424320"/>
      </c:lineChart>
      <c:catAx>
        <c:axId val="458422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24320"/>
        <c:crosses val="autoZero"/>
        <c:auto val="1"/>
        <c:lblAlgn val="ctr"/>
        <c:lblOffset val="100"/>
        <c:noMultiLvlLbl val="0"/>
      </c:catAx>
      <c:valAx>
        <c:axId val="458424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2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'16'!$U$240:$AX$240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87104"/>
        <c:axId val="459493376"/>
      </c:lineChart>
      <c:catAx>
        <c:axId val="459487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93376"/>
        <c:crosses val="autoZero"/>
        <c:auto val="1"/>
        <c:lblAlgn val="ctr"/>
        <c:lblOffset val="100"/>
        <c:noMultiLvlLbl val="0"/>
      </c:catAx>
      <c:valAx>
        <c:axId val="459493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8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'17'!$U$240:$AX$240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097792"/>
        <c:axId val="460116352"/>
      </c:lineChart>
      <c:catAx>
        <c:axId val="460097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116352"/>
        <c:crosses val="autoZero"/>
        <c:auto val="1"/>
        <c:lblAlgn val="ctr"/>
        <c:lblOffset val="100"/>
        <c:noMultiLvlLbl val="0"/>
      </c:catAx>
      <c:valAx>
        <c:axId val="460116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9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'18'!$U$240:$AX$240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405568"/>
        <c:axId val="459211136"/>
      </c:lineChart>
      <c:catAx>
        <c:axId val="4594055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11136"/>
        <c:crosses val="autoZero"/>
        <c:auto val="1"/>
        <c:lblAlgn val="ctr"/>
        <c:lblOffset val="100"/>
        <c:noMultiLvlLbl val="0"/>
      </c:catAx>
      <c:valAx>
        <c:axId val="459211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0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'19'!$A$239:$A$243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'19'!$B$239:$B$243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'19'!$S$241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'19'!$T$239:$AX$239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'19'!$U$240:$AX$240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559040"/>
        <c:axId val="455561216"/>
      </c:lineChart>
      <c:catAx>
        <c:axId val="455559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61216"/>
        <c:crosses val="autoZero"/>
        <c:auto val="1"/>
        <c:lblAlgn val="ctr"/>
        <c:lblOffset val="100"/>
        <c:noMultiLvlLbl val="0"/>
      </c:catAx>
      <c:valAx>
        <c:axId val="455561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55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'20'!$U$241:$AX$241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711424"/>
        <c:axId val="462721792"/>
      </c:lineChart>
      <c:catAx>
        <c:axId val="462711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21792"/>
        <c:crosses val="autoZero"/>
        <c:auto val="1"/>
        <c:lblAlgn val="ctr"/>
        <c:lblOffset val="100"/>
        <c:noMultiLvlLbl val="0"/>
      </c:catAx>
      <c:valAx>
        <c:axId val="462721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11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'21'!$U$241:$AX$241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415936"/>
        <c:axId val="463454976"/>
      </c:lineChart>
      <c:catAx>
        <c:axId val="463415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54976"/>
        <c:crosses val="autoZero"/>
        <c:auto val="1"/>
        <c:lblAlgn val="ctr"/>
        <c:lblOffset val="100"/>
        <c:noMultiLvlLbl val="0"/>
      </c:catAx>
      <c:valAx>
        <c:axId val="463454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41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'22'!$U$241:$AX$241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005120"/>
        <c:axId val="458007296"/>
      </c:lineChart>
      <c:catAx>
        <c:axId val="4580051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07296"/>
        <c:crosses val="autoZero"/>
        <c:auto val="1"/>
        <c:lblAlgn val="ctr"/>
        <c:lblOffset val="100"/>
        <c:noMultiLvlLbl val="0"/>
      </c:catAx>
      <c:valAx>
        <c:axId val="458007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0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'23'!$U$241:$AX$241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345152"/>
        <c:axId val="465355520"/>
      </c:lineChart>
      <c:catAx>
        <c:axId val="4653451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355520"/>
        <c:crosses val="autoZero"/>
        <c:auto val="1"/>
        <c:lblAlgn val="ctr"/>
        <c:lblOffset val="100"/>
        <c:noMultiLvlLbl val="0"/>
      </c:catAx>
      <c:valAx>
        <c:axId val="465355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34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'24'!$U$241:$AX$241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307328"/>
        <c:axId val="466309504"/>
      </c:lineChart>
      <c:catAx>
        <c:axId val="4663073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09504"/>
        <c:crosses val="autoZero"/>
        <c:auto val="1"/>
        <c:lblAlgn val="ctr"/>
        <c:lblOffset val="100"/>
        <c:noMultiLvlLbl val="0"/>
      </c:catAx>
      <c:valAx>
        <c:axId val="466309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30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'25'!$U$241:$AX$241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807040"/>
        <c:axId val="461975936"/>
      </c:lineChart>
      <c:catAx>
        <c:axId val="466807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75936"/>
        <c:crosses val="autoZero"/>
        <c:auto val="1"/>
        <c:lblAlgn val="ctr"/>
        <c:lblOffset val="100"/>
        <c:noMultiLvlLbl val="0"/>
      </c:catAx>
      <c:valAx>
        <c:axId val="461975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0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'26'!$U$241:$AX$241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470592"/>
        <c:axId val="467480960"/>
      </c:lineChart>
      <c:catAx>
        <c:axId val="467470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80960"/>
        <c:crosses val="autoZero"/>
        <c:auto val="1"/>
        <c:lblAlgn val="ctr"/>
        <c:lblOffset val="100"/>
        <c:noMultiLvlLbl val="0"/>
      </c:catAx>
      <c:valAx>
        <c:axId val="467480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7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'27'!$U$241:$AX$241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175872"/>
        <c:axId val="468178048"/>
      </c:lineChart>
      <c:catAx>
        <c:axId val="468175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78048"/>
        <c:crosses val="autoZero"/>
        <c:auto val="1"/>
        <c:lblAlgn val="ctr"/>
        <c:lblOffset val="100"/>
        <c:noMultiLvlLbl val="0"/>
      </c:catAx>
      <c:valAx>
        <c:axId val="468178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17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'28'!$U$241:$AX$241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963072"/>
        <c:axId val="466973440"/>
      </c:lineChart>
      <c:catAx>
        <c:axId val="466963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973440"/>
        <c:crosses val="autoZero"/>
        <c:auto val="1"/>
        <c:lblAlgn val="ctr"/>
        <c:lblOffset val="100"/>
        <c:noMultiLvlLbl val="0"/>
      </c:catAx>
      <c:valAx>
        <c:axId val="466973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96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'29'!$U$241:$AX$241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486976"/>
        <c:axId val="469845504"/>
      </c:lineChart>
      <c:catAx>
        <c:axId val="4694869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45504"/>
        <c:crosses val="autoZero"/>
        <c:auto val="1"/>
        <c:lblAlgn val="ctr"/>
        <c:lblOffset val="100"/>
        <c:noMultiLvlLbl val="0"/>
      </c:catAx>
      <c:valAx>
        <c:axId val="469845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48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paush1!$A$240:$A$244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paush1!$B$240:$B$244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paush1!$S$242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paush1!$T$240:$AX$240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paush1!$U$241:$AX$241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105472"/>
        <c:axId val="470111744"/>
      </c:lineChart>
      <c:catAx>
        <c:axId val="4701054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11744"/>
        <c:crosses val="autoZero"/>
        <c:auto val="1"/>
        <c:lblAlgn val="ctr"/>
        <c:lblOffset val="100"/>
        <c:noMultiLvlLbl val="0"/>
      </c:catAx>
      <c:valAx>
        <c:axId val="470111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10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Sample!$A$240:$A$244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Sample!$B$240:$B$244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Sample!$T$240:$AX$240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Sample!$U$241:$AX$241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777216"/>
        <c:axId val="470795776"/>
      </c:lineChart>
      <c:catAx>
        <c:axId val="470777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95776"/>
        <c:crosses val="autoZero"/>
        <c:auto val="1"/>
        <c:lblAlgn val="ctr"/>
        <c:lblOffset val="100"/>
        <c:noMultiLvlLbl val="0"/>
      </c:catAx>
      <c:valAx>
        <c:axId val="470795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7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238</xdr:row>
      <xdr:rowOff>57156</xdr:rowOff>
    </xdr:from>
    <xdr:to>
      <xdr:col>15</xdr:col>
      <xdr:colOff>219074</xdr:colOff>
      <xdr:row>260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241</xdr:row>
      <xdr:rowOff>133356</xdr:rowOff>
    </xdr:from>
    <xdr:to>
      <xdr:col>32</xdr:col>
      <xdr:colOff>9524</xdr:colOff>
      <xdr:row>259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38" sqref="B3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4" width="8.28515625" style="1" bestFit="1" customWidth="1"/>
    <col min="15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38" width="11.5703125" style="1" customWidth="1"/>
    <col min="39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186.7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1584MW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Load=1054</v>
      </c>
      <c r="B7" s="35">
        <f t="shared" ref="B7:AF7" si="1">B81</f>
        <v>1207.04</v>
      </c>
      <c r="C7" s="35">
        <f t="shared" si="1"/>
        <v>1259.5400000000002</v>
      </c>
      <c r="D7" s="35">
        <f t="shared" si="1"/>
        <v>1074.6399999999999</v>
      </c>
      <c r="E7" s="35">
        <f t="shared" si="1"/>
        <v>1053.6400000000001</v>
      </c>
      <c r="F7" s="35">
        <f t="shared" si="1"/>
        <v>1064.44</v>
      </c>
      <c r="G7" s="35">
        <f t="shared" si="1"/>
        <v>1089.6400000000001</v>
      </c>
      <c r="H7" s="35">
        <f t="shared" si="1"/>
        <v>1155.0400000000002</v>
      </c>
      <c r="I7" s="35">
        <f t="shared" si="1"/>
        <v>1237.94</v>
      </c>
      <c r="J7" s="35">
        <f t="shared" si="1"/>
        <v>1337.94</v>
      </c>
      <c r="K7" s="35">
        <f t="shared" si="1"/>
        <v>1487.44</v>
      </c>
      <c r="L7" s="35">
        <f t="shared" si="1"/>
        <v>1529.54</v>
      </c>
      <c r="M7" s="35">
        <f t="shared" si="1"/>
        <v>1583.54</v>
      </c>
      <c r="N7" s="35">
        <f t="shared" si="1"/>
        <v>1467.64</v>
      </c>
      <c r="O7" s="35">
        <f t="shared" si="1"/>
        <v>1415.44</v>
      </c>
      <c r="P7" s="35">
        <f t="shared" si="1"/>
        <v>1373.04</v>
      </c>
      <c r="Q7" s="35">
        <f t="shared" si="1"/>
        <v>1283.04</v>
      </c>
      <c r="R7" s="35">
        <f t="shared" si="1"/>
        <v>1275.04</v>
      </c>
      <c r="S7" s="35">
        <f t="shared" si="1"/>
        <v>1266.54</v>
      </c>
      <c r="T7" s="35">
        <f t="shared" si="1"/>
        <v>1300.94</v>
      </c>
      <c r="U7" s="35">
        <f t="shared" si="1"/>
        <v>1351.64</v>
      </c>
      <c r="V7" s="35">
        <f t="shared" si="1"/>
        <v>1472.64</v>
      </c>
      <c r="W7" s="35">
        <f t="shared" si="1"/>
        <v>1590.44</v>
      </c>
      <c r="X7" s="35">
        <f t="shared" si="1"/>
        <v>1682.34</v>
      </c>
      <c r="Y7" s="35">
        <f t="shared" si="1"/>
        <v>1596.74</v>
      </c>
      <c r="Z7" s="35">
        <f t="shared" si="1"/>
        <v>1503.3400000000001</v>
      </c>
      <c r="AA7" s="35">
        <f t="shared" si="1"/>
        <v>1469.74</v>
      </c>
      <c r="AB7" s="35">
        <f t="shared" si="1"/>
        <v>1414.6399999999999</v>
      </c>
      <c r="AC7" s="35">
        <f t="shared" si="1"/>
        <v>1364.8400000000001</v>
      </c>
      <c r="AD7" s="35">
        <f t="shared" si="1"/>
        <v>1314.8400000000001</v>
      </c>
      <c r="AE7" s="35">
        <f t="shared" si="1"/>
        <v>1243.24</v>
      </c>
      <c r="AF7" s="35">
        <f t="shared" si="1"/>
        <v>1180.74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40.5</v>
      </c>
      <c r="C11" s="45">
        <v>40</v>
      </c>
      <c r="D11" s="45">
        <v>40.4</v>
      </c>
      <c r="E11" s="45">
        <v>40.4</v>
      </c>
      <c r="F11" s="45">
        <v>40.4</v>
      </c>
      <c r="G11" s="45">
        <v>40.4</v>
      </c>
      <c r="H11" s="45">
        <v>40.4</v>
      </c>
      <c r="I11" s="45">
        <v>38.1</v>
      </c>
      <c r="J11" s="45">
        <v>38.1</v>
      </c>
      <c r="K11" s="45">
        <v>38.1</v>
      </c>
      <c r="L11" s="45">
        <v>38.1</v>
      </c>
      <c r="M11" s="45">
        <v>38.1</v>
      </c>
      <c r="N11" s="45">
        <v>38.1</v>
      </c>
      <c r="O11" s="45">
        <v>38.1</v>
      </c>
      <c r="P11" s="45">
        <v>38.1</v>
      </c>
      <c r="Q11" s="45">
        <v>38.1</v>
      </c>
      <c r="R11" s="45">
        <v>38.1</v>
      </c>
      <c r="S11" s="45">
        <v>37.700000000000003</v>
      </c>
      <c r="T11" s="45">
        <v>37.700000000000003</v>
      </c>
      <c r="U11" s="46">
        <v>37.700000000000003</v>
      </c>
      <c r="V11" s="46">
        <v>37.700000000000003</v>
      </c>
      <c r="W11" s="46">
        <v>37.700000000000003</v>
      </c>
      <c r="X11" s="46">
        <v>37.700000000000003</v>
      </c>
      <c r="Y11" s="46">
        <v>36.4</v>
      </c>
      <c r="Z11" s="46">
        <v>36.9</v>
      </c>
      <c r="AA11" s="46">
        <v>37.9</v>
      </c>
      <c r="AB11" s="46">
        <v>37.9</v>
      </c>
      <c r="AC11" s="46">
        <v>37.9</v>
      </c>
      <c r="AD11" s="46">
        <v>37.9</v>
      </c>
      <c r="AE11" s="46">
        <v>37.9</v>
      </c>
      <c r="AF11" s="46">
        <v>37.9</v>
      </c>
      <c r="AG11" s="47">
        <v>52.4</v>
      </c>
      <c r="AH11" s="48">
        <f>MAX(B11:AF11)</f>
        <v>40.5</v>
      </c>
      <c r="AI11" s="49">
        <f>MIN(B11:AF11)</f>
        <v>36.4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25</v>
      </c>
      <c r="I12" s="45">
        <v>25</v>
      </c>
      <c r="J12" s="45">
        <v>25</v>
      </c>
      <c r="K12" s="45">
        <v>50.4</v>
      </c>
      <c r="L12" s="45">
        <v>50.4</v>
      </c>
      <c r="M12" s="45">
        <v>50.4</v>
      </c>
      <c r="N12" s="45">
        <v>50.4</v>
      </c>
      <c r="O12" s="45">
        <v>50.4</v>
      </c>
      <c r="P12" s="45">
        <v>50.4</v>
      </c>
      <c r="Q12" s="45">
        <v>50.4</v>
      </c>
      <c r="R12" s="45">
        <v>50.4</v>
      </c>
      <c r="S12" s="45">
        <v>50.3</v>
      </c>
      <c r="T12" s="45">
        <v>50.3</v>
      </c>
      <c r="U12" s="45">
        <v>49.9</v>
      </c>
      <c r="V12" s="45">
        <v>49.9</v>
      </c>
      <c r="W12" s="45">
        <v>50.4</v>
      </c>
      <c r="X12" s="45">
        <v>50.6</v>
      </c>
      <c r="Y12" s="45">
        <v>50.6</v>
      </c>
      <c r="Z12" s="45">
        <v>50.3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5" si="2">MAX(B12:AF12)</f>
        <v>50.6</v>
      </c>
      <c r="AI12" s="49">
        <f t="shared" ref="AI12:AI75" si="3"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35.1</v>
      </c>
      <c r="C13" s="45">
        <v>32</v>
      </c>
      <c r="D13" s="45">
        <v>32</v>
      </c>
      <c r="E13" s="45">
        <v>32</v>
      </c>
      <c r="F13" s="45">
        <v>32</v>
      </c>
      <c r="G13" s="45">
        <v>32</v>
      </c>
      <c r="H13" s="45">
        <v>32</v>
      </c>
      <c r="I13" s="45">
        <v>32.299999999999997</v>
      </c>
      <c r="J13" s="45">
        <v>32.200000000000003</v>
      </c>
      <c r="K13" s="45">
        <v>32.200000000000003</v>
      </c>
      <c r="L13" s="45">
        <v>32.200000000000003</v>
      </c>
      <c r="M13" s="45">
        <v>32.200000000000003</v>
      </c>
      <c r="N13" s="45">
        <v>32.200000000000003</v>
      </c>
      <c r="O13" s="45">
        <v>32.200000000000003</v>
      </c>
      <c r="P13" s="45">
        <v>32.200000000000003</v>
      </c>
      <c r="Q13" s="45">
        <v>32.200000000000003</v>
      </c>
      <c r="R13" s="45">
        <v>32.200000000000003</v>
      </c>
      <c r="S13" s="45">
        <v>31.9</v>
      </c>
      <c r="T13" s="45">
        <v>31.9</v>
      </c>
      <c r="U13" s="45">
        <v>34.799999999999997</v>
      </c>
      <c r="V13" s="45">
        <v>34.799999999999997</v>
      </c>
      <c r="W13" s="45">
        <v>34.799999999999997</v>
      </c>
      <c r="X13" s="45">
        <v>34.799999999999997</v>
      </c>
      <c r="Y13" s="45">
        <v>34.9</v>
      </c>
      <c r="Z13" s="45">
        <v>34.799999999999997</v>
      </c>
      <c r="AA13" s="45">
        <v>34.799999999999997</v>
      </c>
      <c r="AB13" s="45">
        <v>34.799999999999997</v>
      </c>
      <c r="AC13" s="45">
        <v>34.799999999999997</v>
      </c>
      <c r="AD13" s="45">
        <v>34.799999999999997</v>
      </c>
      <c r="AE13" s="45">
        <v>34.799999999999997</v>
      </c>
      <c r="AF13" s="45">
        <v>34.799999999999997</v>
      </c>
      <c r="AG13" s="51">
        <v>45</v>
      </c>
      <c r="AH13" s="48">
        <f t="shared" si="2"/>
        <v>35.1</v>
      </c>
      <c r="AI13" s="49">
        <f t="shared" si="3"/>
        <v>31.9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21</v>
      </c>
      <c r="I14" s="45">
        <v>21</v>
      </c>
      <c r="J14" s="45">
        <v>21.5</v>
      </c>
      <c r="K14" s="45">
        <v>20</v>
      </c>
      <c r="L14" s="45">
        <v>20</v>
      </c>
      <c r="M14" s="45">
        <v>20</v>
      </c>
      <c r="N14" s="45">
        <v>20</v>
      </c>
      <c r="O14" s="45">
        <v>20</v>
      </c>
      <c r="P14" s="45">
        <v>20</v>
      </c>
      <c r="Q14" s="45">
        <v>20</v>
      </c>
      <c r="R14" s="45">
        <v>20</v>
      </c>
      <c r="S14" s="45">
        <v>17</v>
      </c>
      <c r="T14" s="45">
        <v>17</v>
      </c>
      <c r="U14" s="45">
        <v>23</v>
      </c>
      <c r="V14" s="45">
        <v>23</v>
      </c>
      <c r="W14" s="45">
        <v>23</v>
      </c>
      <c r="X14" s="45">
        <v>23</v>
      </c>
      <c r="Y14" s="45">
        <v>21</v>
      </c>
      <c r="Z14" s="45">
        <v>21</v>
      </c>
      <c r="AA14" s="45">
        <v>21</v>
      </c>
      <c r="AB14" s="45">
        <v>21</v>
      </c>
      <c r="AC14" s="45">
        <v>21</v>
      </c>
      <c r="AD14" s="45">
        <v>21</v>
      </c>
      <c r="AE14" s="45">
        <v>21</v>
      </c>
      <c r="AF14" s="45">
        <v>21</v>
      </c>
      <c r="AG14" s="51">
        <v>42</v>
      </c>
      <c r="AH14" s="48">
        <f t="shared" si="2"/>
        <v>23</v>
      </c>
      <c r="AI14" s="49">
        <f t="shared" si="3"/>
        <v>17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10.5</v>
      </c>
      <c r="I15" s="45">
        <v>24.8</v>
      </c>
      <c r="J15" s="45">
        <v>25.3</v>
      </c>
      <c r="K15" s="45">
        <v>24.2</v>
      </c>
      <c r="L15" s="45">
        <v>20.5</v>
      </c>
      <c r="M15" s="45">
        <v>20</v>
      </c>
      <c r="N15" s="45">
        <v>20</v>
      </c>
      <c r="O15" s="45">
        <v>19.7</v>
      </c>
      <c r="P15" s="45">
        <v>19.7</v>
      </c>
      <c r="Q15" s="45">
        <v>19.7</v>
      </c>
      <c r="R15" s="45">
        <v>19.7</v>
      </c>
      <c r="S15" s="45">
        <v>19.8</v>
      </c>
      <c r="T15" s="45">
        <v>19.8</v>
      </c>
      <c r="U15" s="45">
        <v>19.899999999999999</v>
      </c>
      <c r="V15" s="45">
        <v>19.899999999999999</v>
      </c>
      <c r="W15" s="45">
        <v>19.899999999999999</v>
      </c>
      <c r="X15" s="45">
        <v>19.899999999999999</v>
      </c>
      <c r="Y15" s="45">
        <v>21.5</v>
      </c>
      <c r="Z15" s="45">
        <v>21.5</v>
      </c>
      <c r="AA15" s="45">
        <v>21.8</v>
      </c>
      <c r="AB15" s="45">
        <v>21.8</v>
      </c>
      <c r="AC15" s="45">
        <v>15</v>
      </c>
      <c r="AD15" s="45">
        <v>10</v>
      </c>
      <c r="AE15" s="45">
        <v>0</v>
      </c>
      <c r="AF15" s="45">
        <v>0</v>
      </c>
      <c r="AG15" s="52">
        <v>30</v>
      </c>
      <c r="AH15" s="48">
        <f t="shared" si="2"/>
        <v>25.3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17.100000000000001</v>
      </c>
      <c r="C16" s="45">
        <v>17.100000000000001</v>
      </c>
      <c r="D16" s="45">
        <v>17.2</v>
      </c>
      <c r="E16" s="45">
        <v>17.2</v>
      </c>
      <c r="F16" s="45">
        <v>17.2</v>
      </c>
      <c r="G16" s="45">
        <v>17.2</v>
      </c>
      <c r="H16" s="45">
        <v>17.2</v>
      </c>
      <c r="I16" s="45">
        <v>17.2</v>
      </c>
      <c r="J16" s="45">
        <v>17.2</v>
      </c>
      <c r="K16" s="45">
        <v>17.100000000000001</v>
      </c>
      <c r="L16" s="45">
        <v>17.100000000000001</v>
      </c>
      <c r="M16" s="45">
        <v>17.100000000000001</v>
      </c>
      <c r="N16" s="45">
        <v>17.100000000000001</v>
      </c>
      <c r="O16" s="45">
        <v>17.100000000000001</v>
      </c>
      <c r="P16" s="45">
        <v>17.100000000000001</v>
      </c>
      <c r="Q16" s="45">
        <v>17.100000000000001</v>
      </c>
      <c r="R16" s="45">
        <v>17.100000000000001</v>
      </c>
      <c r="S16" s="45">
        <v>17.100000000000001</v>
      </c>
      <c r="T16" s="45">
        <v>17.100000000000001</v>
      </c>
      <c r="U16" s="45">
        <v>17</v>
      </c>
      <c r="V16" s="45">
        <v>17</v>
      </c>
      <c r="W16" s="45">
        <v>17</v>
      </c>
      <c r="X16" s="45">
        <v>17</v>
      </c>
      <c r="Y16" s="45">
        <v>17.100000000000001</v>
      </c>
      <c r="Z16" s="45">
        <v>17.100000000000001</v>
      </c>
      <c r="AA16" s="45">
        <v>17.100000000000001</v>
      </c>
      <c r="AB16" s="45">
        <v>17.100000000000001</v>
      </c>
      <c r="AC16" s="45">
        <v>17.100000000000001</v>
      </c>
      <c r="AD16" s="45">
        <v>17.100000000000001</v>
      </c>
      <c r="AE16" s="45">
        <v>17.100000000000001</v>
      </c>
      <c r="AF16" s="45">
        <v>17.100000000000001</v>
      </c>
      <c r="AG16" s="51">
        <v>24.2</v>
      </c>
      <c r="AH16" s="48">
        <f t="shared" si="2"/>
        <v>17.2</v>
      </c>
      <c r="AI16" s="49">
        <f t="shared" si="3"/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27</v>
      </c>
      <c r="J17" s="45">
        <v>27</v>
      </c>
      <c r="K17" s="45">
        <v>27</v>
      </c>
      <c r="L17" s="45">
        <v>25</v>
      </c>
      <c r="M17" s="45">
        <v>20</v>
      </c>
      <c r="N17" s="45">
        <v>24</v>
      </c>
      <c r="O17" s="45">
        <v>24</v>
      </c>
      <c r="P17" s="45">
        <v>24</v>
      </c>
      <c r="Q17" s="45">
        <v>24</v>
      </c>
      <c r="R17" s="45">
        <v>24</v>
      </c>
      <c r="S17" s="45">
        <v>24</v>
      </c>
      <c r="T17" s="45">
        <v>24</v>
      </c>
      <c r="U17" s="45">
        <v>24</v>
      </c>
      <c r="V17" s="45">
        <v>24</v>
      </c>
      <c r="W17" s="45">
        <v>24</v>
      </c>
      <c r="X17" s="45">
        <v>23</v>
      </c>
      <c r="Y17" s="45">
        <v>23</v>
      </c>
      <c r="Z17" s="45">
        <v>23</v>
      </c>
      <c r="AA17" s="45">
        <v>23</v>
      </c>
      <c r="AB17" s="45">
        <v>15</v>
      </c>
      <c r="AC17" s="45">
        <v>10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20.2</v>
      </c>
      <c r="C18" s="45" t="s">
        <v>244</v>
      </c>
      <c r="D18" s="45">
        <v>20.2</v>
      </c>
      <c r="E18" s="45">
        <v>20.2</v>
      </c>
      <c r="F18" s="45">
        <v>20.2</v>
      </c>
      <c r="G18" s="45">
        <v>20.2</v>
      </c>
      <c r="H18" s="45">
        <v>20.2</v>
      </c>
      <c r="I18" s="45">
        <v>19</v>
      </c>
      <c r="J18" s="45">
        <v>18.600000000000001</v>
      </c>
      <c r="K18" s="45">
        <v>18.600000000000001</v>
      </c>
      <c r="L18" s="45">
        <v>18.600000000000001</v>
      </c>
      <c r="M18" s="45">
        <v>18.600000000000001</v>
      </c>
      <c r="N18" s="45">
        <v>18.600000000000001</v>
      </c>
      <c r="O18" s="45">
        <v>19.7</v>
      </c>
      <c r="P18" s="45">
        <v>19.7</v>
      </c>
      <c r="Q18" s="45">
        <v>19.7</v>
      </c>
      <c r="R18" s="45">
        <v>19.7</v>
      </c>
      <c r="S18" s="45">
        <v>19</v>
      </c>
      <c r="T18" s="45">
        <v>18.7</v>
      </c>
      <c r="U18" s="45">
        <v>18.7</v>
      </c>
      <c r="V18" s="45">
        <v>18.7</v>
      </c>
      <c r="W18" s="45">
        <v>19</v>
      </c>
      <c r="X18" s="45">
        <v>20.3</v>
      </c>
      <c r="Y18" s="45">
        <v>19.7</v>
      </c>
      <c r="Z18" s="45">
        <v>18.7</v>
      </c>
      <c r="AA18" s="45">
        <v>18.7</v>
      </c>
      <c r="AB18" s="45">
        <v>18.7</v>
      </c>
      <c r="AC18" s="45">
        <v>18.7</v>
      </c>
      <c r="AD18" s="45">
        <v>18.7</v>
      </c>
      <c r="AE18" s="45">
        <v>18.7</v>
      </c>
      <c r="AF18" s="45">
        <v>18.7</v>
      </c>
      <c r="AG18" s="51">
        <v>25</v>
      </c>
      <c r="AH18" s="48">
        <f t="shared" si="2"/>
        <v>20.3</v>
      </c>
      <c r="AI18" s="49">
        <f t="shared" si="3"/>
        <v>18.600000000000001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0</v>
      </c>
      <c r="K19" s="45">
        <v>0</v>
      </c>
      <c r="L19" s="45">
        <v>0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51">
        <v>25</v>
      </c>
      <c r="AH19" s="48">
        <f t="shared" si="2"/>
        <v>18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18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17.2</v>
      </c>
      <c r="C21" s="45">
        <v>17.2</v>
      </c>
      <c r="D21" s="45">
        <v>17.2</v>
      </c>
      <c r="E21" s="45">
        <v>17.2</v>
      </c>
      <c r="F21" s="45">
        <v>17.2</v>
      </c>
      <c r="G21" s="45">
        <v>17.2</v>
      </c>
      <c r="H21" s="45">
        <v>17.2</v>
      </c>
      <c r="I21" s="45">
        <v>16.8</v>
      </c>
      <c r="J21" s="45">
        <v>16.5</v>
      </c>
      <c r="K21" s="45">
        <v>16.5</v>
      </c>
      <c r="L21" s="45">
        <v>16.5</v>
      </c>
      <c r="M21" s="45">
        <v>16.5</v>
      </c>
      <c r="N21" s="45">
        <v>16.5</v>
      </c>
      <c r="O21" s="45">
        <v>16.5</v>
      </c>
      <c r="P21" s="45">
        <v>16.5</v>
      </c>
      <c r="Q21" s="45">
        <v>16.5</v>
      </c>
      <c r="R21" s="45">
        <v>16.5</v>
      </c>
      <c r="S21" s="45">
        <v>16.5</v>
      </c>
      <c r="T21" s="45">
        <v>16.5</v>
      </c>
      <c r="U21" s="45">
        <v>16.5</v>
      </c>
      <c r="V21" s="45">
        <v>16.5</v>
      </c>
      <c r="W21" s="45">
        <v>16.5</v>
      </c>
      <c r="X21" s="45">
        <v>17.2</v>
      </c>
      <c r="Y21" s="45">
        <v>17.100000000000001</v>
      </c>
      <c r="Z21" s="45">
        <v>16.5</v>
      </c>
      <c r="AA21" s="45">
        <v>16.5</v>
      </c>
      <c r="AB21" s="45">
        <v>16.5</v>
      </c>
      <c r="AC21" s="45">
        <v>16.5</v>
      </c>
      <c r="AD21" s="45">
        <v>16.5</v>
      </c>
      <c r="AE21" s="45">
        <v>16.5</v>
      </c>
      <c r="AF21" s="45">
        <v>16.5</v>
      </c>
      <c r="AG21" s="51">
        <v>23.5</v>
      </c>
      <c r="AH21" s="48">
        <f t="shared" si="2"/>
        <v>17.2</v>
      </c>
      <c r="AI21" s="49">
        <f t="shared" si="3"/>
        <v>16.5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10.5</v>
      </c>
      <c r="C23" s="45">
        <v>10.5</v>
      </c>
      <c r="D23" s="45">
        <v>10.5</v>
      </c>
      <c r="E23" s="45">
        <v>10.5</v>
      </c>
      <c r="F23" s="45">
        <v>10.5</v>
      </c>
      <c r="G23" s="45">
        <v>10.5</v>
      </c>
      <c r="H23" s="45">
        <v>10.5</v>
      </c>
      <c r="I23" s="45">
        <v>10.5</v>
      </c>
      <c r="J23" s="45">
        <v>10.5</v>
      </c>
      <c r="K23" s="45">
        <v>10.5</v>
      </c>
      <c r="L23" s="45">
        <v>10.5</v>
      </c>
      <c r="M23" s="45">
        <v>10.5</v>
      </c>
      <c r="N23" s="45">
        <v>10.5</v>
      </c>
      <c r="O23" s="45">
        <v>10.5</v>
      </c>
      <c r="P23" s="45">
        <v>10.5</v>
      </c>
      <c r="Q23" s="45">
        <v>10.5</v>
      </c>
      <c r="R23" s="45">
        <v>10.5</v>
      </c>
      <c r="S23" s="45">
        <v>10.5</v>
      </c>
      <c r="T23" s="45">
        <v>10.5</v>
      </c>
      <c r="U23" s="45">
        <v>10.5</v>
      </c>
      <c r="V23" s="45">
        <v>10.5</v>
      </c>
      <c r="W23" s="45">
        <v>10.5</v>
      </c>
      <c r="X23" s="45">
        <v>10.5</v>
      </c>
      <c r="Y23" s="45">
        <v>10.5</v>
      </c>
      <c r="Z23" s="45">
        <v>10.6</v>
      </c>
      <c r="AA23" s="45">
        <v>10.6</v>
      </c>
      <c r="AB23" s="45">
        <v>10.6</v>
      </c>
      <c r="AC23" s="45">
        <v>10.6</v>
      </c>
      <c r="AD23" s="45">
        <v>10.6</v>
      </c>
      <c r="AE23" s="45">
        <v>10.6</v>
      </c>
      <c r="AF23" s="45">
        <v>10.6</v>
      </c>
      <c r="AG23" s="51">
        <v>22.1</v>
      </c>
      <c r="AH23" s="48">
        <f t="shared" si="2"/>
        <v>10.6</v>
      </c>
      <c r="AI23" s="49">
        <f t="shared" si="3"/>
        <v>10.5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14</v>
      </c>
      <c r="C24" s="45">
        <v>14</v>
      </c>
      <c r="D24" s="45">
        <v>14</v>
      </c>
      <c r="E24" s="45">
        <v>14</v>
      </c>
      <c r="F24" s="45">
        <v>14</v>
      </c>
      <c r="G24" s="45">
        <v>14</v>
      </c>
      <c r="H24" s="45">
        <v>14</v>
      </c>
      <c r="I24" s="45">
        <v>14</v>
      </c>
      <c r="J24" s="45">
        <v>14</v>
      </c>
      <c r="K24" s="45">
        <v>14</v>
      </c>
      <c r="L24" s="45">
        <v>14</v>
      </c>
      <c r="M24" s="45">
        <v>14</v>
      </c>
      <c r="N24" s="45">
        <v>14</v>
      </c>
      <c r="O24" s="45">
        <v>14</v>
      </c>
      <c r="P24" s="45">
        <v>14</v>
      </c>
      <c r="Q24" s="45">
        <v>14</v>
      </c>
      <c r="R24" s="45">
        <v>14</v>
      </c>
      <c r="S24" s="45">
        <v>14</v>
      </c>
      <c r="T24" s="45">
        <v>14</v>
      </c>
      <c r="U24" s="45">
        <v>14</v>
      </c>
      <c r="V24" s="45">
        <v>14</v>
      </c>
      <c r="W24" s="45">
        <v>14</v>
      </c>
      <c r="X24" s="45">
        <v>14</v>
      </c>
      <c r="Y24" s="45">
        <v>13</v>
      </c>
      <c r="Z24" s="45">
        <v>13</v>
      </c>
      <c r="AA24" s="45">
        <v>13</v>
      </c>
      <c r="AB24" s="45">
        <v>13</v>
      </c>
      <c r="AC24" s="45">
        <v>13</v>
      </c>
      <c r="AD24" s="45">
        <v>13</v>
      </c>
      <c r="AE24" s="45">
        <v>13</v>
      </c>
      <c r="AF24" s="45">
        <v>13</v>
      </c>
      <c r="AG24" s="51">
        <v>22</v>
      </c>
      <c r="AH24" s="48">
        <f t="shared" si="2"/>
        <v>14</v>
      </c>
      <c r="AI24" s="49">
        <f t="shared" si="3"/>
        <v>13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15</v>
      </c>
      <c r="F25" s="45">
        <v>15</v>
      </c>
      <c r="G25" s="45">
        <v>15</v>
      </c>
      <c r="H25" s="45">
        <v>15</v>
      </c>
      <c r="I25" s="45">
        <v>14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13</v>
      </c>
      <c r="P25" s="45">
        <v>13</v>
      </c>
      <c r="Q25" s="45">
        <v>13</v>
      </c>
      <c r="R25" s="45">
        <v>13</v>
      </c>
      <c r="S25" s="45">
        <v>15.7</v>
      </c>
      <c r="T25" s="45">
        <v>15.7</v>
      </c>
      <c r="U25" s="45">
        <v>15.7</v>
      </c>
      <c r="V25" s="45">
        <v>15.7</v>
      </c>
      <c r="W25" s="45">
        <v>15.7</v>
      </c>
      <c r="X25" s="45">
        <v>17</v>
      </c>
      <c r="Y25" s="45">
        <v>16</v>
      </c>
      <c r="Z25" s="45">
        <v>16</v>
      </c>
      <c r="AA25" s="45">
        <v>16</v>
      </c>
      <c r="AB25" s="45">
        <v>16</v>
      </c>
      <c r="AC25" s="45">
        <v>16</v>
      </c>
      <c r="AD25" s="45">
        <v>16</v>
      </c>
      <c r="AE25" s="45">
        <v>16</v>
      </c>
      <c r="AF25" s="45">
        <v>16</v>
      </c>
      <c r="AG25" s="51">
        <v>22</v>
      </c>
      <c r="AH25" s="48">
        <f t="shared" si="2"/>
        <v>17</v>
      </c>
      <c r="AI25" s="49">
        <f t="shared" si="3"/>
        <v>13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5</v>
      </c>
      <c r="R26" s="45">
        <v>5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5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6.3</v>
      </c>
      <c r="C27" s="45">
        <v>6.3</v>
      </c>
      <c r="D27" s="45">
        <v>6.3</v>
      </c>
      <c r="E27" s="45">
        <v>6.3</v>
      </c>
      <c r="F27" s="45">
        <v>6.3</v>
      </c>
      <c r="G27" s="45">
        <v>6.3</v>
      </c>
      <c r="H27" s="45">
        <v>6.3</v>
      </c>
      <c r="I27" s="45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45">
        <v>6.3</v>
      </c>
      <c r="Y27" s="45">
        <v>6.3</v>
      </c>
      <c r="Z27" s="45">
        <v>6.3</v>
      </c>
      <c r="AA27" s="45">
        <v>6.3</v>
      </c>
      <c r="AB27" s="45">
        <v>6.3</v>
      </c>
      <c r="AC27" s="45">
        <v>6.3</v>
      </c>
      <c r="AD27" s="45">
        <v>6.3</v>
      </c>
      <c r="AE27" s="45">
        <v>6.3</v>
      </c>
      <c r="AF27" s="45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10</v>
      </c>
      <c r="J30" s="45">
        <v>10</v>
      </c>
      <c r="K30" s="45">
        <v>10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12</v>
      </c>
      <c r="Y30" s="45">
        <v>12</v>
      </c>
      <c r="Z30" s="45">
        <v>12</v>
      </c>
      <c r="AA30" s="45">
        <v>12</v>
      </c>
      <c r="AB30" s="45">
        <v>12</v>
      </c>
      <c r="AC30" s="45">
        <v>4</v>
      </c>
      <c r="AD30" s="45">
        <v>4</v>
      </c>
      <c r="AE30" s="45">
        <v>0</v>
      </c>
      <c r="AF30" s="45">
        <v>0</v>
      </c>
      <c r="AG30" s="51">
        <v>12</v>
      </c>
      <c r="AH30" s="48">
        <f t="shared" si="2"/>
        <v>12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12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5.2</v>
      </c>
      <c r="C33" s="45">
        <v>5.2</v>
      </c>
      <c r="D33" s="45">
        <v>5.2</v>
      </c>
      <c r="E33" s="45">
        <v>5.2</v>
      </c>
      <c r="F33" s="45">
        <v>5.2</v>
      </c>
      <c r="G33" s="45">
        <v>5.2</v>
      </c>
      <c r="H33" s="45">
        <v>5.2</v>
      </c>
      <c r="I33" s="45">
        <v>5.2</v>
      </c>
      <c r="J33" s="45">
        <v>5.2</v>
      </c>
      <c r="K33" s="45">
        <v>5.2</v>
      </c>
      <c r="L33" s="45">
        <v>5.2</v>
      </c>
      <c r="M33" s="45">
        <v>5.2</v>
      </c>
      <c r="N33" s="45">
        <v>5.2</v>
      </c>
      <c r="O33" s="45">
        <v>5.2</v>
      </c>
      <c r="P33" s="45">
        <v>5.2</v>
      </c>
      <c r="Q33" s="45">
        <v>5.2</v>
      </c>
      <c r="R33" s="45">
        <v>5.2</v>
      </c>
      <c r="S33" s="45">
        <v>5.2</v>
      </c>
      <c r="T33" s="45">
        <v>5.2</v>
      </c>
      <c r="U33" s="45">
        <v>5.2</v>
      </c>
      <c r="V33" s="45">
        <v>5.2</v>
      </c>
      <c r="W33" s="45">
        <v>5.2</v>
      </c>
      <c r="X33" s="45">
        <v>5.2</v>
      </c>
      <c r="Y33" s="45">
        <v>5.2</v>
      </c>
      <c r="Z33" s="45">
        <v>5.2</v>
      </c>
      <c r="AA33" s="45">
        <v>5.2</v>
      </c>
      <c r="AB33" s="45">
        <v>5.2</v>
      </c>
      <c r="AC33" s="45">
        <v>5.2</v>
      </c>
      <c r="AD33" s="45">
        <v>5.2</v>
      </c>
      <c r="AE33" s="45">
        <v>5.2</v>
      </c>
      <c r="AF33" s="45">
        <v>5.2</v>
      </c>
      <c r="AG33" s="53">
        <v>22</v>
      </c>
      <c r="AH33" s="48">
        <f t="shared" si="2"/>
        <v>5.2</v>
      </c>
      <c r="AI33" s="49">
        <f t="shared" si="3"/>
        <v>5.2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8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5</v>
      </c>
      <c r="C36" s="45">
        <v>5</v>
      </c>
      <c r="D36" s="45">
        <v>5</v>
      </c>
      <c r="E36" s="45">
        <v>5</v>
      </c>
      <c r="F36" s="45">
        <v>5</v>
      </c>
      <c r="G36" s="45">
        <v>5</v>
      </c>
      <c r="H36" s="45">
        <v>5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5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2</v>
      </c>
      <c r="Y37" s="45">
        <v>2</v>
      </c>
      <c r="Z37" s="45">
        <v>2</v>
      </c>
      <c r="AA37" s="45">
        <v>2</v>
      </c>
      <c r="AB37" s="45">
        <v>2</v>
      </c>
      <c r="AC37" s="45">
        <v>2</v>
      </c>
      <c r="AD37" s="45">
        <v>2</v>
      </c>
      <c r="AE37" s="45">
        <v>2</v>
      </c>
      <c r="AF37" s="45">
        <v>2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320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320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46.2+56.8</f>
        <v>103</v>
      </c>
      <c r="C39" s="59">
        <f>46.4+56.6</f>
        <v>103</v>
      </c>
      <c r="D39" s="59">
        <f>46.6+56.3</f>
        <v>102.9</v>
      </c>
      <c r="E39" s="59">
        <f>46.5+58.3</f>
        <v>104.8</v>
      </c>
      <c r="F39" s="59">
        <v>104</v>
      </c>
      <c r="G39" s="59">
        <f>46.5+56.8</f>
        <v>103.3</v>
      </c>
      <c r="H39" s="59">
        <f>46.5+56.9</f>
        <v>103.4</v>
      </c>
      <c r="I39" s="59">
        <f>46.5+56.6</f>
        <v>103.1</v>
      </c>
      <c r="J39" s="59">
        <f>24+55.5</f>
        <v>79.5</v>
      </c>
      <c r="K39" s="59">
        <f>19.5+54.5</f>
        <v>74</v>
      </c>
      <c r="L39" s="57">
        <f>19.6+55.2</f>
        <v>74.800000000000011</v>
      </c>
      <c r="M39" s="57">
        <f>48.6+52.5</f>
        <v>101.1</v>
      </c>
      <c r="N39" s="57">
        <f>56.2+55</f>
        <v>111.2</v>
      </c>
      <c r="O39" s="57">
        <f>56.6+50</f>
        <v>106.6</v>
      </c>
      <c r="P39" s="57">
        <f>56.6+46.2</f>
        <v>102.80000000000001</v>
      </c>
      <c r="Q39" s="57">
        <f>58.8+48.3</f>
        <v>107.1</v>
      </c>
      <c r="R39" s="57">
        <f>58.3+21.3</f>
        <v>79.599999999999994</v>
      </c>
      <c r="S39" s="59">
        <v>78</v>
      </c>
      <c r="T39" s="59">
        <v>79</v>
      </c>
      <c r="U39" s="59">
        <v>79</v>
      </c>
      <c r="V39" s="59">
        <v>80</v>
      </c>
      <c r="W39" s="59">
        <v>80</v>
      </c>
      <c r="X39" s="59">
        <v>80.2</v>
      </c>
      <c r="Y39" s="59">
        <v>80.2</v>
      </c>
      <c r="Z39" s="59">
        <v>72.7</v>
      </c>
      <c r="AA39" s="59">
        <v>72.7</v>
      </c>
      <c r="AB39" s="59">
        <f>54.4+19.9</f>
        <v>74.3</v>
      </c>
      <c r="AC39" s="59">
        <f>20.2+54.2</f>
        <v>74.400000000000006</v>
      </c>
      <c r="AD39" s="59">
        <f>20.5+55.6</f>
        <v>76.099999999999994</v>
      </c>
      <c r="AE39" s="59">
        <f>17.7+55.5</f>
        <v>73.2</v>
      </c>
      <c r="AF39" s="59">
        <f>54.7+53.8</f>
        <v>108.5</v>
      </c>
      <c r="AG39" s="55">
        <v>240</v>
      </c>
      <c r="AH39" s="48">
        <f t="shared" si="2"/>
        <v>111.2</v>
      </c>
      <c r="AI39" s="49">
        <f t="shared" si="3"/>
        <v>72.7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559.09999999999991</v>
      </c>
      <c r="C40" s="61">
        <f t="shared" si="4"/>
        <v>535.29999999999995</v>
      </c>
      <c r="D40" s="61">
        <f t="shared" si="4"/>
        <v>556</v>
      </c>
      <c r="E40" s="61">
        <f t="shared" si="4"/>
        <v>556</v>
      </c>
      <c r="F40" s="61">
        <f t="shared" si="4"/>
        <v>556</v>
      </c>
      <c r="G40" s="61">
        <f t="shared" si="4"/>
        <v>556</v>
      </c>
      <c r="H40" s="61">
        <f t="shared" si="4"/>
        <v>591.5</v>
      </c>
      <c r="I40" s="61">
        <f t="shared" si="4"/>
        <v>650.20000000000005</v>
      </c>
      <c r="J40" s="61">
        <f t="shared" si="4"/>
        <v>631.4</v>
      </c>
      <c r="K40" s="61">
        <f t="shared" si="4"/>
        <v>654.09999999999991</v>
      </c>
      <c r="L40" s="61">
        <f t="shared" si="4"/>
        <v>648.4</v>
      </c>
      <c r="M40" s="61">
        <f t="shared" si="4"/>
        <v>662.9</v>
      </c>
      <c r="N40" s="61">
        <f t="shared" si="4"/>
        <v>666.9</v>
      </c>
      <c r="O40" s="61">
        <f t="shared" si="4"/>
        <v>667.69999999999993</v>
      </c>
      <c r="P40" s="61">
        <f t="shared" si="4"/>
        <v>667.69999999999993</v>
      </c>
      <c r="Q40" s="61">
        <f t="shared" si="4"/>
        <v>662.69999999999993</v>
      </c>
      <c r="R40" s="61">
        <f t="shared" si="4"/>
        <v>644.69999999999993</v>
      </c>
      <c r="S40" s="61">
        <f t="shared" si="4"/>
        <v>645</v>
      </c>
      <c r="T40" s="61">
        <f t="shared" si="4"/>
        <v>644.70000000000005</v>
      </c>
      <c r="U40" s="61">
        <f t="shared" si="4"/>
        <v>653.20000000000005</v>
      </c>
      <c r="V40" s="61">
        <f t="shared" si="4"/>
        <v>653.20000000000005</v>
      </c>
      <c r="W40" s="61">
        <f t="shared" si="4"/>
        <v>654</v>
      </c>
      <c r="X40" s="61">
        <f t="shared" si="4"/>
        <v>708.5</v>
      </c>
      <c r="Y40" s="61">
        <f t="shared" si="4"/>
        <v>654.29999999999995</v>
      </c>
      <c r="Z40" s="61">
        <f t="shared" si="4"/>
        <v>651.9</v>
      </c>
      <c r="AA40" s="61">
        <f t="shared" si="4"/>
        <v>653.29999999999995</v>
      </c>
      <c r="AB40" s="61">
        <f t="shared" si="4"/>
        <v>645.29999999999995</v>
      </c>
      <c r="AC40" s="61">
        <f t="shared" si="4"/>
        <v>625.5</v>
      </c>
      <c r="AD40" s="61">
        <f t="shared" si="4"/>
        <v>605.5</v>
      </c>
      <c r="AE40" s="61">
        <f t="shared" si="4"/>
        <v>586.5</v>
      </c>
      <c r="AF40" s="61">
        <f t="shared" si="4"/>
        <v>586.5</v>
      </c>
      <c r="AG40" s="62">
        <f t="shared" si="4"/>
        <v>707.78000000000009</v>
      </c>
      <c r="AH40" s="48">
        <f t="shared" si="2"/>
        <v>708.5</v>
      </c>
      <c r="AI40" s="49">
        <f t="shared" si="3"/>
        <v>535.29999999999995</v>
      </c>
      <c r="AK40" s="50"/>
    </row>
    <row r="41" spans="1:88" x14ac:dyDescent="0.25">
      <c r="A41" s="63" t="s">
        <v>49</v>
      </c>
      <c r="B41" s="45">
        <v>170</v>
      </c>
      <c r="C41" s="45">
        <v>70</v>
      </c>
      <c r="D41" s="45">
        <v>50</v>
      </c>
      <c r="E41" s="45">
        <v>50</v>
      </c>
      <c r="F41" s="45">
        <v>50</v>
      </c>
      <c r="G41" s="45">
        <v>50</v>
      </c>
      <c r="H41" s="45">
        <v>80</v>
      </c>
      <c r="I41" s="45">
        <v>80</v>
      </c>
      <c r="J41" s="45">
        <v>200</v>
      </c>
      <c r="K41" s="45">
        <v>330</v>
      </c>
      <c r="L41" s="45">
        <v>380</v>
      </c>
      <c r="M41" s="45">
        <v>400</v>
      </c>
      <c r="N41" s="45">
        <v>280</v>
      </c>
      <c r="O41" s="45">
        <v>225</v>
      </c>
      <c r="P41" s="45">
        <v>200</v>
      </c>
      <c r="Q41" s="45">
        <v>130</v>
      </c>
      <c r="R41" s="45">
        <v>140</v>
      </c>
      <c r="S41" s="45">
        <v>130</v>
      </c>
      <c r="T41" s="45">
        <v>165</v>
      </c>
      <c r="U41" s="45">
        <v>195</v>
      </c>
      <c r="V41" s="45">
        <v>320</v>
      </c>
      <c r="W41" s="45">
        <v>420</v>
      </c>
      <c r="X41" s="45">
        <v>456</v>
      </c>
      <c r="Y41" s="45">
        <v>426</v>
      </c>
      <c r="Z41" s="45">
        <v>335</v>
      </c>
      <c r="AA41" s="45">
        <v>300</v>
      </c>
      <c r="AB41" s="45">
        <v>270</v>
      </c>
      <c r="AC41" s="45">
        <v>240</v>
      </c>
      <c r="AD41" s="45">
        <v>210</v>
      </c>
      <c r="AE41" s="45">
        <v>180</v>
      </c>
      <c r="AF41" s="45">
        <v>170</v>
      </c>
      <c r="AG41" s="52">
        <v>456</v>
      </c>
      <c r="AH41" s="48">
        <f t="shared" si="2"/>
        <v>456</v>
      </c>
      <c r="AI41" s="49">
        <f t="shared" si="3"/>
        <v>50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21.8</v>
      </c>
      <c r="C43" s="67">
        <v>21.7</v>
      </c>
      <c r="D43" s="67">
        <v>21.8</v>
      </c>
      <c r="E43" s="67">
        <v>21.7</v>
      </c>
      <c r="F43" s="67">
        <v>21.7</v>
      </c>
      <c r="G43" s="67">
        <v>21.8</v>
      </c>
      <c r="H43" s="67">
        <v>21.7</v>
      </c>
      <c r="I43" s="67">
        <v>21.7</v>
      </c>
      <c r="J43" s="67">
        <v>21.7</v>
      </c>
      <c r="K43" s="67">
        <v>21.8</v>
      </c>
      <c r="L43" s="67">
        <v>21.8</v>
      </c>
      <c r="M43" s="67">
        <v>21.7</v>
      </c>
      <c r="N43" s="67">
        <v>21.8</v>
      </c>
      <c r="O43" s="67">
        <v>21.8</v>
      </c>
      <c r="P43" s="67">
        <v>21.8</v>
      </c>
      <c r="Q43" s="67">
        <v>21.8</v>
      </c>
      <c r="R43" s="67">
        <v>21.8</v>
      </c>
      <c r="S43" s="67">
        <v>21.9</v>
      </c>
      <c r="T43" s="67">
        <v>22</v>
      </c>
      <c r="U43" s="67">
        <v>22</v>
      </c>
      <c r="V43" s="67">
        <v>22</v>
      </c>
      <c r="W43" s="67">
        <v>22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22</v>
      </c>
      <c r="AF43" s="67">
        <v>22</v>
      </c>
      <c r="AG43" s="68">
        <v>22.1</v>
      </c>
      <c r="AH43" s="48">
        <f t="shared" si="2"/>
        <v>22</v>
      </c>
      <c r="AI43" s="49">
        <f t="shared" si="3"/>
        <v>21.7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251.8</v>
      </c>
      <c r="C44" s="61">
        <f t="shared" si="5"/>
        <v>151.69999999999999</v>
      </c>
      <c r="D44" s="61">
        <f t="shared" si="5"/>
        <v>131.80000000000001</v>
      </c>
      <c r="E44" s="61">
        <f t="shared" si="5"/>
        <v>131.69999999999999</v>
      </c>
      <c r="F44" s="61">
        <f t="shared" si="5"/>
        <v>131.69999999999999</v>
      </c>
      <c r="G44" s="61">
        <f t="shared" si="5"/>
        <v>131.80000000000001</v>
      </c>
      <c r="H44" s="61">
        <f t="shared" si="5"/>
        <v>161.69999999999999</v>
      </c>
      <c r="I44" s="61">
        <f t="shared" si="5"/>
        <v>161.69999999999999</v>
      </c>
      <c r="J44" s="61">
        <f t="shared" si="5"/>
        <v>281.7</v>
      </c>
      <c r="K44" s="61">
        <f t="shared" si="5"/>
        <v>411.8</v>
      </c>
      <c r="L44" s="61">
        <f t="shared" si="5"/>
        <v>461.8</v>
      </c>
      <c r="M44" s="61">
        <f t="shared" si="5"/>
        <v>481.7</v>
      </c>
      <c r="N44" s="61">
        <f t="shared" si="5"/>
        <v>361.8</v>
      </c>
      <c r="O44" s="61">
        <f t="shared" si="5"/>
        <v>306.8</v>
      </c>
      <c r="P44" s="61">
        <f t="shared" si="5"/>
        <v>281.8</v>
      </c>
      <c r="Q44" s="61">
        <f t="shared" si="5"/>
        <v>211.8</v>
      </c>
      <c r="R44" s="61">
        <f t="shared" si="5"/>
        <v>221.8</v>
      </c>
      <c r="S44" s="61">
        <f t="shared" si="5"/>
        <v>211.9</v>
      </c>
      <c r="T44" s="61">
        <f t="shared" si="5"/>
        <v>247</v>
      </c>
      <c r="U44" s="61">
        <f t="shared" si="5"/>
        <v>277</v>
      </c>
      <c r="V44" s="61">
        <f t="shared" si="5"/>
        <v>402</v>
      </c>
      <c r="W44" s="61">
        <f t="shared" si="5"/>
        <v>502</v>
      </c>
      <c r="X44" s="61">
        <f t="shared" si="5"/>
        <v>538</v>
      </c>
      <c r="Y44" s="61">
        <f t="shared" si="5"/>
        <v>508</v>
      </c>
      <c r="Z44" s="61">
        <f t="shared" si="5"/>
        <v>417</v>
      </c>
      <c r="AA44" s="61">
        <f t="shared" si="5"/>
        <v>382</v>
      </c>
      <c r="AB44" s="61">
        <f t="shared" si="5"/>
        <v>352</v>
      </c>
      <c r="AC44" s="61">
        <f t="shared" si="5"/>
        <v>322</v>
      </c>
      <c r="AD44" s="61">
        <f t="shared" si="5"/>
        <v>292</v>
      </c>
      <c r="AE44" s="61">
        <f t="shared" si="5"/>
        <v>262</v>
      </c>
      <c r="AF44" s="61">
        <f t="shared" si="5"/>
        <v>252</v>
      </c>
      <c r="AG44" s="62">
        <f t="shared" si="5"/>
        <v>538.1</v>
      </c>
      <c r="AH44" s="48">
        <f t="shared" si="2"/>
        <v>538</v>
      </c>
      <c r="AI44" s="49">
        <f t="shared" si="3"/>
        <v>131.69999999999999</v>
      </c>
      <c r="AK44" s="50"/>
    </row>
    <row r="45" spans="1:88" x14ac:dyDescent="0.25">
      <c r="A45" s="44" t="s">
        <v>53</v>
      </c>
      <c r="B45" s="45">
        <v>143.80000000000001</v>
      </c>
      <c r="C45" s="45">
        <v>143.30000000000001</v>
      </c>
      <c r="D45" s="45">
        <v>143.9</v>
      </c>
      <c r="E45" s="45">
        <v>133.1</v>
      </c>
      <c r="F45" s="45">
        <v>121.4</v>
      </c>
      <c r="G45" s="45">
        <v>143</v>
      </c>
      <c r="H45" s="45">
        <v>143</v>
      </c>
      <c r="I45" s="45">
        <v>143.5</v>
      </c>
      <c r="J45" s="45">
        <v>143.5</v>
      </c>
      <c r="K45" s="45">
        <v>143.5</v>
      </c>
      <c r="L45" s="45">
        <v>143.5</v>
      </c>
      <c r="M45" s="45">
        <v>143.5</v>
      </c>
      <c r="N45" s="45">
        <v>143.6</v>
      </c>
      <c r="O45" s="45">
        <v>143.6</v>
      </c>
      <c r="P45" s="45">
        <v>143.6</v>
      </c>
      <c r="Q45" s="45">
        <v>143.6</v>
      </c>
      <c r="R45" s="45">
        <v>143.6</v>
      </c>
      <c r="S45" s="45">
        <v>143.6</v>
      </c>
      <c r="T45" s="45">
        <v>143.5</v>
      </c>
      <c r="U45" s="45">
        <v>143.4</v>
      </c>
      <c r="V45" s="45">
        <v>143.4</v>
      </c>
      <c r="W45" s="45">
        <v>143.4</v>
      </c>
      <c r="X45" s="45">
        <v>144</v>
      </c>
      <c r="Y45" s="45">
        <v>143.4</v>
      </c>
      <c r="Z45" s="45">
        <v>143.4</v>
      </c>
      <c r="AA45" s="45">
        <v>143.4</v>
      </c>
      <c r="AB45" s="45">
        <v>143.4</v>
      </c>
      <c r="AC45" s="45">
        <v>143.4</v>
      </c>
      <c r="AD45" s="45">
        <v>143.4</v>
      </c>
      <c r="AE45" s="45">
        <v>130</v>
      </c>
      <c r="AF45" s="45">
        <v>123.3</v>
      </c>
      <c r="AG45" s="52">
        <v>144</v>
      </c>
      <c r="AH45" s="48">
        <f t="shared" si="2"/>
        <v>144</v>
      </c>
      <c r="AI45" s="49">
        <f t="shared" si="3"/>
        <v>121.4</v>
      </c>
      <c r="AK45" s="50"/>
    </row>
    <row r="46" spans="1:88" x14ac:dyDescent="0.25">
      <c r="A46" s="54" t="s">
        <v>54</v>
      </c>
      <c r="B46" s="65">
        <v>71.900000000000006</v>
      </c>
      <c r="C46" s="65">
        <v>72.099999999999994</v>
      </c>
      <c r="D46" s="65">
        <v>72.099999999999994</v>
      </c>
      <c r="E46" s="65">
        <v>62</v>
      </c>
      <c r="F46" s="65">
        <v>72.400000000000006</v>
      </c>
      <c r="G46" s="65">
        <v>72.400000000000006</v>
      </c>
      <c r="H46" s="65">
        <v>72.400000000000006</v>
      </c>
      <c r="I46" s="65">
        <v>72.3</v>
      </c>
      <c r="J46" s="65">
        <v>71.599999999999994</v>
      </c>
      <c r="K46" s="65">
        <v>73.5</v>
      </c>
      <c r="L46" s="65">
        <v>72</v>
      </c>
      <c r="M46" s="65">
        <v>72</v>
      </c>
      <c r="N46" s="65">
        <v>71.7</v>
      </c>
      <c r="O46" s="65">
        <v>71.7</v>
      </c>
      <c r="P46" s="65">
        <v>70.8</v>
      </c>
      <c r="Q46" s="65">
        <v>70.8</v>
      </c>
      <c r="R46" s="65">
        <v>70.8</v>
      </c>
      <c r="S46" s="65">
        <v>70.900000000000006</v>
      </c>
      <c r="T46" s="65">
        <v>71.2</v>
      </c>
      <c r="U46" s="65">
        <v>71.2</v>
      </c>
      <c r="V46" s="65">
        <v>71.2</v>
      </c>
      <c r="W46" s="65">
        <v>71.2</v>
      </c>
      <c r="X46" s="65">
        <v>71.2</v>
      </c>
      <c r="Y46" s="65">
        <v>71.2</v>
      </c>
      <c r="Z46" s="65">
        <v>71.2</v>
      </c>
      <c r="AA46" s="65">
        <v>71.2</v>
      </c>
      <c r="AB46" s="65">
        <v>71.2</v>
      </c>
      <c r="AC46" s="65">
        <v>71.2</v>
      </c>
      <c r="AD46" s="65">
        <v>71.2</v>
      </c>
      <c r="AE46" s="65">
        <v>62</v>
      </c>
      <c r="AF46" s="65">
        <v>36.799999999999997</v>
      </c>
      <c r="AG46" s="55">
        <v>70</v>
      </c>
      <c r="AH46" s="48">
        <f t="shared" si="2"/>
        <v>73.5</v>
      </c>
      <c r="AI46" s="49">
        <f t="shared" si="3"/>
        <v>36.799999999999997</v>
      </c>
      <c r="AK46" s="50"/>
    </row>
    <row r="47" spans="1:88" x14ac:dyDescent="0.25">
      <c r="A47" s="54" t="s">
        <v>55</v>
      </c>
      <c r="B47" s="65">
        <v>71.599999999999994</v>
      </c>
      <c r="C47" s="65">
        <v>70.900000000000006</v>
      </c>
      <c r="D47" s="65">
        <v>71</v>
      </c>
      <c r="E47" s="65">
        <v>71</v>
      </c>
      <c r="F47" s="65">
        <v>71</v>
      </c>
      <c r="G47" s="65">
        <v>71.900000000000006</v>
      </c>
      <c r="H47" s="65">
        <v>71.900000000000006</v>
      </c>
      <c r="I47" s="65">
        <v>71</v>
      </c>
      <c r="J47" s="65">
        <v>70.7</v>
      </c>
      <c r="K47" s="65">
        <v>71.3</v>
      </c>
      <c r="L47" s="65">
        <v>70.599999999999994</v>
      </c>
      <c r="M47" s="65">
        <v>70.599999999999994</v>
      </c>
      <c r="N47" s="65">
        <v>70.599999999999994</v>
      </c>
      <c r="O47" s="65">
        <v>70.599999999999994</v>
      </c>
      <c r="P47" s="65">
        <v>70.599999999999994</v>
      </c>
      <c r="Q47" s="65">
        <v>70.599999999999994</v>
      </c>
      <c r="R47" s="65">
        <v>70.599999999999994</v>
      </c>
      <c r="S47" s="65">
        <v>71.2</v>
      </c>
      <c r="T47" s="65">
        <v>71.099999999999994</v>
      </c>
      <c r="U47" s="65">
        <v>70</v>
      </c>
      <c r="V47" s="65">
        <v>70</v>
      </c>
      <c r="W47" s="65">
        <v>70</v>
      </c>
      <c r="X47" s="65">
        <v>70.599999999999994</v>
      </c>
      <c r="Y47" s="65">
        <v>70</v>
      </c>
      <c r="Z47" s="65">
        <v>70</v>
      </c>
      <c r="AA47" s="65">
        <v>70</v>
      </c>
      <c r="AB47" s="65">
        <v>70</v>
      </c>
      <c r="AC47" s="65">
        <v>70</v>
      </c>
      <c r="AD47" s="65">
        <v>70</v>
      </c>
      <c r="AE47" s="65">
        <v>70</v>
      </c>
      <c r="AF47" s="65">
        <v>62.3</v>
      </c>
      <c r="AG47" s="55">
        <v>69</v>
      </c>
      <c r="AH47" s="48">
        <f t="shared" si="2"/>
        <v>71.900000000000006</v>
      </c>
      <c r="AI47" s="49">
        <f t="shared" si="3"/>
        <v>62.3</v>
      </c>
      <c r="AK47" s="50"/>
    </row>
    <row r="48" spans="1:88" x14ac:dyDescent="0.25">
      <c r="A48" s="54" t="s">
        <v>56</v>
      </c>
      <c r="B48" s="57">
        <v>49.6</v>
      </c>
      <c r="C48" s="57">
        <v>40.299999999999997</v>
      </c>
      <c r="D48" s="57">
        <v>40.6</v>
      </c>
      <c r="E48" s="57">
        <v>40.6</v>
      </c>
      <c r="F48" s="57">
        <v>40.6</v>
      </c>
      <c r="G48" s="57">
        <v>40.6</v>
      </c>
      <c r="H48" s="57">
        <v>40.6</v>
      </c>
      <c r="I48" s="57">
        <v>60</v>
      </c>
      <c r="J48" s="57">
        <v>60.2</v>
      </c>
      <c r="K48" s="57">
        <v>60.2</v>
      </c>
      <c r="L48" s="57">
        <v>60.2</v>
      </c>
      <c r="M48" s="57">
        <v>60.2</v>
      </c>
      <c r="N48" s="57">
        <v>60.4</v>
      </c>
      <c r="O48" s="57">
        <v>60.4</v>
      </c>
      <c r="P48" s="57">
        <v>60.4</v>
      </c>
      <c r="Q48" s="57">
        <v>60.4</v>
      </c>
      <c r="R48" s="57">
        <v>60.4</v>
      </c>
      <c r="S48" s="45">
        <v>60.4</v>
      </c>
      <c r="T48" s="45">
        <v>60.3</v>
      </c>
      <c r="U48" s="45">
        <v>60.4</v>
      </c>
      <c r="V48" s="45">
        <v>60.4</v>
      </c>
      <c r="W48" s="45">
        <v>60.4</v>
      </c>
      <c r="X48" s="45">
        <v>60.4</v>
      </c>
      <c r="Y48" s="45">
        <v>60.4</v>
      </c>
      <c r="Z48" s="45">
        <v>60.4</v>
      </c>
      <c r="AA48" s="45">
        <v>60.4</v>
      </c>
      <c r="AB48" s="45">
        <v>60.4</v>
      </c>
      <c r="AC48" s="45">
        <v>60.4</v>
      </c>
      <c r="AD48" s="45">
        <v>60.4</v>
      </c>
      <c r="AE48" s="45">
        <v>60.4</v>
      </c>
      <c r="AF48" s="45">
        <v>60.4</v>
      </c>
      <c r="AG48" s="55">
        <v>60</v>
      </c>
      <c r="AH48" s="48">
        <f t="shared" si="2"/>
        <v>60.4</v>
      </c>
      <c r="AI48" s="49">
        <f t="shared" si="3"/>
        <v>40.299999999999997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14.1</v>
      </c>
      <c r="G49" s="57">
        <v>14.1</v>
      </c>
      <c r="H49" s="57">
        <v>14.1</v>
      </c>
      <c r="I49" s="57">
        <v>14.1</v>
      </c>
      <c r="J49" s="57">
        <v>14.1</v>
      </c>
      <c r="K49" s="57">
        <v>14</v>
      </c>
      <c r="L49" s="57">
        <v>13.9</v>
      </c>
      <c r="M49" s="57">
        <v>29.5</v>
      </c>
      <c r="N49" s="57">
        <v>29.5</v>
      </c>
      <c r="O49" s="57">
        <v>29.5</v>
      </c>
      <c r="P49" s="57">
        <v>15</v>
      </c>
      <c r="Q49" s="45">
        <v>0</v>
      </c>
      <c r="R49" s="45">
        <v>0</v>
      </c>
      <c r="S49" s="45">
        <v>0</v>
      </c>
      <c r="T49" s="45">
        <v>0</v>
      </c>
      <c r="U49" s="45">
        <v>13</v>
      </c>
      <c r="V49" s="45">
        <v>13</v>
      </c>
      <c r="W49" s="45">
        <v>30</v>
      </c>
      <c r="X49" s="45">
        <v>30</v>
      </c>
      <c r="Y49" s="45">
        <v>30</v>
      </c>
      <c r="Z49" s="45">
        <v>30</v>
      </c>
      <c r="AA49" s="45">
        <v>30</v>
      </c>
      <c r="AB49" s="45">
        <v>12.9</v>
      </c>
      <c r="AC49" s="45">
        <v>12.9</v>
      </c>
      <c r="AD49" s="45">
        <v>12.9</v>
      </c>
      <c r="AE49" s="45">
        <v>12.9</v>
      </c>
      <c r="AF49" s="45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4</v>
      </c>
      <c r="N50" s="65">
        <v>4</v>
      </c>
      <c r="O50" s="65">
        <v>4</v>
      </c>
      <c r="P50" s="65">
        <v>4</v>
      </c>
      <c r="Q50" s="65">
        <v>4</v>
      </c>
      <c r="R50" s="65">
        <v>4</v>
      </c>
      <c r="S50" s="45">
        <v>4</v>
      </c>
      <c r="T50" s="45">
        <v>4</v>
      </c>
      <c r="U50" s="45">
        <v>4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17.2</v>
      </c>
      <c r="C51" s="65">
        <v>17.2</v>
      </c>
      <c r="D51" s="65">
        <v>17.2</v>
      </c>
      <c r="E51" s="65">
        <v>17.2</v>
      </c>
      <c r="F51" s="65">
        <v>17.2</v>
      </c>
      <c r="G51" s="65">
        <v>17.2</v>
      </c>
      <c r="H51" s="65">
        <v>17.2</v>
      </c>
      <c r="I51" s="65">
        <v>17.2</v>
      </c>
      <c r="J51" s="65">
        <v>17.2</v>
      </c>
      <c r="K51" s="65">
        <v>17.2</v>
      </c>
      <c r="L51" s="65">
        <v>17.2</v>
      </c>
      <c r="M51" s="65">
        <v>17.2</v>
      </c>
      <c r="N51" s="65">
        <v>17.2</v>
      </c>
      <c r="O51" s="65">
        <v>17.2</v>
      </c>
      <c r="P51" s="65">
        <v>17.2</v>
      </c>
      <c r="Q51" s="65">
        <v>17.2</v>
      </c>
      <c r="R51" s="65">
        <v>17.2</v>
      </c>
      <c r="S51" s="65">
        <v>17.2</v>
      </c>
      <c r="T51" s="65">
        <v>17.2</v>
      </c>
      <c r="U51" s="65">
        <v>17.600000000000001</v>
      </c>
      <c r="V51" s="65">
        <v>17.600000000000001</v>
      </c>
      <c r="W51" s="65">
        <v>17.600000000000001</v>
      </c>
      <c r="X51" s="65">
        <v>18</v>
      </c>
      <c r="Y51" s="65">
        <v>17.600000000000001</v>
      </c>
      <c r="Z51" s="65">
        <v>17.600000000000001</v>
      </c>
      <c r="AA51" s="65">
        <v>17.600000000000001</v>
      </c>
      <c r="AB51" s="65">
        <v>17.600000000000001</v>
      </c>
      <c r="AC51" s="65">
        <v>17.600000000000001</v>
      </c>
      <c r="AD51" s="65">
        <v>17.600000000000001</v>
      </c>
      <c r="AE51" s="65">
        <v>17.600000000000001</v>
      </c>
      <c r="AF51" s="65">
        <v>17.600000000000001</v>
      </c>
      <c r="AG51" s="55">
        <v>24</v>
      </c>
      <c r="AH51" s="48">
        <f t="shared" si="2"/>
        <v>18</v>
      </c>
      <c r="AI51" s="49">
        <f t="shared" si="3"/>
        <v>17.2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45">
        <v>0</v>
      </c>
      <c r="U52" s="45">
        <v>0</v>
      </c>
      <c r="V52" s="45">
        <v>0</v>
      </c>
      <c r="W52" s="45">
        <v>0</v>
      </c>
      <c r="X52" s="45">
        <v>0</v>
      </c>
      <c r="Y52" s="45">
        <v>0</v>
      </c>
      <c r="Z52" s="45">
        <v>0</v>
      </c>
      <c r="AA52" s="45">
        <v>0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14.9</v>
      </c>
      <c r="C53" s="65">
        <v>14.9</v>
      </c>
      <c r="D53" s="65">
        <v>14.9</v>
      </c>
      <c r="E53" s="65">
        <v>14.9</v>
      </c>
      <c r="F53" s="65">
        <v>14.9</v>
      </c>
      <c r="G53" s="65">
        <v>14.8</v>
      </c>
      <c r="H53" s="65">
        <v>14.8</v>
      </c>
      <c r="I53" s="65">
        <v>14.8</v>
      </c>
      <c r="J53" s="65">
        <v>14.6</v>
      </c>
      <c r="K53" s="65">
        <v>14.1</v>
      </c>
      <c r="L53" s="65">
        <v>14.3</v>
      </c>
      <c r="M53" s="65">
        <v>14.3</v>
      </c>
      <c r="N53" s="65">
        <v>14.3</v>
      </c>
      <c r="O53" s="65">
        <v>14.3</v>
      </c>
      <c r="P53" s="65">
        <v>14.3</v>
      </c>
      <c r="Q53" s="65">
        <v>14.3</v>
      </c>
      <c r="R53" s="65">
        <v>14.3</v>
      </c>
      <c r="S53" s="65">
        <v>14.7</v>
      </c>
      <c r="T53" s="45">
        <v>14.3</v>
      </c>
      <c r="U53" s="45">
        <v>14.2</v>
      </c>
      <c r="V53" s="45">
        <v>14.2</v>
      </c>
      <c r="W53" s="45">
        <v>14.2</v>
      </c>
      <c r="X53" s="45">
        <v>14</v>
      </c>
      <c r="Y53" s="45">
        <v>14.2</v>
      </c>
      <c r="Z53" s="45">
        <v>14.2</v>
      </c>
      <c r="AA53" s="45">
        <v>14.2</v>
      </c>
      <c r="AB53" s="45">
        <v>14.2</v>
      </c>
      <c r="AC53" s="45">
        <v>14.2</v>
      </c>
      <c r="AD53" s="45">
        <v>14.2</v>
      </c>
      <c r="AE53" s="45">
        <v>14.2</v>
      </c>
      <c r="AF53" s="45">
        <v>14.2</v>
      </c>
      <c r="AG53" s="55">
        <v>14.1</v>
      </c>
      <c r="AH53" s="48">
        <f t="shared" si="2"/>
        <v>14.9</v>
      </c>
      <c r="AI53" s="49">
        <f t="shared" si="3"/>
        <v>14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10</v>
      </c>
      <c r="C54" s="65">
        <v>10</v>
      </c>
      <c r="D54" s="65">
        <v>10</v>
      </c>
      <c r="E54" s="65">
        <v>10</v>
      </c>
      <c r="F54" s="65">
        <v>8</v>
      </c>
      <c r="G54" s="65">
        <v>10.7</v>
      </c>
      <c r="H54" s="65">
        <v>10.7</v>
      </c>
      <c r="I54" s="65">
        <v>10.7</v>
      </c>
      <c r="J54" s="65">
        <v>10.6</v>
      </c>
      <c r="K54" s="65">
        <v>10.6</v>
      </c>
      <c r="L54" s="65">
        <v>10.5</v>
      </c>
      <c r="M54" s="65">
        <v>10.5</v>
      </c>
      <c r="N54" s="65">
        <v>10.5</v>
      </c>
      <c r="O54" s="65">
        <v>10.5</v>
      </c>
      <c r="P54" s="65">
        <v>10.5</v>
      </c>
      <c r="Q54" s="65">
        <v>10.5</v>
      </c>
      <c r="R54" s="65">
        <v>10.5</v>
      </c>
      <c r="S54" s="65">
        <v>10.5</v>
      </c>
      <c r="T54" s="45">
        <v>10.5</v>
      </c>
      <c r="U54" s="45">
        <v>10.5</v>
      </c>
      <c r="V54" s="45">
        <v>10.5</v>
      </c>
      <c r="W54" s="45">
        <v>10.5</v>
      </c>
      <c r="X54" s="45">
        <v>10.5</v>
      </c>
      <c r="Y54" s="45">
        <v>10.5</v>
      </c>
      <c r="Z54" s="45">
        <v>10.5</v>
      </c>
      <c r="AA54" s="45">
        <v>10.5</v>
      </c>
      <c r="AB54" s="45">
        <v>10.5</v>
      </c>
      <c r="AC54" s="45">
        <v>10.5</v>
      </c>
      <c r="AD54" s="45">
        <v>10.5</v>
      </c>
      <c r="AE54" s="45">
        <v>10.5</v>
      </c>
      <c r="AF54" s="45">
        <v>10.5</v>
      </c>
      <c r="AG54" s="55">
        <v>14</v>
      </c>
      <c r="AH54" s="48">
        <f t="shared" si="2"/>
        <v>10.7</v>
      </c>
      <c r="AI54" s="49">
        <f t="shared" si="3"/>
        <v>8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45">
        <v>9</v>
      </c>
      <c r="U55" s="45">
        <v>9</v>
      </c>
      <c r="V55" s="45">
        <v>9</v>
      </c>
      <c r="W55" s="45">
        <v>9</v>
      </c>
      <c r="X55" s="45">
        <v>9</v>
      </c>
      <c r="Y55" s="45">
        <v>9</v>
      </c>
      <c r="Z55" s="45">
        <v>9</v>
      </c>
      <c r="AA55" s="45">
        <v>9</v>
      </c>
      <c r="AB55" s="45">
        <v>9</v>
      </c>
      <c r="AC55" s="45">
        <v>9</v>
      </c>
      <c r="AD55" s="45">
        <v>9</v>
      </c>
      <c r="AE55" s="45">
        <v>9</v>
      </c>
      <c r="AF55" s="4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45">
        <v>4.5999999999999996</v>
      </c>
      <c r="U56" s="45">
        <v>4.5999999999999996</v>
      </c>
      <c r="V56" s="45">
        <v>4.5999999999999996</v>
      </c>
      <c r="W56" s="45">
        <v>4.5999999999999996</v>
      </c>
      <c r="X56" s="45">
        <v>4.5999999999999996</v>
      </c>
      <c r="Y56" s="45">
        <v>4.5999999999999996</v>
      </c>
      <c r="Z56" s="45">
        <v>4.5999999999999996</v>
      </c>
      <c r="AA56" s="45">
        <v>4.5999999999999996</v>
      </c>
      <c r="AB56" s="45">
        <v>4.5999999999999996</v>
      </c>
      <c r="AC56" s="45">
        <v>4.5999999999999996</v>
      </c>
      <c r="AD56" s="45">
        <v>4.5999999999999996</v>
      </c>
      <c r="AE56" s="45">
        <v>4.5999999999999996</v>
      </c>
      <c r="AF56" s="45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396.14000000000004</v>
      </c>
      <c r="C58" s="61">
        <f t="shared" si="6"/>
        <v>385.84000000000003</v>
      </c>
      <c r="D58" s="61">
        <f t="shared" si="6"/>
        <v>386.84000000000003</v>
      </c>
      <c r="E58" s="61">
        <f t="shared" si="6"/>
        <v>365.94000000000005</v>
      </c>
      <c r="F58" s="61">
        <f t="shared" si="6"/>
        <v>376.74000000000007</v>
      </c>
      <c r="G58" s="61">
        <f t="shared" si="6"/>
        <v>401.84000000000009</v>
      </c>
      <c r="H58" s="61">
        <f t="shared" si="6"/>
        <v>401.84000000000009</v>
      </c>
      <c r="I58" s="61">
        <f t="shared" si="6"/>
        <v>420.74000000000007</v>
      </c>
      <c r="J58" s="61">
        <f t="shared" si="6"/>
        <v>419.6400000000001</v>
      </c>
      <c r="K58" s="61">
        <f t="shared" si="6"/>
        <v>421.54000000000008</v>
      </c>
      <c r="L58" s="61">
        <f t="shared" si="6"/>
        <v>419.34000000000003</v>
      </c>
      <c r="M58" s="61">
        <f t="shared" si="6"/>
        <v>438.94000000000005</v>
      </c>
      <c r="N58" s="61">
        <f t="shared" si="6"/>
        <v>438.94</v>
      </c>
      <c r="O58" s="61">
        <f t="shared" si="6"/>
        <v>438.94</v>
      </c>
      <c r="P58" s="61">
        <f t="shared" si="6"/>
        <v>423.54</v>
      </c>
      <c r="Q58" s="61">
        <f t="shared" si="6"/>
        <v>408.54</v>
      </c>
      <c r="R58" s="61">
        <f t="shared" si="6"/>
        <v>408.54</v>
      </c>
      <c r="S58" s="61">
        <f t="shared" si="6"/>
        <v>409.64</v>
      </c>
      <c r="T58" s="61">
        <f t="shared" si="6"/>
        <v>409.24</v>
      </c>
      <c r="U58" s="61">
        <f t="shared" si="6"/>
        <v>421.44000000000005</v>
      </c>
      <c r="V58" s="61">
        <f t="shared" si="6"/>
        <v>417.44000000000005</v>
      </c>
      <c r="W58" s="61">
        <f t="shared" si="6"/>
        <v>434.44000000000005</v>
      </c>
      <c r="X58" s="61">
        <f t="shared" si="6"/>
        <v>435.84</v>
      </c>
      <c r="Y58" s="61">
        <f t="shared" si="6"/>
        <v>434.44000000000005</v>
      </c>
      <c r="Z58" s="61">
        <f t="shared" si="6"/>
        <v>434.44000000000005</v>
      </c>
      <c r="AA58" s="61">
        <f t="shared" si="6"/>
        <v>434.44000000000005</v>
      </c>
      <c r="AB58" s="61">
        <f t="shared" si="6"/>
        <v>417.34000000000003</v>
      </c>
      <c r="AC58" s="61">
        <f t="shared" si="6"/>
        <v>417.34000000000003</v>
      </c>
      <c r="AD58" s="61">
        <f t="shared" si="6"/>
        <v>417.34000000000003</v>
      </c>
      <c r="AE58" s="61">
        <f t="shared" si="6"/>
        <v>394.74</v>
      </c>
      <c r="AF58" s="61">
        <f t="shared" si="6"/>
        <v>342.24</v>
      </c>
      <c r="AG58" s="62">
        <f t="shared" si="6"/>
        <v>489.91</v>
      </c>
      <c r="AH58" s="48">
        <f t="shared" si="2"/>
        <v>438.94000000000005</v>
      </c>
      <c r="AI58" s="49">
        <f t="shared" si="3"/>
        <v>342.24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0</v>
      </c>
      <c r="Y59" s="45">
        <v>0</v>
      </c>
      <c r="Z59" s="45">
        <v>0</v>
      </c>
      <c r="AA59" s="45">
        <v>0</v>
      </c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3.9</v>
      </c>
      <c r="J60" s="65">
        <v>3.8</v>
      </c>
      <c r="K60" s="65">
        <v>0</v>
      </c>
      <c r="L60" s="65">
        <v>0</v>
      </c>
      <c r="M60" s="65">
        <v>0</v>
      </c>
      <c r="N60" s="65">
        <v>0</v>
      </c>
      <c r="O60" s="65">
        <v>1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/>
      <c r="AC60" s="65"/>
      <c r="AD60" s="65"/>
      <c r="AE60" s="65"/>
      <c r="AF60" s="65"/>
      <c r="AG60" s="55">
        <v>32</v>
      </c>
      <c r="AH60" s="48">
        <f t="shared" si="2"/>
        <v>3.9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1.4</v>
      </c>
      <c r="J61" s="67">
        <v>1.4</v>
      </c>
      <c r="K61" s="67">
        <v>0</v>
      </c>
      <c r="L61" s="67">
        <v>0</v>
      </c>
      <c r="M61" s="67">
        <v>0</v>
      </c>
      <c r="N61" s="67">
        <v>0</v>
      </c>
      <c r="O61" s="67">
        <v>1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0</v>
      </c>
      <c r="Y61" s="67">
        <v>0</v>
      </c>
      <c r="Z61" s="67">
        <v>0</v>
      </c>
      <c r="AA61" s="67">
        <v>0</v>
      </c>
      <c r="AB61" s="67"/>
      <c r="AC61" s="67"/>
      <c r="AD61" s="67"/>
      <c r="AE61" s="67"/>
      <c r="AF61" s="67"/>
      <c r="AG61" s="68">
        <v>14</v>
      </c>
      <c r="AH61" s="48">
        <f t="shared" si="2"/>
        <v>1.4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5.3</v>
      </c>
      <c r="J62" s="61">
        <f t="shared" si="7"/>
        <v>5.1999999999999993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2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5.3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-293.3</v>
      </c>
      <c r="C65" s="65">
        <v>186.7</v>
      </c>
      <c r="D65" s="65">
        <v>-181.6</v>
      </c>
      <c r="E65" s="65">
        <v>-172.3</v>
      </c>
      <c r="F65" s="65">
        <v>-149.19999999999999</v>
      </c>
      <c r="G65" s="65">
        <v>-136.5</v>
      </c>
      <c r="H65" s="65">
        <v>-128.6</v>
      </c>
      <c r="I65" s="65">
        <v>-152</v>
      </c>
      <c r="J65" s="65">
        <v>-160.69999999999999</v>
      </c>
      <c r="K65" s="65">
        <v>-205.1</v>
      </c>
      <c r="L65" s="65">
        <v>-170.8</v>
      </c>
      <c r="M65" s="65">
        <v>-249.4</v>
      </c>
      <c r="N65" s="65">
        <v>-205.5</v>
      </c>
      <c r="O65" s="65">
        <v>-207.5</v>
      </c>
      <c r="P65" s="65">
        <v>-196.2</v>
      </c>
      <c r="Q65" s="65">
        <v>-203.6</v>
      </c>
      <c r="R65" s="65">
        <v>-202.9</v>
      </c>
      <c r="S65" s="65">
        <v>-200</v>
      </c>
      <c r="T65" s="65">
        <v>-220</v>
      </c>
      <c r="U65" s="65">
        <v>-205</v>
      </c>
      <c r="V65" s="65">
        <v>-219</v>
      </c>
      <c r="W65" s="65">
        <v>-232</v>
      </c>
      <c r="X65" s="65">
        <v>-229.5</v>
      </c>
      <c r="Y65" s="65">
        <v>-226</v>
      </c>
      <c r="Z65" s="65">
        <v>-219</v>
      </c>
      <c r="AA65" s="65">
        <v>-275.5</v>
      </c>
      <c r="AB65" s="65">
        <v>-285</v>
      </c>
      <c r="AC65" s="65">
        <v>-302</v>
      </c>
      <c r="AD65" s="65">
        <v>-300</v>
      </c>
      <c r="AE65" s="65">
        <v>-297</v>
      </c>
      <c r="AF65" s="65">
        <v>-253</v>
      </c>
      <c r="AG65" s="75"/>
      <c r="AH65" s="48">
        <f t="shared" si="2"/>
        <v>186.7</v>
      </c>
      <c r="AI65" s="49">
        <f t="shared" si="3"/>
        <v>-302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/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6">
        <v>0</v>
      </c>
      <c r="C72" s="76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6">
        <v>0</v>
      </c>
      <c r="C73" s="76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186.7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186.7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1207.04</v>
      </c>
      <c r="C79" s="83">
        <f t="shared" si="11"/>
        <v>1259.5400000000002</v>
      </c>
      <c r="D79" s="83">
        <f t="shared" si="11"/>
        <v>1074.6399999999999</v>
      </c>
      <c r="E79" s="83">
        <f t="shared" si="11"/>
        <v>1053.6400000000001</v>
      </c>
      <c r="F79" s="83">
        <f t="shared" si="11"/>
        <v>1064.44</v>
      </c>
      <c r="G79" s="83">
        <f t="shared" si="11"/>
        <v>1089.6400000000001</v>
      </c>
      <c r="H79" s="83">
        <f t="shared" si="11"/>
        <v>1155.0400000000002</v>
      </c>
      <c r="I79" s="83">
        <f t="shared" si="11"/>
        <v>1237.94</v>
      </c>
      <c r="J79" s="83">
        <f t="shared" si="11"/>
        <v>1337.94</v>
      </c>
      <c r="K79" s="83">
        <f t="shared" si="11"/>
        <v>1487.44</v>
      </c>
      <c r="L79" s="83">
        <f t="shared" si="11"/>
        <v>1529.54</v>
      </c>
      <c r="M79" s="83">
        <f t="shared" si="11"/>
        <v>1583.54</v>
      </c>
      <c r="N79" s="83">
        <f t="shared" si="11"/>
        <v>1467.64</v>
      </c>
      <c r="O79" s="83">
        <f t="shared" si="11"/>
        <v>1415.44</v>
      </c>
      <c r="P79" s="83">
        <f t="shared" si="11"/>
        <v>1373.04</v>
      </c>
      <c r="Q79" s="83">
        <f t="shared" si="11"/>
        <v>1283.04</v>
      </c>
      <c r="R79" s="83">
        <f t="shared" si="11"/>
        <v>1275.04</v>
      </c>
      <c r="S79" s="83">
        <f t="shared" si="11"/>
        <v>1266.54</v>
      </c>
      <c r="T79" s="83">
        <f t="shared" si="11"/>
        <v>1300.94</v>
      </c>
      <c r="U79" s="83">
        <f t="shared" si="11"/>
        <v>1351.64</v>
      </c>
      <c r="V79" s="83">
        <f t="shared" si="11"/>
        <v>1472.64</v>
      </c>
      <c r="W79" s="83">
        <f t="shared" si="11"/>
        <v>1590.44</v>
      </c>
      <c r="X79" s="83">
        <f t="shared" si="11"/>
        <v>1682.34</v>
      </c>
      <c r="Y79" s="83">
        <f t="shared" si="11"/>
        <v>1596.74</v>
      </c>
      <c r="Z79" s="83">
        <f t="shared" si="11"/>
        <v>1503.3400000000001</v>
      </c>
      <c r="AA79" s="83">
        <f t="shared" si="11"/>
        <v>1469.74</v>
      </c>
      <c r="AB79" s="83">
        <f t="shared" si="11"/>
        <v>1414.6399999999999</v>
      </c>
      <c r="AC79" s="83">
        <f t="shared" si="11"/>
        <v>1364.8400000000001</v>
      </c>
      <c r="AD79" s="83">
        <f t="shared" si="11"/>
        <v>1314.8400000000001</v>
      </c>
      <c r="AE79" s="83">
        <f t="shared" si="11"/>
        <v>1243.24</v>
      </c>
      <c r="AF79" s="83">
        <f t="shared" si="11"/>
        <v>1180.74</v>
      </c>
      <c r="AG79" s="62">
        <f t="shared" si="11"/>
        <v>1897.1900000000003</v>
      </c>
      <c r="AH79" s="48">
        <f t="shared" si="9"/>
        <v>1682.34</v>
      </c>
      <c r="AI79" s="49">
        <f t="shared" si="10"/>
        <v>1053.6400000000001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1207.04</v>
      </c>
      <c r="C81" s="83">
        <f t="shared" si="12"/>
        <v>1259.5400000000002</v>
      </c>
      <c r="D81" s="83">
        <f t="shared" si="12"/>
        <v>1074.6399999999999</v>
      </c>
      <c r="E81" s="83">
        <f t="shared" si="12"/>
        <v>1053.6400000000001</v>
      </c>
      <c r="F81" s="83">
        <f t="shared" si="12"/>
        <v>1064.44</v>
      </c>
      <c r="G81" s="83">
        <f t="shared" si="12"/>
        <v>1089.6400000000001</v>
      </c>
      <c r="H81" s="83">
        <f t="shared" si="12"/>
        <v>1155.0400000000002</v>
      </c>
      <c r="I81" s="83">
        <f t="shared" si="12"/>
        <v>1237.94</v>
      </c>
      <c r="J81" s="83">
        <f t="shared" si="12"/>
        <v>1337.94</v>
      </c>
      <c r="K81" s="83">
        <f t="shared" si="12"/>
        <v>1487.44</v>
      </c>
      <c r="L81" s="83">
        <f t="shared" si="12"/>
        <v>1529.54</v>
      </c>
      <c r="M81" s="83">
        <f t="shared" si="12"/>
        <v>1583.54</v>
      </c>
      <c r="N81" s="83">
        <f t="shared" si="12"/>
        <v>1467.64</v>
      </c>
      <c r="O81" s="83">
        <f t="shared" si="12"/>
        <v>1415.44</v>
      </c>
      <c r="P81" s="83">
        <f t="shared" si="12"/>
        <v>1373.04</v>
      </c>
      <c r="Q81" s="83">
        <f t="shared" si="12"/>
        <v>1283.04</v>
      </c>
      <c r="R81" s="83">
        <f t="shared" si="12"/>
        <v>1275.04</v>
      </c>
      <c r="S81" s="83">
        <f t="shared" si="12"/>
        <v>1266.54</v>
      </c>
      <c r="T81" s="83">
        <f t="shared" si="12"/>
        <v>1300.94</v>
      </c>
      <c r="U81" s="83">
        <f t="shared" si="12"/>
        <v>1351.64</v>
      </c>
      <c r="V81" s="83">
        <f t="shared" si="12"/>
        <v>1472.64</v>
      </c>
      <c r="W81" s="83">
        <f t="shared" si="12"/>
        <v>1590.44</v>
      </c>
      <c r="X81" s="83">
        <f t="shared" si="12"/>
        <v>1682.34</v>
      </c>
      <c r="Y81" s="83">
        <f t="shared" si="12"/>
        <v>1596.74</v>
      </c>
      <c r="Z81" s="83">
        <f t="shared" si="12"/>
        <v>1503.3400000000001</v>
      </c>
      <c r="AA81" s="83">
        <f t="shared" si="12"/>
        <v>1469.74</v>
      </c>
      <c r="AB81" s="83">
        <f t="shared" si="12"/>
        <v>1414.6399999999999</v>
      </c>
      <c r="AC81" s="83">
        <f t="shared" si="12"/>
        <v>1364.8400000000001</v>
      </c>
      <c r="AD81" s="83">
        <f t="shared" si="12"/>
        <v>1314.8400000000001</v>
      </c>
      <c r="AE81" s="83">
        <f t="shared" si="12"/>
        <v>1243.24</v>
      </c>
      <c r="AF81" s="83">
        <f t="shared" si="12"/>
        <v>1180.74</v>
      </c>
      <c r="AG81" s="81">
        <f>AG78+AG74+AG62+AG58+AG40+AG80</f>
        <v>1359.0900000000001</v>
      </c>
      <c r="AH81" s="48">
        <f t="shared" si="9"/>
        <v>1682.34</v>
      </c>
      <c r="AI81" s="49">
        <f t="shared" si="10"/>
        <v>1053.6400000000001</v>
      </c>
    </row>
    <row r="82" spans="1:37" ht="15.75" thickBot="1" x14ac:dyDescent="0.3">
      <c r="A82" s="74" t="s">
        <v>90</v>
      </c>
      <c r="B82" s="83">
        <f t="shared" ref="B82:AF82" si="13">B81-B89</f>
        <v>913.74</v>
      </c>
      <c r="C82" s="83">
        <f t="shared" si="13"/>
        <v>1259.5400000000002</v>
      </c>
      <c r="D82" s="83">
        <f t="shared" si="13"/>
        <v>893.03999999999985</v>
      </c>
      <c r="E82" s="83">
        <f t="shared" si="13"/>
        <v>881.34000000000015</v>
      </c>
      <c r="F82" s="83">
        <f t="shared" si="13"/>
        <v>915.24</v>
      </c>
      <c r="G82" s="83">
        <f t="shared" si="13"/>
        <v>953.1400000000001</v>
      </c>
      <c r="H82" s="83">
        <f t="shared" si="13"/>
        <v>1026.4400000000003</v>
      </c>
      <c r="I82" s="83">
        <f t="shared" si="13"/>
        <v>1085.94</v>
      </c>
      <c r="J82" s="83">
        <f t="shared" si="13"/>
        <v>1177.24</v>
      </c>
      <c r="K82" s="83">
        <f t="shared" si="13"/>
        <v>1282.3400000000001</v>
      </c>
      <c r="L82" s="83">
        <f t="shared" si="13"/>
        <v>1358.74</v>
      </c>
      <c r="M82" s="83">
        <f t="shared" si="13"/>
        <v>1334.1399999999999</v>
      </c>
      <c r="N82" s="83">
        <f t="shared" si="13"/>
        <v>1262.1400000000001</v>
      </c>
      <c r="O82" s="83">
        <f t="shared" si="13"/>
        <v>1207.94</v>
      </c>
      <c r="P82" s="83">
        <f t="shared" si="13"/>
        <v>1176.8399999999999</v>
      </c>
      <c r="Q82" s="83">
        <f t="shared" si="13"/>
        <v>1079.44</v>
      </c>
      <c r="R82" s="83">
        <f t="shared" si="13"/>
        <v>1072.1399999999999</v>
      </c>
      <c r="S82" s="83">
        <f t="shared" si="13"/>
        <v>1066.54</v>
      </c>
      <c r="T82" s="83">
        <f t="shared" si="13"/>
        <v>1080.94</v>
      </c>
      <c r="U82" s="83">
        <f t="shared" si="13"/>
        <v>1146.6400000000001</v>
      </c>
      <c r="V82" s="83">
        <f t="shared" si="13"/>
        <v>1253.6400000000001</v>
      </c>
      <c r="W82" s="83">
        <f t="shared" si="13"/>
        <v>1358.44</v>
      </c>
      <c r="X82" s="83">
        <f t="shared" si="13"/>
        <v>1452.84</v>
      </c>
      <c r="Y82" s="83">
        <f t="shared" si="13"/>
        <v>1370.74</v>
      </c>
      <c r="Z82" s="83">
        <f t="shared" si="13"/>
        <v>1284.3400000000001</v>
      </c>
      <c r="AA82" s="83">
        <f t="shared" si="13"/>
        <v>1194.24</v>
      </c>
      <c r="AB82" s="83">
        <f t="shared" si="13"/>
        <v>1129.6399999999999</v>
      </c>
      <c r="AC82" s="83">
        <f t="shared" si="13"/>
        <v>1062.8400000000001</v>
      </c>
      <c r="AD82" s="83">
        <f t="shared" si="13"/>
        <v>1014.8400000000001</v>
      </c>
      <c r="AE82" s="83">
        <f t="shared" si="13"/>
        <v>946.24</v>
      </c>
      <c r="AF82" s="83">
        <f t="shared" si="13"/>
        <v>927.74</v>
      </c>
      <c r="AG82" s="81"/>
      <c r="AH82" s="48">
        <f t="shared" si="9"/>
        <v>1452.84</v>
      </c>
      <c r="AI82" s="49">
        <f t="shared" si="10"/>
        <v>881.34000000000015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293.3</v>
      </c>
      <c r="C86" s="76">
        <f t="shared" si="17"/>
        <v>0</v>
      </c>
      <c r="D86" s="76">
        <f t="shared" si="17"/>
        <v>181.6</v>
      </c>
      <c r="E86" s="76">
        <f t="shared" si="17"/>
        <v>172.3</v>
      </c>
      <c r="F86" s="76">
        <f t="shared" si="17"/>
        <v>149.19999999999999</v>
      </c>
      <c r="G86" s="76">
        <f t="shared" si="17"/>
        <v>136.5</v>
      </c>
      <c r="H86" s="76">
        <f t="shared" si="17"/>
        <v>128.6</v>
      </c>
      <c r="I86" s="76">
        <f t="shared" si="17"/>
        <v>152</v>
      </c>
      <c r="J86" s="76">
        <f t="shared" si="17"/>
        <v>160.69999999999999</v>
      </c>
      <c r="K86" s="76">
        <f t="shared" si="17"/>
        <v>205.1</v>
      </c>
      <c r="L86" s="76">
        <f t="shared" si="17"/>
        <v>170.8</v>
      </c>
      <c r="M86" s="76">
        <f t="shared" si="17"/>
        <v>249.4</v>
      </c>
      <c r="N86" s="76">
        <f t="shared" si="17"/>
        <v>205.5</v>
      </c>
      <c r="O86" s="76">
        <f t="shared" si="17"/>
        <v>207.5</v>
      </c>
      <c r="P86" s="76">
        <f t="shared" si="17"/>
        <v>196.2</v>
      </c>
      <c r="Q86" s="76">
        <f t="shared" si="17"/>
        <v>203.6</v>
      </c>
      <c r="R86" s="76">
        <f t="shared" si="17"/>
        <v>202.9</v>
      </c>
      <c r="S86" s="76">
        <f t="shared" si="17"/>
        <v>200</v>
      </c>
      <c r="T86" s="76">
        <f t="shared" si="17"/>
        <v>220</v>
      </c>
      <c r="U86" s="76">
        <f t="shared" si="17"/>
        <v>205</v>
      </c>
      <c r="V86" s="76">
        <f t="shared" si="17"/>
        <v>219</v>
      </c>
      <c r="W86" s="76">
        <f t="shared" si="17"/>
        <v>232</v>
      </c>
      <c r="X86" s="76">
        <f t="shared" si="17"/>
        <v>229.5</v>
      </c>
      <c r="Y86" s="76">
        <f t="shared" si="17"/>
        <v>226</v>
      </c>
      <c r="Z86" s="76">
        <f t="shared" si="17"/>
        <v>219</v>
      </c>
      <c r="AA86" s="76">
        <f t="shared" si="17"/>
        <v>275.5</v>
      </c>
      <c r="AB86" s="76">
        <f t="shared" si="17"/>
        <v>285</v>
      </c>
      <c r="AC86" s="76">
        <f t="shared" si="17"/>
        <v>302</v>
      </c>
      <c r="AD86" s="76">
        <f t="shared" si="17"/>
        <v>300</v>
      </c>
      <c r="AE86" s="76">
        <f t="shared" si="17"/>
        <v>297</v>
      </c>
      <c r="AF86" s="76">
        <f t="shared" si="17"/>
        <v>253</v>
      </c>
      <c r="AG86" s="86"/>
      <c r="AH86" s="48">
        <f t="shared" si="9"/>
        <v>302</v>
      </c>
      <c r="AI86" s="49">
        <f t="shared" si="10"/>
        <v>0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293.3</v>
      </c>
      <c r="C89" s="61">
        <f t="shared" si="19"/>
        <v>0</v>
      </c>
      <c r="D89" s="61">
        <f t="shared" si="19"/>
        <v>181.6</v>
      </c>
      <c r="E89" s="61">
        <f t="shared" si="19"/>
        <v>172.3</v>
      </c>
      <c r="F89" s="61">
        <f t="shared" si="19"/>
        <v>149.19999999999999</v>
      </c>
      <c r="G89" s="61">
        <f t="shared" si="19"/>
        <v>136.5</v>
      </c>
      <c r="H89" s="61">
        <f t="shared" si="19"/>
        <v>128.6</v>
      </c>
      <c r="I89" s="61">
        <f t="shared" si="19"/>
        <v>152</v>
      </c>
      <c r="J89" s="61">
        <f t="shared" si="19"/>
        <v>160.69999999999999</v>
      </c>
      <c r="K89" s="61">
        <f t="shared" si="19"/>
        <v>205.1</v>
      </c>
      <c r="L89" s="61">
        <f t="shared" si="19"/>
        <v>170.8</v>
      </c>
      <c r="M89" s="61">
        <f t="shared" si="19"/>
        <v>249.4</v>
      </c>
      <c r="N89" s="61">
        <f t="shared" si="19"/>
        <v>205.5</v>
      </c>
      <c r="O89" s="61">
        <f t="shared" si="19"/>
        <v>207.5</v>
      </c>
      <c r="P89" s="61">
        <f t="shared" si="19"/>
        <v>196.2</v>
      </c>
      <c r="Q89" s="61">
        <f t="shared" si="19"/>
        <v>203.6</v>
      </c>
      <c r="R89" s="61">
        <f t="shared" si="19"/>
        <v>202.9</v>
      </c>
      <c r="S89" s="61">
        <f t="shared" si="19"/>
        <v>200</v>
      </c>
      <c r="T89" s="61">
        <f t="shared" si="19"/>
        <v>220</v>
      </c>
      <c r="U89" s="61">
        <f t="shared" si="19"/>
        <v>205</v>
      </c>
      <c r="V89" s="61">
        <f t="shared" si="19"/>
        <v>219</v>
      </c>
      <c r="W89" s="61">
        <f t="shared" si="19"/>
        <v>232</v>
      </c>
      <c r="X89" s="61">
        <f t="shared" si="19"/>
        <v>229.5</v>
      </c>
      <c r="Y89" s="61">
        <f t="shared" si="19"/>
        <v>226</v>
      </c>
      <c r="Z89" s="61">
        <f t="shared" si="19"/>
        <v>219</v>
      </c>
      <c r="AA89" s="61">
        <f t="shared" si="19"/>
        <v>275.5</v>
      </c>
      <c r="AB89" s="61">
        <f t="shared" si="19"/>
        <v>285</v>
      </c>
      <c r="AC89" s="61">
        <f t="shared" si="19"/>
        <v>302</v>
      </c>
      <c r="AD89" s="61">
        <f t="shared" si="19"/>
        <v>300</v>
      </c>
      <c r="AE89" s="61">
        <f t="shared" si="19"/>
        <v>297</v>
      </c>
      <c r="AF89" s="61">
        <f t="shared" si="19"/>
        <v>253</v>
      </c>
      <c r="AG89" s="81"/>
      <c r="AH89" s="48">
        <f t="shared" si="9"/>
        <v>302</v>
      </c>
      <c r="AI89" s="49">
        <f t="shared" si="10"/>
        <v>0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-293.3</v>
      </c>
      <c r="C90" s="61">
        <f t="shared" si="20"/>
        <v>186.7</v>
      </c>
      <c r="D90" s="61">
        <f t="shared" si="20"/>
        <v>-181.6</v>
      </c>
      <c r="E90" s="61">
        <f t="shared" si="20"/>
        <v>-172.3</v>
      </c>
      <c r="F90" s="61">
        <f t="shared" si="20"/>
        <v>-149.19999999999999</v>
      </c>
      <c r="G90" s="61">
        <f t="shared" si="20"/>
        <v>-136.5</v>
      </c>
      <c r="H90" s="61">
        <f t="shared" si="20"/>
        <v>-128.6</v>
      </c>
      <c r="I90" s="61">
        <f t="shared" si="20"/>
        <v>-152</v>
      </c>
      <c r="J90" s="61">
        <f t="shared" si="20"/>
        <v>-160.69999999999999</v>
      </c>
      <c r="K90" s="61">
        <f t="shared" si="20"/>
        <v>-205.1</v>
      </c>
      <c r="L90" s="61">
        <f t="shared" si="20"/>
        <v>-170.8</v>
      </c>
      <c r="M90" s="61">
        <f t="shared" si="20"/>
        <v>-249.4</v>
      </c>
      <c r="N90" s="61">
        <f t="shared" si="20"/>
        <v>-205.5</v>
      </c>
      <c r="O90" s="61">
        <f t="shared" si="20"/>
        <v>-207.5</v>
      </c>
      <c r="P90" s="61">
        <f t="shared" si="20"/>
        <v>-196.2</v>
      </c>
      <c r="Q90" s="61">
        <f t="shared" si="20"/>
        <v>-203.6</v>
      </c>
      <c r="R90" s="61">
        <f t="shared" si="20"/>
        <v>-202.9</v>
      </c>
      <c r="S90" s="61">
        <f t="shared" si="20"/>
        <v>-200</v>
      </c>
      <c r="T90" s="61">
        <f t="shared" si="20"/>
        <v>-220</v>
      </c>
      <c r="U90" s="61">
        <f t="shared" si="20"/>
        <v>-205</v>
      </c>
      <c r="V90" s="61">
        <f t="shared" si="20"/>
        <v>-219</v>
      </c>
      <c r="W90" s="61">
        <f t="shared" si="20"/>
        <v>-232</v>
      </c>
      <c r="X90" s="61">
        <f t="shared" si="20"/>
        <v>-229.5</v>
      </c>
      <c r="Y90" s="61">
        <f t="shared" si="20"/>
        <v>-226</v>
      </c>
      <c r="Z90" s="61">
        <f t="shared" si="20"/>
        <v>-219</v>
      </c>
      <c r="AA90" s="61">
        <f t="shared" si="20"/>
        <v>-275.5</v>
      </c>
      <c r="AB90" s="61">
        <f t="shared" si="20"/>
        <v>-285</v>
      </c>
      <c r="AC90" s="61">
        <f t="shared" si="20"/>
        <v>-302</v>
      </c>
      <c r="AD90" s="61">
        <f t="shared" si="20"/>
        <v>-300</v>
      </c>
      <c r="AE90" s="61">
        <f t="shared" si="20"/>
        <v>-297</v>
      </c>
      <c r="AF90" s="61">
        <f t="shared" si="20"/>
        <v>-253</v>
      </c>
      <c r="AG90" s="81"/>
      <c r="AH90" s="48">
        <f t="shared" si="9"/>
        <v>186.7</v>
      </c>
      <c r="AI90" s="49">
        <f t="shared" si="10"/>
        <v>-302</v>
      </c>
    </row>
    <row r="91" spans="1:37" x14ac:dyDescent="0.25">
      <c r="A91" s="88" t="s">
        <v>96</v>
      </c>
      <c r="B91" s="89">
        <v>49.97</v>
      </c>
      <c r="C91" s="89">
        <v>50.01</v>
      </c>
      <c r="D91" s="89">
        <v>50</v>
      </c>
      <c r="E91" s="89">
        <v>50.02</v>
      </c>
      <c r="F91" s="89">
        <v>49.984000000000002</v>
      </c>
      <c r="G91" s="89">
        <v>50.012</v>
      </c>
      <c r="H91" s="89">
        <v>49.932000000000002</v>
      </c>
      <c r="I91" s="89">
        <v>50.009</v>
      </c>
      <c r="J91" s="89">
        <v>50.012</v>
      </c>
      <c r="K91" s="89">
        <v>49.96</v>
      </c>
      <c r="L91" s="89">
        <v>49.98</v>
      </c>
      <c r="M91" s="89">
        <v>50.058999999999997</v>
      </c>
      <c r="N91" s="89">
        <v>50.02</v>
      </c>
      <c r="O91" s="89">
        <v>49.92</v>
      </c>
      <c r="P91" s="89">
        <v>50.109000000000002</v>
      </c>
      <c r="Q91" s="89">
        <v>49.970999999999997</v>
      </c>
      <c r="R91" s="89">
        <v>50.037999999999997</v>
      </c>
      <c r="S91" s="89">
        <v>50.051000000000002</v>
      </c>
      <c r="T91" s="89">
        <v>50.006999999999998</v>
      </c>
      <c r="U91" s="89">
        <v>50.023000000000003</v>
      </c>
      <c r="V91" s="89">
        <v>49.99</v>
      </c>
      <c r="W91" s="89">
        <v>49.926000000000002</v>
      </c>
      <c r="X91" s="89">
        <v>49.984000000000002</v>
      </c>
      <c r="Y91" s="89">
        <v>49.978999999999999</v>
      </c>
      <c r="Z91" s="89">
        <v>50.04</v>
      </c>
      <c r="AA91" s="89">
        <v>49.962000000000003</v>
      </c>
      <c r="AB91" s="89">
        <v>50.11</v>
      </c>
      <c r="AC91" s="89">
        <v>50.023000000000003</v>
      </c>
      <c r="AD91" s="89">
        <v>50.003999999999998</v>
      </c>
      <c r="AE91" s="89">
        <v>50.027999999999999</v>
      </c>
      <c r="AF91" s="89">
        <v>49.954999999999998</v>
      </c>
      <c r="AG91" s="90"/>
      <c r="AH91" s="48">
        <f t="shared" si="9"/>
        <v>50.11</v>
      </c>
      <c r="AI91" s="49">
        <f t="shared" si="10"/>
        <v>49.92</v>
      </c>
    </row>
    <row r="92" spans="1:37" x14ac:dyDescent="0.25">
      <c r="A92" s="91" t="s">
        <v>97</v>
      </c>
      <c r="B92" s="65">
        <v>127.2</v>
      </c>
      <c r="C92" s="65">
        <v>128.30000000000001</v>
      </c>
      <c r="D92" s="65">
        <v>128.80000000000001</v>
      </c>
      <c r="E92" s="65">
        <v>128.9</v>
      </c>
      <c r="F92" s="65">
        <v>128.5</v>
      </c>
      <c r="G92" s="65">
        <v>128</v>
      </c>
      <c r="H92" s="65">
        <v>127.5</v>
      </c>
      <c r="I92" s="65">
        <v>126.8</v>
      </c>
      <c r="J92" s="65">
        <v>126.8</v>
      </c>
      <c r="K92" s="65">
        <v>124.4</v>
      </c>
      <c r="L92" s="65">
        <v>122.8</v>
      </c>
      <c r="M92" s="65">
        <v>123.3</v>
      </c>
      <c r="N92" s="65">
        <v>123.9</v>
      </c>
      <c r="O92" s="65">
        <v>123.3</v>
      </c>
      <c r="P92" s="65">
        <v>124.7</v>
      </c>
      <c r="Q92" s="65">
        <v>123.3</v>
      </c>
      <c r="R92" s="65">
        <v>124.9</v>
      </c>
      <c r="S92" s="65">
        <v>124.7</v>
      </c>
      <c r="T92" s="65">
        <v>123.4</v>
      </c>
      <c r="U92" s="65">
        <v>125</v>
      </c>
      <c r="V92" s="65">
        <v>127</v>
      </c>
      <c r="W92" s="65">
        <v>126</v>
      </c>
      <c r="X92" s="65">
        <v>126</v>
      </c>
      <c r="Y92" s="65">
        <v>127.9</v>
      </c>
      <c r="Z92" s="65">
        <v>127.2</v>
      </c>
      <c r="AA92" s="65">
        <v>126.9</v>
      </c>
      <c r="AB92" s="65">
        <v>127.7</v>
      </c>
      <c r="AC92" s="65">
        <v>127.5</v>
      </c>
      <c r="AD92" s="65">
        <v>127.9</v>
      </c>
      <c r="AE92" s="65">
        <v>128.5</v>
      </c>
      <c r="AF92" s="65">
        <v>128.5</v>
      </c>
      <c r="AG92" s="92"/>
      <c r="AH92" s="48">
        <f t="shared" si="9"/>
        <v>128.9</v>
      </c>
      <c r="AI92" s="49">
        <f t="shared" si="10"/>
        <v>122.8</v>
      </c>
    </row>
    <row r="93" spans="1:37" x14ac:dyDescent="0.25">
      <c r="A93" s="91" t="s">
        <v>98</v>
      </c>
      <c r="B93" s="65">
        <v>131.4</v>
      </c>
      <c r="C93" s="65">
        <v>132.19999999999999</v>
      </c>
      <c r="D93" s="65">
        <v>132.69999999999999</v>
      </c>
      <c r="E93" s="65">
        <v>132.6</v>
      </c>
      <c r="F93" s="65">
        <v>132.30000000000001</v>
      </c>
      <c r="G93" s="65">
        <v>131.4</v>
      </c>
      <c r="H93" s="65">
        <v>130.9</v>
      </c>
      <c r="I93" s="65">
        <v>129.9</v>
      </c>
      <c r="J93" s="65">
        <v>129.5</v>
      </c>
      <c r="K93" s="65">
        <v>127.8</v>
      </c>
      <c r="L93" s="65">
        <v>126.5</v>
      </c>
      <c r="M93" s="65">
        <v>126.8</v>
      </c>
      <c r="N93" s="65">
        <v>127.1</v>
      </c>
      <c r="O93" s="65">
        <v>126.5</v>
      </c>
      <c r="P93" s="65">
        <v>127.9</v>
      </c>
      <c r="Q93" s="65">
        <v>127.1</v>
      </c>
      <c r="R93" s="65">
        <v>128.4</v>
      </c>
      <c r="S93" s="65">
        <v>128.30000000000001</v>
      </c>
      <c r="T93" s="65">
        <v>127.1</v>
      </c>
      <c r="U93" s="65">
        <v>128</v>
      </c>
      <c r="V93" s="65">
        <v>129.30000000000001</v>
      </c>
      <c r="W93" s="65">
        <v>128.1</v>
      </c>
      <c r="X93" s="65">
        <v>128</v>
      </c>
      <c r="Y93" s="65">
        <v>129.6</v>
      </c>
      <c r="Z93" s="65">
        <v>129.30000000000001</v>
      </c>
      <c r="AA93" s="65">
        <v>129</v>
      </c>
      <c r="AB93" s="65">
        <v>130.1</v>
      </c>
      <c r="AC93" s="65">
        <v>130.5</v>
      </c>
      <c r="AD93" s="65">
        <v>131.1</v>
      </c>
      <c r="AE93" s="65">
        <v>131.80000000000001</v>
      </c>
      <c r="AF93" s="65">
        <v>132.4</v>
      </c>
      <c r="AG93" s="92"/>
      <c r="AH93" s="48">
        <f t="shared" si="9"/>
        <v>132.69999999999999</v>
      </c>
      <c r="AI93" s="49">
        <f t="shared" si="10"/>
        <v>126.5</v>
      </c>
    </row>
    <row r="94" spans="1:37" x14ac:dyDescent="0.25">
      <c r="A94" s="91" t="s">
        <v>99</v>
      </c>
      <c r="B94" s="65">
        <v>132.1</v>
      </c>
      <c r="C94" s="65">
        <v>132.30000000000001</v>
      </c>
      <c r="D94" s="65">
        <v>132.30000000000001</v>
      </c>
      <c r="E94" s="65">
        <v>131.80000000000001</v>
      </c>
      <c r="F94" s="65">
        <v>131.6</v>
      </c>
      <c r="G94" s="65">
        <v>130.6</v>
      </c>
      <c r="H94" s="65">
        <v>129.69999999999999</v>
      </c>
      <c r="I94" s="65">
        <v>129</v>
      </c>
      <c r="J94" s="65">
        <v>129.19999999999999</v>
      </c>
      <c r="K94" s="65">
        <v>127.6</v>
      </c>
      <c r="L94" s="65">
        <v>124.5</v>
      </c>
      <c r="M94" s="65">
        <v>129.5</v>
      </c>
      <c r="N94" s="65">
        <v>131.4</v>
      </c>
      <c r="O94" s="65">
        <v>129.9</v>
      </c>
      <c r="P94" s="65">
        <v>130.9</v>
      </c>
      <c r="Q94" s="65">
        <v>131.9</v>
      </c>
      <c r="R94" s="65">
        <v>131.19999999999999</v>
      </c>
      <c r="S94" s="65">
        <v>130</v>
      </c>
      <c r="T94" s="65">
        <v>130.1</v>
      </c>
      <c r="U94" s="65">
        <v>131.69999999999999</v>
      </c>
      <c r="V94" s="65">
        <v>130.69999999999999</v>
      </c>
      <c r="W94" s="65">
        <v>129.5</v>
      </c>
      <c r="X94" s="65">
        <v>130</v>
      </c>
      <c r="Y94" s="65">
        <v>130.1</v>
      </c>
      <c r="Z94" s="65">
        <v>132.5</v>
      </c>
      <c r="AA94" s="65">
        <v>131.69999999999999</v>
      </c>
      <c r="AB94" s="65">
        <v>132.6</v>
      </c>
      <c r="AC94" s="65">
        <v>132.1</v>
      </c>
      <c r="AD94" s="65">
        <v>132.4</v>
      </c>
      <c r="AE94" s="65">
        <v>132.69999999999999</v>
      </c>
      <c r="AF94" s="65">
        <v>130</v>
      </c>
      <c r="AG94" s="92"/>
      <c r="AH94" s="48">
        <f t="shared" si="9"/>
        <v>132.69999999999999</v>
      </c>
      <c r="AI94" s="49">
        <f t="shared" si="10"/>
        <v>124.5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133.30000000000001</v>
      </c>
      <c r="C96" s="94">
        <v>133.5</v>
      </c>
      <c r="D96" s="94">
        <v>134.9</v>
      </c>
      <c r="E96" s="94">
        <v>135.6</v>
      </c>
      <c r="F96" s="94">
        <v>133.19999999999999</v>
      </c>
      <c r="G96" s="94">
        <v>132.30000000000001</v>
      </c>
      <c r="H96" s="94">
        <v>131.1</v>
      </c>
      <c r="I96" s="94">
        <v>133.5</v>
      </c>
      <c r="J96" s="94">
        <v>131.19999999999999</v>
      </c>
      <c r="K96" s="94">
        <v>131.1</v>
      </c>
      <c r="L96" s="94">
        <v>132.4</v>
      </c>
      <c r="M96" s="94">
        <v>134.4</v>
      </c>
      <c r="N96" s="94">
        <v>129.9</v>
      </c>
      <c r="O96" s="94">
        <v>130.4</v>
      </c>
      <c r="P96" s="94">
        <v>134.30000000000001</v>
      </c>
      <c r="Q96" s="94">
        <v>135.4</v>
      </c>
      <c r="R96" s="94">
        <v>133.80000000000001</v>
      </c>
      <c r="S96" s="94">
        <v>133.6</v>
      </c>
      <c r="T96" s="94">
        <v>132.9</v>
      </c>
      <c r="U96" s="94">
        <v>132.4</v>
      </c>
      <c r="V96" s="94">
        <v>134.19999999999999</v>
      </c>
      <c r="W96" s="94">
        <v>132.9</v>
      </c>
      <c r="X96" s="94">
        <v>133.30000000000001</v>
      </c>
      <c r="Y96" s="94">
        <v>134.9</v>
      </c>
      <c r="Z96" s="94">
        <v>132.9</v>
      </c>
      <c r="AA96" s="94">
        <v>134.5</v>
      </c>
      <c r="AB96" s="94">
        <v>134.6</v>
      </c>
      <c r="AC96" s="94">
        <v>134.30000000000001</v>
      </c>
      <c r="AD96" s="94">
        <v>134.6</v>
      </c>
      <c r="AE96" s="94">
        <v>135.80000000000001</v>
      </c>
      <c r="AF96" s="94">
        <v>134.4</v>
      </c>
      <c r="AG96" s="95"/>
      <c r="AH96" s="48">
        <f t="shared" si="9"/>
        <v>135.80000000000001</v>
      </c>
      <c r="AI96" s="49">
        <f t="shared" si="10"/>
        <v>129.9</v>
      </c>
    </row>
    <row r="97" spans="1:38" x14ac:dyDescent="0.25">
      <c r="A97" s="91" t="s">
        <v>102</v>
      </c>
      <c r="B97" s="65">
        <v>135.30000000000001</v>
      </c>
      <c r="C97" s="65">
        <v>135.4</v>
      </c>
      <c r="D97" s="65">
        <v>136.80000000000001</v>
      </c>
      <c r="E97" s="65">
        <v>137.19999999999999</v>
      </c>
      <c r="F97" s="65">
        <v>134.19999999999999</v>
      </c>
      <c r="G97" s="65" t="s">
        <v>103</v>
      </c>
      <c r="H97" s="65">
        <v>130.1</v>
      </c>
      <c r="I97" s="65">
        <v>130.19999999999999</v>
      </c>
      <c r="J97" s="65">
        <v>131.1</v>
      </c>
      <c r="K97" s="65">
        <v>130.4</v>
      </c>
      <c r="L97" s="65">
        <v>130.80000000000001</v>
      </c>
      <c r="M97" s="65">
        <v>131.9</v>
      </c>
      <c r="N97" s="65">
        <v>129.9</v>
      </c>
      <c r="O97" s="65">
        <v>128.30000000000001</v>
      </c>
      <c r="P97" s="65">
        <v>133.6</v>
      </c>
      <c r="Q97" s="65">
        <v>134.80000000000001</v>
      </c>
      <c r="R97" s="65">
        <v>132.30000000000001</v>
      </c>
      <c r="S97" s="65">
        <v>132</v>
      </c>
      <c r="T97" s="65">
        <v>131.19999999999999</v>
      </c>
      <c r="U97" s="65">
        <v>131</v>
      </c>
      <c r="V97" s="65">
        <v>134</v>
      </c>
      <c r="W97" s="65">
        <v>131.30000000000001</v>
      </c>
      <c r="X97" s="65">
        <v>130.30000000000001</v>
      </c>
      <c r="Y97" s="65">
        <v>134.1</v>
      </c>
      <c r="Z97" s="65">
        <v>131.5</v>
      </c>
      <c r="AA97" s="65">
        <v>133.4</v>
      </c>
      <c r="AB97" s="65">
        <v>135.5</v>
      </c>
      <c r="AC97" s="65">
        <v>133.30000000000001</v>
      </c>
      <c r="AD97" s="65">
        <v>134.6</v>
      </c>
      <c r="AE97" s="65">
        <v>134.9</v>
      </c>
      <c r="AF97" s="65">
        <v>134.5</v>
      </c>
      <c r="AG97" s="92"/>
      <c r="AH97" s="48">
        <f t="shared" si="9"/>
        <v>137.19999999999999</v>
      </c>
      <c r="AI97" s="49">
        <f t="shared" si="10"/>
        <v>128.30000000000001</v>
      </c>
    </row>
    <row r="98" spans="1:38" ht="15.75" thickBot="1" x14ac:dyDescent="0.3">
      <c r="A98" s="91" t="s">
        <v>104</v>
      </c>
      <c r="B98" s="96">
        <v>66.2</v>
      </c>
      <c r="C98" s="96">
        <v>66.400000000000006</v>
      </c>
      <c r="D98" s="96">
        <v>66.599999999999994</v>
      </c>
      <c r="E98" s="96">
        <v>66.900000000000006</v>
      </c>
      <c r="F98" s="96">
        <v>66.599999999999994</v>
      </c>
      <c r="G98" s="96">
        <v>66.099999999999994</v>
      </c>
      <c r="H98" s="96">
        <v>65.7</v>
      </c>
      <c r="I98" s="96">
        <v>65.3</v>
      </c>
      <c r="J98" s="96">
        <v>65</v>
      </c>
      <c r="K98" s="96">
        <v>64.2</v>
      </c>
      <c r="L98" s="96">
        <v>63.5</v>
      </c>
      <c r="M98" s="96">
        <v>63.5</v>
      </c>
      <c r="N98" s="96">
        <v>63.9</v>
      </c>
      <c r="O98" s="96">
        <v>63.3</v>
      </c>
      <c r="P98" s="96">
        <v>64.099999999999994</v>
      </c>
      <c r="Q98" s="96">
        <v>63.8</v>
      </c>
      <c r="R98" s="96">
        <v>64.5</v>
      </c>
      <c r="S98" s="96">
        <v>64.5</v>
      </c>
      <c r="T98" s="96">
        <v>63.5</v>
      </c>
      <c r="U98" s="96">
        <v>64.2</v>
      </c>
      <c r="V98" s="96">
        <v>64.8</v>
      </c>
      <c r="W98" s="96">
        <v>64.2</v>
      </c>
      <c r="X98" s="96">
        <v>64.2</v>
      </c>
      <c r="Y98" s="96">
        <v>65.099999999999994</v>
      </c>
      <c r="Z98" s="96">
        <v>64.8</v>
      </c>
      <c r="AA98" s="96">
        <v>64.900000000000006</v>
      </c>
      <c r="AB98" s="96">
        <v>65.400000000000006</v>
      </c>
      <c r="AC98" s="96">
        <v>65.599999999999994</v>
      </c>
      <c r="AD98" s="96">
        <v>66</v>
      </c>
      <c r="AE98" s="96">
        <v>66.5</v>
      </c>
      <c r="AF98" s="96">
        <v>66.7</v>
      </c>
      <c r="AG98" s="97"/>
      <c r="AH98" s="48">
        <f t="shared" si="9"/>
        <v>66.900000000000006</v>
      </c>
      <c r="AI98" s="49">
        <f t="shared" si="10"/>
        <v>63.3</v>
      </c>
    </row>
    <row r="99" spans="1:38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8" ht="15.75" thickBot="1" x14ac:dyDescent="0.3">
      <c r="A100" s="99" t="s">
        <v>105</v>
      </c>
      <c r="B100" s="100">
        <f t="shared" ref="B100:AF100" si="21">SUM(B15,B20,B22:B23,B48,B50:B51,B53,B55,B101:B105,B127,B133,B139,B148,B150,B162,B169,B172:B173,B180,B182,B184,B188:B190,B192:B194,B199,B205:B206,B208:B210,B218,B223)</f>
        <v>43.700000000000017</v>
      </c>
      <c r="C100" s="100">
        <f t="shared" si="21"/>
        <v>36.540000000000006</v>
      </c>
      <c r="D100" s="100">
        <f t="shared" si="21"/>
        <v>33.64</v>
      </c>
      <c r="E100" s="100">
        <f t="shared" si="21"/>
        <v>37.439999999999984</v>
      </c>
      <c r="F100" s="100">
        <f t="shared" si="21"/>
        <v>41.339999999999989</v>
      </c>
      <c r="G100" s="100">
        <f t="shared" si="21"/>
        <v>64.539999999999992</v>
      </c>
      <c r="H100" s="100">
        <f t="shared" si="21"/>
        <v>101.73999999999998</v>
      </c>
      <c r="I100" s="100">
        <f t="shared" si="21"/>
        <v>141.34000000000003</v>
      </c>
      <c r="J100" s="100">
        <f t="shared" si="21"/>
        <v>173.54000000000002</v>
      </c>
      <c r="K100" s="100">
        <f t="shared" si="21"/>
        <v>218.03999999999996</v>
      </c>
      <c r="L100" s="100">
        <f t="shared" si="21"/>
        <v>245.04000000000002</v>
      </c>
      <c r="M100" s="100">
        <f t="shared" si="21"/>
        <v>230.64</v>
      </c>
      <c r="N100" s="100">
        <f t="shared" si="21"/>
        <v>214.44000000000003</v>
      </c>
      <c r="O100" s="100">
        <f t="shared" si="21"/>
        <v>211.94000000000003</v>
      </c>
      <c r="P100" s="100">
        <f t="shared" si="21"/>
        <v>201.23999999999995</v>
      </c>
      <c r="Q100" s="100">
        <f t="shared" si="21"/>
        <v>182.6</v>
      </c>
      <c r="R100" s="100">
        <f t="shared" si="21"/>
        <v>159.30000000000001</v>
      </c>
      <c r="S100" s="100">
        <f t="shared" si="21"/>
        <v>164.70000000000002</v>
      </c>
      <c r="T100" s="100">
        <f t="shared" si="21"/>
        <v>176.39999999999998</v>
      </c>
      <c r="U100" s="100">
        <f t="shared" si="21"/>
        <v>184.30000000000004</v>
      </c>
      <c r="V100" s="100">
        <f t="shared" si="21"/>
        <v>233.40000000000003</v>
      </c>
      <c r="W100" s="100">
        <f t="shared" si="21"/>
        <v>267.8</v>
      </c>
      <c r="X100" s="100">
        <f>SUM(X13,X20,X22,X48,X50:X51,X53,X55,X101:X105,X127,X133,X139,X148,X150,X162,X169,X172:X173,X180,X182,X184,X188:X190,X192:X194,X199,X205:X206,X208:X210,X218,X223)</f>
        <v>294.7</v>
      </c>
      <c r="Y100" s="100">
        <f>SUM(Y13,Y20,Y22:Y23,Y48,Y50:Y51,Y53,Y55,Y101:Y105,Y127,Y133,Y139,Y148,Y150,Y162,Y169,Y172:Y173,Y180,Y182,Y184,Y188:Y190,Y192:Y194,Y199,Y205:Y206,Y208:Y210,Y218,Y223)</f>
        <v>289.60000000000002</v>
      </c>
      <c r="Z100" s="100">
        <f t="shared" si="21"/>
        <v>260.89999999999992</v>
      </c>
      <c r="AA100" s="100">
        <f t="shared" si="21"/>
        <v>236.39999999999998</v>
      </c>
      <c r="AB100" s="100">
        <f t="shared" si="21"/>
        <v>210</v>
      </c>
      <c r="AC100" s="100">
        <f t="shared" si="21"/>
        <v>177.4</v>
      </c>
      <c r="AD100" s="100">
        <f t="shared" si="21"/>
        <v>151.30000000000004</v>
      </c>
      <c r="AE100" s="100">
        <f t="shared" si="21"/>
        <v>96.399999999999977</v>
      </c>
      <c r="AF100" s="100">
        <f t="shared" si="21"/>
        <v>75.899999999999991</v>
      </c>
      <c r="AG100" s="101"/>
      <c r="AH100" s="48">
        <f t="shared" si="9"/>
        <v>294.7</v>
      </c>
      <c r="AI100" s="49">
        <f t="shared" si="10"/>
        <v>33.64</v>
      </c>
      <c r="AL100" s="49">
        <f>51+48+76+53+60+30+21+22+31-29</f>
        <v>363</v>
      </c>
    </row>
    <row r="101" spans="1:38" x14ac:dyDescent="0.25">
      <c r="A101" s="88" t="s">
        <v>106</v>
      </c>
      <c r="B101" s="102">
        <v>34.799999999999997</v>
      </c>
      <c r="C101" s="102">
        <v>34.5</v>
      </c>
      <c r="D101" s="102">
        <v>34.1</v>
      </c>
      <c r="E101" s="102">
        <v>30.8</v>
      </c>
      <c r="F101" s="102">
        <v>30.8</v>
      </c>
      <c r="G101" s="102">
        <v>36.9</v>
      </c>
      <c r="H101" s="102">
        <v>40.6</v>
      </c>
      <c r="I101" s="102">
        <v>48.1</v>
      </c>
      <c r="J101" s="102">
        <v>40.700000000000003</v>
      </c>
      <c r="K101" s="102">
        <v>44.7</v>
      </c>
      <c r="L101" s="102">
        <v>41</v>
      </c>
      <c r="M101" s="102">
        <v>46.2</v>
      </c>
      <c r="N101" s="102">
        <v>52.5</v>
      </c>
      <c r="O101" s="102">
        <v>52.7</v>
      </c>
      <c r="P101" s="102">
        <v>54.6</v>
      </c>
      <c r="Q101" s="102">
        <v>59.6</v>
      </c>
      <c r="R101" s="102">
        <v>53.7</v>
      </c>
      <c r="S101" s="102">
        <v>58.2</v>
      </c>
      <c r="T101" s="102">
        <v>63.3</v>
      </c>
      <c r="U101" s="102">
        <v>53.7</v>
      </c>
      <c r="V101" s="102">
        <v>51.2</v>
      </c>
      <c r="W101" s="102">
        <v>52</v>
      </c>
      <c r="X101" s="102">
        <v>48.7</v>
      </c>
      <c r="Y101" s="102">
        <v>52.4</v>
      </c>
      <c r="Z101" s="102">
        <v>56.9</v>
      </c>
      <c r="AA101" s="102">
        <v>62.4</v>
      </c>
      <c r="AB101" s="102">
        <v>59.2</v>
      </c>
      <c r="AC101" s="102">
        <v>59.2</v>
      </c>
      <c r="AD101" s="102">
        <v>57.3</v>
      </c>
      <c r="AE101" s="102">
        <v>43.4</v>
      </c>
      <c r="AF101" s="102">
        <v>32.700000000000003</v>
      </c>
      <c r="AG101" s="103">
        <v>75</v>
      </c>
      <c r="AH101" s="48">
        <f t="shared" si="9"/>
        <v>63.3</v>
      </c>
      <c r="AI101" s="49">
        <f t="shared" si="10"/>
        <v>30.8</v>
      </c>
    </row>
    <row r="102" spans="1:38" x14ac:dyDescent="0.25">
      <c r="A102" s="91" t="s">
        <v>107</v>
      </c>
      <c r="B102" s="104">
        <v>55.1</v>
      </c>
      <c r="C102" s="104">
        <v>53.9</v>
      </c>
      <c r="D102" s="104">
        <v>54.2</v>
      </c>
      <c r="E102" s="104">
        <v>48.2</v>
      </c>
      <c r="F102" s="104">
        <v>48.2</v>
      </c>
      <c r="G102" s="104">
        <v>58</v>
      </c>
      <c r="H102" s="104">
        <v>64.2</v>
      </c>
      <c r="I102" s="104">
        <v>76.2</v>
      </c>
      <c r="J102" s="104">
        <v>60.8</v>
      </c>
      <c r="K102" s="104">
        <v>66.7</v>
      </c>
      <c r="L102" s="104">
        <v>60.4</v>
      </c>
      <c r="M102" s="104">
        <v>67.599999999999994</v>
      </c>
      <c r="N102" s="104">
        <v>80.2</v>
      </c>
      <c r="O102" s="104">
        <v>80.3</v>
      </c>
      <c r="P102" s="104">
        <v>84.6</v>
      </c>
      <c r="Q102" s="104">
        <v>91.8</v>
      </c>
      <c r="R102" s="104">
        <v>85.5</v>
      </c>
      <c r="S102" s="104">
        <v>88.8</v>
      </c>
      <c r="T102" s="104">
        <v>94</v>
      </c>
      <c r="U102" s="104">
        <v>78.400000000000006</v>
      </c>
      <c r="V102" s="104">
        <v>74.3</v>
      </c>
      <c r="W102" s="104">
        <v>72</v>
      </c>
      <c r="X102" s="104">
        <v>70</v>
      </c>
      <c r="Y102" s="104">
        <v>76</v>
      </c>
      <c r="Z102" s="104">
        <v>82.1</v>
      </c>
      <c r="AA102" s="104">
        <v>90.4</v>
      </c>
      <c r="AB102" s="104">
        <v>86.2</v>
      </c>
      <c r="AC102" s="104">
        <v>86.5</v>
      </c>
      <c r="AD102" s="104">
        <v>82.8</v>
      </c>
      <c r="AE102" s="104">
        <v>59.5</v>
      </c>
      <c r="AF102" s="104">
        <v>50.7</v>
      </c>
      <c r="AG102" s="103">
        <v>240</v>
      </c>
      <c r="AH102" s="48">
        <f t="shared" si="9"/>
        <v>94</v>
      </c>
      <c r="AI102" s="49">
        <f t="shared" si="10"/>
        <v>48.2</v>
      </c>
    </row>
    <row r="103" spans="1:38" x14ac:dyDescent="0.25">
      <c r="A103" s="91" t="s">
        <v>108</v>
      </c>
      <c r="B103" s="104">
        <f>-74.8-78.6</f>
        <v>-153.39999999999998</v>
      </c>
      <c r="C103" s="104">
        <f>-71.2-75.7</f>
        <v>-146.9</v>
      </c>
      <c r="D103" s="104">
        <f>-74.3-77.7</f>
        <v>-152</v>
      </c>
      <c r="E103" s="104">
        <v>-138</v>
      </c>
      <c r="F103" s="104">
        <v>-135</v>
      </c>
      <c r="G103" s="104">
        <v>-129</v>
      </c>
      <c r="H103" s="104">
        <v>-118</v>
      </c>
      <c r="I103" s="104">
        <v>-131</v>
      </c>
      <c r="J103" s="104">
        <v>-85</v>
      </c>
      <c r="K103" s="104">
        <v>-51.8</v>
      </c>
      <c r="L103" s="104">
        <v>-17</v>
      </c>
      <c r="M103" s="104">
        <v>-43</v>
      </c>
      <c r="N103" s="104">
        <f>-37-40</f>
        <v>-77</v>
      </c>
      <c r="O103" s="104">
        <f>-37-41</f>
        <v>-78</v>
      </c>
      <c r="P103" s="104">
        <f>-44.5-47.5</f>
        <v>-92</v>
      </c>
      <c r="Q103" s="104">
        <f>-56-62</f>
        <v>-118</v>
      </c>
      <c r="R103" s="104">
        <f>-62-66</f>
        <v>-128</v>
      </c>
      <c r="S103" s="104">
        <v>-129.30000000000001</v>
      </c>
      <c r="T103" s="104">
        <v>-124.6</v>
      </c>
      <c r="U103" s="104">
        <v>-100</v>
      </c>
      <c r="V103" s="104">
        <v>-50</v>
      </c>
      <c r="W103" s="104">
        <v>-21</v>
      </c>
      <c r="X103" s="104">
        <v>1.5</v>
      </c>
      <c r="Y103" s="104">
        <v>-23</v>
      </c>
      <c r="Z103" s="104">
        <v>-45.3</v>
      </c>
      <c r="AA103" s="104">
        <v>-78</v>
      </c>
      <c r="AB103" s="104">
        <f>-45-48.6</f>
        <v>-93.6</v>
      </c>
      <c r="AC103" s="104">
        <f>-56-60</f>
        <v>-116</v>
      </c>
      <c r="AD103" s="104">
        <f>-62-66</f>
        <v>-128</v>
      </c>
      <c r="AE103" s="104">
        <f>-63.3-67</f>
        <v>-130.30000000000001</v>
      </c>
      <c r="AF103" s="104">
        <f>-62-65</f>
        <v>-127</v>
      </c>
      <c r="AG103" s="103">
        <v>240</v>
      </c>
      <c r="AH103" s="48">
        <f t="shared" si="9"/>
        <v>1.5</v>
      </c>
      <c r="AI103" s="49">
        <f t="shared" si="10"/>
        <v>-153.39999999999998</v>
      </c>
    </row>
    <row r="104" spans="1:38" x14ac:dyDescent="0.25">
      <c r="A104" s="91" t="s">
        <v>109</v>
      </c>
      <c r="B104" s="104">
        <v>-12</v>
      </c>
      <c r="C104" s="104">
        <v>-15.8</v>
      </c>
      <c r="D104" s="104">
        <v>-13.8</v>
      </c>
      <c r="E104" s="104">
        <v>-14.7</v>
      </c>
      <c r="F104" s="104">
        <v>-13.8</v>
      </c>
      <c r="G104" s="104">
        <v>-12.4</v>
      </c>
      <c r="H104" s="104">
        <v>-6.6</v>
      </c>
      <c r="I104" s="104">
        <v>-7.2</v>
      </c>
      <c r="J104" s="104">
        <v>1.3</v>
      </c>
      <c r="K104" s="104">
        <v>4.3</v>
      </c>
      <c r="L104" s="104">
        <v>10</v>
      </c>
      <c r="M104" s="104">
        <v>5.7</v>
      </c>
      <c r="N104" s="104">
        <v>4.4000000000000004</v>
      </c>
      <c r="O104" s="104">
        <v>2.9</v>
      </c>
      <c r="P104" s="104">
        <v>0</v>
      </c>
      <c r="Q104" s="104">
        <v>-3.9</v>
      </c>
      <c r="R104" s="104">
        <v>-5</v>
      </c>
      <c r="S104" s="104">
        <v>-3.6</v>
      </c>
      <c r="T104" s="104">
        <v>-6.4</v>
      </c>
      <c r="U104" s="104">
        <v>1.6</v>
      </c>
      <c r="V104" s="104">
        <v>11.3</v>
      </c>
      <c r="W104" s="104">
        <v>18.2</v>
      </c>
      <c r="X104" s="104">
        <v>23.3</v>
      </c>
      <c r="Y104" s="104">
        <v>22.6</v>
      </c>
      <c r="Z104" s="104">
        <v>19.899999999999999</v>
      </c>
      <c r="AA104" s="104">
        <v>14</v>
      </c>
      <c r="AB104" s="104">
        <v>10.6</v>
      </c>
      <c r="AC104" s="104">
        <v>6.9</v>
      </c>
      <c r="AD104" s="104">
        <v>3.4</v>
      </c>
      <c r="AE104" s="104">
        <v>-2</v>
      </c>
      <c r="AF104" s="104">
        <v>-6.3</v>
      </c>
      <c r="AG104" s="103">
        <v>60</v>
      </c>
      <c r="AH104" s="48">
        <f t="shared" si="9"/>
        <v>23.3</v>
      </c>
      <c r="AI104" s="49">
        <f t="shared" si="10"/>
        <v>-15.8</v>
      </c>
    </row>
    <row r="105" spans="1:38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8" x14ac:dyDescent="0.25">
      <c r="A106" s="105" t="s">
        <v>111</v>
      </c>
      <c r="B106" s="106">
        <v>-29.8</v>
      </c>
      <c r="C106" s="106">
        <v>-25.6</v>
      </c>
      <c r="D106" s="106">
        <v>-29.2</v>
      </c>
      <c r="E106" s="106">
        <v>-22.3</v>
      </c>
      <c r="F106" s="106">
        <v>-18.899999999999999</v>
      </c>
      <c r="G106" s="106">
        <v>-15.9</v>
      </c>
      <c r="H106" s="106">
        <v>-6</v>
      </c>
      <c r="I106" s="106">
        <v>-22.1</v>
      </c>
      <c r="J106" s="106">
        <v>27</v>
      </c>
      <c r="K106" s="106">
        <v>52.4</v>
      </c>
      <c r="L106" s="106">
        <v>82.3</v>
      </c>
      <c r="M106" s="106">
        <v>69.099999999999994</v>
      </c>
      <c r="N106" s="106">
        <v>27.4</v>
      </c>
      <c r="O106" s="106">
        <v>23.2</v>
      </c>
      <c r="P106" s="106">
        <v>15</v>
      </c>
      <c r="Q106" s="106">
        <v>-5.4</v>
      </c>
      <c r="R106" s="106">
        <v>0</v>
      </c>
      <c r="S106" s="106">
        <v>0</v>
      </c>
      <c r="T106" s="106">
        <v>0</v>
      </c>
      <c r="U106" s="106">
        <v>13.9</v>
      </c>
      <c r="V106" s="106">
        <v>39</v>
      </c>
      <c r="W106" s="106">
        <v>60</v>
      </c>
      <c r="X106" s="106">
        <v>80</v>
      </c>
      <c r="Y106" s="106">
        <v>50.2</v>
      </c>
      <c r="Z106" s="106">
        <v>28.1</v>
      </c>
      <c r="AA106" s="106">
        <v>-1.6</v>
      </c>
      <c r="AB106" s="106">
        <v>-11.7</v>
      </c>
      <c r="AC106" s="106">
        <v>-28.5</v>
      </c>
      <c r="AD106" s="106">
        <v>-37</v>
      </c>
      <c r="AE106" s="106">
        <v>-33.299999999999997</v>
      </c>
      <c r="AF106" s="106">
        <v>-11</v>
      </c>
      <c r="AG106" s="107"/>
      <c r="AH106" s="48">
        <f t="shared" si="9"/>
        <v>82.3</v>
      </c>
      <c r="AI106" s="49">
        <f t="shared" si="10"/>
        <v>-37</v>
      </c>
    </row>
    <row r="107" spans="1:38" x14ac:dyDescent="0.25">
      <c r="A107" s="105" t="s">
        <v>112</v>
      </c>
      <c r="B107" s="106">
        <v>0</v>
      </c>
      <c r="C107" s="106">
        <v>0</v>
      </c>
      <c r="D107" s="106">
        <v>0</v>
      </c>
      <c r="E107" s="106">
        <v>0</v>
      </c>
      <c r="F107" s="106">
        <v>0</v>
      </c>
      <c r="G107" s="106">
        <v>0</v>
      </c>
      <c r="H107" s="106">
        <v>0</v>
      </c>
      <c r="I107" s="106">
        <v>0</v>
      </c>
      <c r="J107" s="106">
        <v>0</v>
      </c>
      <c r="K107" s="106">
        <v>0</v>
      </c>
      <c r="L107" s="106">
        <v>0</v>
      </c>
      <c r="M107" s="106">
        <v>0</v>
      </c>
      <c r="N107" s="106">
        <v>0</v>
      </c>
      <c r="O107" s="106">
        <v>0</v>
      </c>
      <c r="P107" s="106">
        <v>0</v>
      </c>
      <c r="Q107" s="106">
        <v>-24.9</v>
      </c>
      <c r="R107" s="106">
        <v>1.8</v>
      </c>
      <c r="S107" s="106">
        <v>-2.2999999999999998</v>
      </c>
      <c r="T107" s="106">
        <v>-19.600000000000001</v>
      </c>
      <c r="U107" s="106">
        <v>0</v>
      </c>
      <c r="V107" s="106">
        <v>14.7</v>
      </c>
      <c r="W107" s="106">
        <v>21</v>
      </c>
      <c r="X107" s="106">
        <v>49</v>
      </c>
      <c r="Y107" s="106">
        <v>36</v>
      </c>
      <c r="Z107" s="106">
        <v>16.2</v>
      </c>
      <c r="AA107" s="106">
        <v>-11.3</v>
      </c>
      <c r="AB107" s="106">
        <v>-14.8</v>
      </c>
      <c r="AC107" s="106">
        <v>-12.6</v>
      </c>
      <c r="AD107" s="106">
        <v>-12.3</v>
      </c>
      <c r="AE107" s="106">
        <v>-13.6</v>
      </c>
      <c r="AF107" s="106">
        <v>-14</v>
      </c>
      <c r="AG107" s="108"/>
      <c r="AH107" s="48">
        <f t="shared" si="9"/>
        <v>49</v>
      </c>
      <c r="AI107" s="49">
        <f t="shared" si="10"/>
        <v>-24.9</v>
      </c>
    </row>
    <row r="108" spans="1:38" x14ac:dyDescent="0.25">
      <c r="A108" s="109" t="s">
        <v>113</v>
      </c>
      <c r="B108" s="94">
        <v>70.599999999999994</v>
      </c>
      <c r="C108" s="94">
        <v>70.2</v>
      </c>
      <c r="D108" s="94">
        <v>71.5</v>
      </c>
      <c r="E108" s="94">
        <v>73.5</v>
      </c>
      <c r="F108" s="94">
        <v>73.5</v>
      </c>
      <c r="G108" s="94">
        <v>69.8</v>
      </c>
      <c r="H108" s="94">
        <v>66.599999999999994</v>
      </c>
      <c r="I108" s="94">
        <v>58.4</v>
      </c>
      <c r="J108" s="94">
        <v>30.9</v>
      </c>
      <c r="K108" s="94">
        <v>26.5</v>
      </c>
      <c r="L108" s="94">
        <v>22.7</v>
      </c>
      <c r="M108" s="94">
        <v>45.5</v>
      </c>
      <c r="N108" s="94">
        <v>59.7</v>
      </c>
      <c r="O108" s="94">
        <v>57.9</v>
      </c>
      <c r="P108" s="94">
        <v>58.2</v>
      </c>
      <c r="Q108" s="94">
        <v>56.4</v>
      </c>
      <c r="R108" s="94">
        <v>37.1</v>
      </c>
      <c r="S108" s="94">
        <v>36</v>
      </c>
      <c r="T108" s="94">
        <v>34</v>
      </c>
      <c r="U108" s="94">
        <v>32.6</v>
      </c>
      <c r="V108" s="94">
        <v>10.9</v>
      </c>
      <c r="W108" s="94">
        <v>4</v>
      </c>
      <c r="X108" s="94">
        <v>12</v>
      </c>
      <c r="Y108" s="94">
        <v>13</v>
      </c>
      <c r="Z108" s="94">
        <v>14</v>
      </c>
      <c r="AA108" s="94">
        <v>22.6</v>
      </c>
      <c r="AB108" s="94">
        <v>30.6</v>
      </c>
      <c r="AC108" s="94">
        <v>34.1</v>
      </c>
      <c r="AD108" s="94">
        <v>37.4</v>
      </c>
      <c r="AE108" s="94">
        <v>40.6</v>
      </c>
      <c r="AF108" s="94">
        <v>76.3</v>
      </c>
      <c r="AG108" s="108"/>
      <c r="AH108" s="48">
        <f t="shared" si="9"/>
        <v>76.3</v>
      </c>
      <c r="AI108" s="49">
        <f t="shared" si="10"/>
        <v>4</v>
      </c>
    </row>
    <row r="109" spans="1:38" ht="15.75" thickBot="1" x14ac:dyDescent="0.3">
      <c r="A109" s="109" t="s">
        <v>114</v>
      </c>
      <c r="B109" s="94">
        <v>107.5</v>
      </c>
      <c r="C109" s="94">
        <v>102.6</v>
      </c>
      <c r="D109" s="94">
        <v>106.8</v>
      </c>
      <c r="E109" s="94">
        <v>102</v>
      </c>
      <c r="F109" s="94">
        <v>94.5</v>
      </c>
      <c r="G109" s="94">
        <v>92.5</v>
      </c>
      <c r="H109" s="94">
        <v>84.1</v>
      </c>
      <c r="I109" s="94">
        <v>92.8</v>
      </c>
      <c r="J109" s="94">
        <v>57.1</v>
      </c>
      <c r="K109" s="94">
        <v>37.799999999999997</v>
      </c>
      <c r="L109" s="94">
        <v>13.4</v>
      </c>
      <c r="M109" s="94">
        <v>26.7</v>
      </c>
      <c r="N109" s="94">
        <v>60.1</v>
      </c>
      <c r="O109" s="94">
        <v>63.1</v>
      </c>
      <c r="P109" s="94">
        <v>69.3</v>
      </c>
      <c r="Q109" s="94">
        <v>89.6</v>
      </c>
      <c r="R109" s="94">
        <v>93.5</v>
      </c>
      <c r="S109" s="94">
        <v>99</v>
      </c>
      <c r="T109" s="94">
        <v>94.1</v>
      </c>
      <c r="U109" s="94">
        <v>72.400000000000006</v>
      </c>
      <c r="V109" s="94">
        <v>35.200000000000003</v>
      </c>
      <c r="W109" s="94">
        <v>22</v>
      </c>
      <c r="X109" s="94">
        <v>19.3</v>
      </c>
      <c r="Y109" s="94">
        <v>19.3</v>
      </c>
      <c r="Z109" s="94">
        <v>38.200000000000003</v>
      </c>
      <c r="AA109" s="94">
        <v>66.8</v>
      </c>
      <c r="AB109" s="94">
        <v>75.2</v>
      </c>
      <c r="AC109" s="94">
        <v>90.6</v>
      </c>
      <c r="AD109" s="94">
        <v>98.7</v>
      </c>
      <c r="AE109" s="94">
        <v>94.2</v>
      </c>
      <c r="AF109" s="94">
        <v>94.6</v>
      </c>
      <c r="AG109" s="108"/>
      <c r="AH109" s="48">
        <f t="shared" si="9"/>
        <v>107.5</v>
      </c>
      <c r="AI109" s="49">
        <f t="shared" si="10"/>
        <v>13.4</v>
      </c>
    </row>
    <row r="110" spans="1:38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8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8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1583.54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1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2079/08/1)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2079/08/1)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6">B81</f>
        <v>1207.04</v>
      </c>
      <c r="U238" s="159">
        <f t="shared" si="26"/>
        <v>1259.5400000000002</v>
      </c>
      <c r="V238" s="159">
        <f t="shared" si="26"/>
        <v>1074.6399999999999</v>
      </c>
      <c r="W238" s="159">
        <f t="shared" si="26"/>
        <v>1053.6400000000001</v>
      </c>
      <c r="X238" s="159">
        <f t="shared" si="26"/>
        <v>1064.44</v>
      </c>
      <c r="Y238" s="159">
        <f t="shared" si="26"/>
        <v>1089.6400000000001</v>
      </c>
      <c r="Z238" s="159">
        <f t="shared" si="26"/>
        <v>1155.0400000000002</v>
      </c>
      <c r="AA238" s="159">
        <f t="shared" si="26"/>
        <v>1237.94</v>
      </c>
      <c r="AB238" s="159">
        <f t="shared" si="26"/>
        <v>1337.94</v>
      </c>
      <c r="AC238" s="159">
        <f t="shared" si="26"/>
        <v>1487.44</v>
      </c>
      <c r="AD238" s="159">
        <f t="shared" si="26"/>
        <v>1529.54</v>
      </c>
      <c r="AE238" s="159">
        <f t="shared" si="26"/>
        <v>1583.54</v>
      </c>
      <c r="AF238" s="159">
        <f t="shared" si="26"/>
        <v>1467.64</v>
      </c>
      <c r="AG238" s="159">
        <f t="shared" si="26"/>
        <v>1415.44</v>
      </c>
      <c r="AH238" s="159">
        <f t="shared" si="26"/>
        <v>1373.04</v>
      </c>
      <c r="AI238" s="159">
        <f t="shared" si="26"/>
        <v>1283.04</v>
      </c>
      <c r="AJ238" s="159">
        <f t="shared" si="26"/>
        <v>1275.04</v>
      </c>
      <c r="AK238" s="159">
        <f t="shared" si="26"/>
        <v>1266.54</v>
      </c>
      <c r="AL238" s="159">
        <f t="shared" si="26"/>
        <v>1300.94</v>
      </c>
      <c r="AM238" s="159">
        <f t="shared" si="26"/>
        <v>1351.64</v>
      </c>
      <c r="AN238" s="159">
        <f t="shared" si="26"/>
        <v>1472.64</v>
      </c>
      <c r="AO238" s="159">
        <f t="shared" si="26"/>
        <v>1590.44</v>
      </c>
      <c r="AP238" s="159">
        <f t="shared" si="26"/>
        <v>1682.34</v>
      </c>
      <c r="AQ238" s="159">
        <f t="shared" si="26"/>
        <v>1596.74</v>
      </c>
      <c r="AR238" s="159">
        <f t="shared" si="26"/>
        <v>1503.3400000000001</v>
      </c>
      <c r="AS238" s="159">
        <f t="shared" si="26"/>
        <v>1469.74</v>
      </c>
      <c r="AT238" s="159">
        <f t="shared" si="26"/>
        <v>1414.6399999999999</v>
      </c>
      <c r="AU238" s="159">
        <f t="shared" si="26"/>
        <v>1364.8400000000001</v>
      </c>
      <c r="AV238" s="159">
        <f t="shared" si="26"/>
        <v>1314.8400000000001</v>
      </c>
      <c r="AW238" s="159">
        <f t="shared" si="26"/>
        <v>1243.24</v>
      </c>
      <c r="AX238" s="159">
        <f t="shared" si="26"/>
        <v>1180.74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1032" priority="127">
      <formula>$AH11=0</formula>
    </cfRule>
  </conditionalFormatting>
  <conditionalFormatting sqref="B8 M8 S8 AB8">
    <cfRule type="expression" dxfId="1031" priority="337">
      <formula>AND(C$9&gt;=8/24,C$9&lt;14/24)</formula>
    </cfRule>
    <cfRule type="expression" dxfId="1030" priority="338">
      <formula>C$9&lt;8/24</formula>
    </cfRule>
    <cfRule type="expression" dxfId="1029" priority="336">
      <formula>AND(C$9&gt;=14/24,C$9&lt;20/24)</formula>
    </cfRule>
  </conditionalFormatting>
  <conditionalFormatting sqref="B74:B81">
    <cfRule type="expression" dxfId="1028" priority="44">
      <formula>B$9&lt;8/24</formula>
    </cfRule>
    <cfRule type="expression" dxfId="1027" priority="43">
      <formula>AND(B$9&gt;=8/24,B$9&lt;14/24)</formula>
    </cfRule>
    <cfRule type="expression" dxfId="1026" priority="41">
      <formula>B$9&gt;=20/24</formula>
    </cfRule>
    <cfRule type="expression" dxfId="1025" priority="42">
      <formula>AND(B$9&gt;=14/24,B$9&lt;20/24)</formula>
    </cfRule>
  </conditionalFormatting>
  <conditionalFormatting sqref="B11:R11">
    <cfRule type="expression" dxfId="1020" priority="236">
      <formula>B$9&gt;=20/24</formula>
    </cfRule>
    <cfRule type="expression" dxfId="1019" priority="237">
      <formula>AND(B$9&gt;=14/24,B$9&lt;20/24)</formula>
    </cfRule>
    <cfRule type="expression" dxfId="1018" priority="239">
      <formula>B$9&lt;8/24</formula>
    </cfRule>
    <cfRule type="expression" dxfId="1017" priority="238">
      <formula>AND(B$9&gt;=8/24,B$9&lt;14/24)</formula>
    </cfRule>
  </conditionalFormatting>
  <conditionalFormatting sqref="B11:R16 B18:R18">
    <cfRule type="expression" dxfId="1016" priority="108">
      <formula>B11&gt;$AG11</formula>
    </cfRule>
  </conditionalFormatting>
  <conditionalFormatting sqref="B12:R15">
    <cfRule type="expression" dxfId="1015" priority="80">
      <formula>AND(B$9&gt;=8/24,B$9&lt;14/24)</formula>
    </cfRule>
    <cfRule type="expression" dxfId="1014" priority="81">
      <formula>B$9&lt;8/24</formula>
    </cfRule>
    <cfRule type="expression" dxfId="1013" priority="78">
      <formula>B$9&gt;=20/24</formula>
    </cfRule>
    <cfRule type="expression" dxfId="1012" priority="79">
      <formula>AND(B$9&gt;=14/24,B$9&lt;20/24)</formula>
    </cfRule>
  </conditionalFormatting>
  <conditionalFormatting sqref="B16:R16">
    <cfRule type="expression" dxfId="1011" priority="116">
      <formula>B$9&lt;8/24</formula>
    </cfRule>
    <cfRule type="expression" dxfId="1010" priority="115">
      <formula>AND(B$9&gt;=8/24,B$9&lt;14/24)</formula>
    </cfRule>
    <cfRule type="expression" dxfId="1009" priority="114">
      <formula>AND(B$9&gt;=14/24,B$9&lt;20/24)</formula>
    </cfRule>
    <cfRule type="expression" dxfId="1008" priority="113">
      <formula>B$9&gt;=20/24</formula>
    </cfRule>
  </conditionalFormatting>
  <conditionalFormatting sqref="B17:R17">
    <cfRule type="expression" dxfId="1007" priority="6">
      <formula>B$9&gt;=20/24</formula>
    </cfRule>
    <cfRule type="expression" dxfId="1006" priority="8">
      <formula>AND(B$9&gt;=8/24,B$9&lt;14/24)</formula>
    </cfRule>
    <cfRule type="expression" dxfId="1005" priority="9">
      <formula>B$9&lt;8/24</formula>
    </cfRule>
    <cfRule type="expression" dxfId="1004" priority="10">
      <formula>B17&gt;$AG17</formula>
    </cfRule>
    <cfRule type="expression" dxfId="1003" priority="7">
      <formula>AND(B$9&gt;=14/24,B$9&lt;20/24)</formula>
    </cfRule>
  </conditionalFormatting>
  <conditionalFormatting sqref="B18:R24">
    <cfRule type="expression" dxfId="1002" priority="60">
      <formula>B$9&gt;=20/24</formula>
    </cfRule>
    <cfRule type="expression" dxfId="1001" priority="63">
      <formula>B$9&lt;8/24</formula>
    </cfRule>
    <cfRule type="expression" dxfId="1000" priority="62">
      <formula>AND(B$9&gt;=8/24,B$9&lt;14/24)</formula>
    </cfRule>
    <cfRule type="expression" dxfId="999" priority="61">
      <formula>AND(B$9&gt;=14/24,B$9&lt;20/24)</formula>
    </cfRule>
  </conditionalFormatting>
  <conditionalFormatting sqref="B25:R27 B29:AF29 B59:AF61 B63:AF73 C74:AF78">
    <cfRule type="expression" dxfId="998" priority="94">
      <formula>B$9&lt;8/24</formula>
    </cfRule>
    <cfRule type="expression" dxfId="997" priority="93">
      <formula>AND(B$9&gt;=8/24,B$9&lt;14/24)</formula>
    </cfRule>
    <cfRule type="expression" dxfId="996" priority="92">
      <formula>AND(B$9&gt;=14/24,B$9&lt;20/24)</formula>
    </cfRule>
    <cfRule type="expression" dxfId="995" priority="91">
      <formula>B$9&gt;=20/24</formula>
    </cfRule>
  </conditionalFormatting>
  <conditionalFormatting sqref="B50:R56">
    <cfRule type="expression" dxfId="994" priority="69">
      <formula>B$9&gt;=20/24</formula>
    </cfRule>
    <cfRule type="expression" dxfId="993" priority="70">
      <formula>AND(B$9&gt;=14/24,B$9&lt;20/24)</formula>
    </cfRule>
    <cfRule type="expression" dxfId="992" priority="71">
      <formula>AND(B$9&gt;=8/24,B$9&lt;14/24)</formula>
    </cfRule>
    <cfRule type="expression" dxfId="991" priority="72">
      <formula>B$9&lt;8/24</formula>
    </cfRule>
  </conditionalFormatting>
  <conditionalFormatting sqref="B9:AF10 U11:AF11 S16:AF16 B216:AF216 B218:B224 D218:AF224 U237:AF237">
    <cfRule type="expression" dxfId="990" priority="332">
      <formula>B$9&lt;8/24</formula>
    </cfRule>
    <cfRule type="expression" dxfId="989" priority="330">
      <formula>AND(B$9&gt;=14/24,B$9&lt;20/24)</formula>
    </cfRule>
    <cfRule type="expression" dxfId="988" priority="331">
      <formula>AND(B$9&gt;=8/24,B$9&lt;14/24)</formula>
    </cfRule>
  </conditionalFormatting>
  <conditionalFormatting sqref="B19:AF24">
    <cfRule type="expression" dxfId="987" priority="59">
      <formula>B19&gt;$AG19</formula>
    </cfRule>
  </conditionalFormatting>
  <conditionalFormatting sqref="B25:AF29 B48:R49 B59:AF61">
    <cfRule type="expression" dxfId="986" priority="86">
      <formula>B25&gt;$AG25</formula>
    </cfRule>
  </conditionalFormatting>
  <conditionalFormatting sqref="B28:AF28">
    <cfRule type="expression" dxfId="985" priority="66">
      <formula>AND(B$9&gt;=8/24,B$9&lt;14/24)</formula>
    </cfRule>
    <cfRule type="expression" dxfId="984" priority="65">
      <formula>AND(B$9&gt;=14/24,B$9&lt;20/24)</formula>
    </cfRule>
    <cfRule type="expression" dxfId="983" priority="64">
      <formula>B$9&gt;=20/24</formula>
    </cfRule>
    <cfRule type="expression" dxfId="982" priority="67">
      <formula>B$9&lt;8/24</formula>
    </cfRule>
  </conditionalFormatting>
  <conditionalFormatting sqref="B30:AF36">
    <cfRule type="expression" dxfId="981" priority="1">
      <formula>B30&gt;$AG30</formula>
    </cfRule>
  </conditionalFormatting>
  <conditionalFormatting sqref="B30:AF37">
    <cfRule type="expression" dxfId="980" priority="2">
      <formula>B$9&gt;=20/24</formula>
    </cfRule>
    <cfRule type="expression" dxfId="979" priority="3">
      <formula>AND(B$9&gt;=14/24,B$9&lt;20/24)</formula>
    </cfRule>
    <cfRule type="expression" dxfId="978" priority="4">
      <formula>AND(B$9&gt;=8/24,B$9&lt;14/24)</formula>
    </cfRule>
    <cfRule type="expression" dxfId="977" priority="5">
      <formula>B$9&lt;8/24</formula>
    </cfRule>
  </conditionalFormatting>
  <conditionalFormatting sqref="B37:AF39">
    <cfRule type="expression" dxfId="976" priority="50">
      <formula>B37&gt;$AG37</formula>
    </cfRule>
  </conditionalFormatting>
  <conditionalFormatting sqref="B38:AF39">
    <cfRule type="expression" dxfId="975" priority="54">
      <formula>B$9&lt;8/24</formula>
    </cfRule>
    <cfRule type="expression" dxfId="974" priority="53">
      <formula>AND(B$9&gt;=8/24,B$9&lt;14/24)</formula>
    </cfRule>
    <cfRule type="expression" dxfId="973" priority="52">
      <formula>AND(B$9&gt;=14/24,B$9&lt;20/24)</formula>
    </cfRule>
    <cfRule type="expression" dxfId="972" priority="51">
      <formula>B$9&gt;=20/24</formula>
    </cfRule>
  </conditionalFormatting>
  <conditionalFormatting sqref="B41:AF43">
    <cfRule type="expression" dxfId="971" priority="35">
      <formula>AND(B$9&gt;=8/24,B$9&lt;14/24)</formula>
    </cfRule>
    <cfRule type="expression" dxfId="970" priority="34">
      <formula>AND(B$9&gt;=14/24,B$9&lt;20/24)</formula>
    </cfRule>
    <cfRule type="expression" dxfId="969" priority="32">
      <formula>B41&gt;$AG41</formula>
    </cfRule>
    <cfRule type="expression" dxfId="968" priority="33">
      <formula>B$9&gt;=20/24</formula>
    </cfRule>
    <cfRule type="expression" dxfId="967" priority="36">
      <formula>B$9&lt;8/24</formula>
    </cfRule>
  </conditionalFormatting>
  <conditionalFormatting sqref="B45:AF47">
    <cfRule type="expression" dxfId="966" priority="99">
      <formula>B$9&lt;8/24</formula>
    </cfRule>
    <cfRule type="expression" dxfId="965" priority="98">
      <formula>AND(B$9&gt;=8/24,B$9&lt;14/24)</formula>
    </cfRule>
    <cfRule type="expression" dxfId="964" priority="95">
      <formula>B45&gt;$AG45</formula>
    </cfRule>
    <cfRule type="expression" dxfId="963" priority="96">
      <formula>B$9&gt;=20/24</formula>
    </cfRule>
    <cfRule type="expression" dxfId="962" priority="97">
      <formula>AND(B$9&gt;=14/24,B$9&lt;20/24)</formula>
    </cfRule>
  </conditionalFormatting>
  <conditionalFormatting sqref="B83:AF99">
    <cfRule type="expression" dxfId="961" priority="23">
      <formula>B$9&gt;=20/24</formula>
    </cfRule>
    <cfRule type="expression" dxfId="960" priority="25">
      <formula>AND(B$9&gt;=8/24,B$9&lt;14/24)</formula>
    </cfRule>
    <cfRule type="expression" dxfId="959" priority="26">
      <formula>B$9&lt;8/24</formula>
    </cfRule>
    <cfRule type="expression" dxfId="958" priority="24">
      <formula>AND(B$9&gt;=14/24,B$9&lt;20/24)</formula>
    </cfRule>
  </conditionalFormatting>
  <conditionalFormatting sqref="B101:AF108">
    <cfRule type="expression" dxfId="957" priority="12">
      <formula>AND(B$9&gt;=14/24,B$9&lt;20/24)</formula>
    </cfRule>
    <cfRule type="expression" dxfId="956" priority="11">
      <formula>B$9&gt;=20/24</formula>
    </cfRule>
    <cfRule type="expression" dxfId="955" priority="13">
      <formula>AND(B$9&gt;=8/24,B$9&lt;14/24)</formula>
    </cfRule>
    <cfRule type="expression" dxfId="954" priority="14">
      <formula>B$9&lt;8/24</formula>
    </cfRule>
  </conditionalFormatting>
  <conditionalFormatting sqref="B40:AG40 B50:B58 B62:AG62">
    <cfRule type="expression" dxfId="949" priority="45">
      <formula>B40&gt;$AG40</formula>
    </cfRule>
  </conditionalFormatting>
  <conditionalFormatting sqref="B44:AG44">
    <cfRule type="expression" dxfId="948" priority="27">
      <formula>B44&gt;$AG44</formula>
    </cfRule>
    <cfRule type="expression" dxfId="947" priority="29">
      <formula>AND(B$9&gt;=14/24,B$9&lt;20/24)</formula>
    </cfRule>
    <cfRule type="expression" dxfId="946" priority="31">
      <formula>B$9&lt;8/24</formula>
    </cfRule>
    <cfRule type="expression" dxfId="945" priority="30">
      <formula>AND(B$9&gt;=8/24,B$9&lt;14/24)</formula>
    </cfRule>
    <cfRule type="expression" dxfId="944" priority="28">
      <formula>B$9&gt;=20/24</formula>
    </cfRule>
  </conditionalFormatting>
  <conditionalFormatting sqref="B62:AG62">
    <cfRule type="expression" dxfId="943" priority="46">
      <formula>B$9&gt;=20/24</formula>
    </cfRule>
    <cfRule type="expression" dxfId="942" priority="47">
      <formula>AND(B$9&gt;=14/24,B$9&lt;20/24)</formula>
    </cfRule>
    <cfRule type="expression" dxfId="941" priority="49">
      <formula>B$9&lt;8/24</formula>
    </cfRule>
    <cfRule type="expression" dxfId="940" priority="48">
      <formula>AND(B$9&gt;=8/24,B$9&lt;14/24)</formula>
    </cfRule>
  </conditionalFormatting>
  <conditionalFormatting sqref="C50:R56">
    <cfRule type="expression" dxfId="939" priority="68">
      <formula>C50&gt;$AG50</formula>
    </cfRule>
  </conditionalFormatting>
  <conditionalFormatting sqref="C57:AG58">
    <cfRule type="expression" dxfId="934" priority="213">
      <formula>C57&gt;$AG57</formula>
    </cfRule>
  </conditionalFormatting>
  <conditionalFormatting sqref="C79:AG79 C80:AF81">
    <cfRule type="expression" dxfId="933" priority="218">
      <formula>C$9&gt;=20/24</formula>
    </cfRule>
    <cfRule type="expression" dxfId="932" priority="219">
      <formula>AND(C$9&gt;=14/24,C$9&lt;20/24)</formula>
    </cfRule>
    <cfRule type="expression" dxfId="931" priority="220">
      <formula>AND(C$9&gt;=8/24,C$9&lt;14/24)</formula>
    </cfRule>
    <cfRule type="expression" dxfId="930" priority="221">
      <formula>C$9&lt;8/24</formula>
    </cfRule>
  </conditionalFormatting>
  <conditionalFormatting sqref="O3:P3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Q49:R49">
    <cfRule type="expression" dxfId="929" priority="259">
      <formula>Q$9&gt;=20/24</formula>
    </cfRule>
    <cfRule type="expression" dxfId="928" priority="260">
      <formula>AND(Q$9&gt;=14/24,Q$9&lt;20/24)</formula>
    </cfRule>
    <cfRule type="expression" dxfId="927" priority="261">
      <formula>AND(Q$9&gt;=8/24,Q$9&lt;14/24)</formula>
    </cfRule>
    <cfRule type="expression" dxfId="926" priority="262">
      <formula>Q$9&lt;8/24</formula>
    </cfRule>
  </conditionalFormatting>
  <conditionalFormatting sqref="S8 AB8 B8 M8">
    <cfRule type="expression" dxfId="925" priority="335">
      <formula>C$9&gt;=20/24</formula>
    </cfRule>
  </conditionalFormatting>
  <conditionalFormatting sqref="S8">
    <cfRule type="expression" dxfId="924" priority="306">
      <formula>AND(U$9&gt;=8/24,U$9&lt;14/24)</formula>
    </cfRule>
    <cfRule type="expression" dxfId="923" priority="304">
      <formula>U$9&gt;=20/24</formula>
    </cfRule>
    <cfRule type="expression" dxfId="922" priority="305">
      <formula>AND(U$9&gt;=14/24,U$9&lt;20/24)</formula>
    </cfRule>
    <cfRule type="expression" dxfId="921" priority="307">
      <formula>U$9&lt;8/24</formula>
    </cfRule>
  </conditionalFormatting>
  <conditionalFormatting sqref="S11:T11">
    <cfRule type="expression" dxfId="920" priority="281">
      <formula>S11&gt;$AG11</formula>
    </cfRule>
  </conditionalFormatting>
  <conditionalFormatting sqref="S11:T14 U12:AF14">
    <cfRule type="expression" dxfId="919" priority="286">
      <formula>S$9&gt;=20/24</formula>
    </cfRule>
    <cfRule type="expression" dxfId="918" priority="287">
      <formula>AND(S$9&gt;=14/24,S$9&lt;20/24)</formula>
    </cfRule>
    <cfRule type="expression" dxfId="917" priority="288">
      <formula>AND(S$9&gt;=8/24,S$9&lt;14/24)</formula>
    </cfRule>
    <cfRule type="expression" dxfId="916" priority="289">
      <formula>S$9&lt;8/24</formula>
    </cfRule>
  </conditionalFormatting>
  <conditionalFormatting sqref="S11:AF16">
    <cfRule type="expression" dxfId="915" priority="323">
      <formula>S11&gt;$AG11</formula>
    </cfRule>
  </conditionalFormatting>
  <conditionalFormatting sqref="S15:AF15">
    <cfRule type="expression" dxfId="914" priority="273">
      <formula>S$9&gt;=20/24</formula>
    </cfRule>
    <cfRule type="expression" dxfId="913" priority="274">
      <formula>AND(S$9&gt;=14/24,S$9&lt;20/24)</formula>
    </cfRule>
    <cfRule type="expression" dxfId="912" priority="275">
      <formula>AND(S$9&gt;=8/24,S$9&lt;14/24)</formula>
    </cfRule>
    <cfRule type="expression" dxfId="911" priority="276">
      <formula>S$9&lt;8/24</formula>
    </cfRule>
  </conditionalFormatting>
  <conditionalFormatting sqref="S17:AF18">
    <cfRule type="expression" dxfId="910" priority="138">
      <formula>S17&gt;$AG17</formula>
    </cfRule>
  </conditionalFormatting>
  <conditionalFormatting sqref="S17:AF27">
    <cfRule type="expression" dxfId="909" priority="135">
      <formula>AND(S$9&gt;=8/24,S$9&lt;14/24)</formula>
    </cfRule>
    <cfRule type="expression" dxfId="908" priority="136">
      <formula>S$9&lt;8/24</formula>
    </cfRule>
    <cfRule type="expression" dxfId="907" priority="133">
      <formula>S$9&gt;=20/24</formula>
    </cfRule>
    <cfRule type="expression" dxfId="906" priority="134">
      <formula>AND(S$9&gt;=14/24,S$9&lt;20/24)</formula>
    </cfRule>
  </conditionalFormatting>
  <conditionalFormatting sqref="S48:AF56">
    <cfRule type="expression" dxfId="905" priority="199">
      <formula>S$9&lt;8/24</formula>
    </cfRule>
    <cfRule type="expression" dxfId="904" priority="198">
      <formula>AND(S$9&gt;=8/24,S$9&lt;14/24)</formula>
    </cfRule>
    <cfRule type="expression" dxfId="903" priority="197">
      <formula>AND(S$9&gt;=14/24,S$9&lt;20/24)</formula>
    </cfRule>
    <cfRule type="expression" dxfId="902" priority="196">
      <formula>S$9&gt;=20/24</formula>
    </cfRule>
    <cfRule type="expression" dxfId="901" priority="195">
      <formula>S48&gt;$AG48</formula>
    </cfRule>
  </conditionalFormatting>
  <conditionalFormatting sqref="T237">
    <cfRule type="expression" dxfId="900" priority="351">
      <formula>AX$9&lt;8/24</formula>
    </cfRule>
    <cfRule type="expression" dxfId="899" priority="348">
      <formula>AX$9&gt;=20/24</formula>
    </cfRule>
    <cfRule type="expression" dxfId="898" priority="349">
      <formula>AND(AX$9&gt;=14/24,AX$9&lt;20/24)</formula>
    </cfRule>
    <cfRule type="expression" dxfId="897" priority="350">
      <formula>AND(AX$9&gt;=8/24,AX$9&lt;14/24)</formula>
    </cfRule>
  </conditionalFormatting>
  <conditionalFormatting sqref="U11:AF11 S16:AF16 B9:AF10 B216:AF216 B218:B224 D218:AF224 U237:AF237">
    <cfRule type="expression" dxfId="896" priority="329">
      <formula>B$9&gt;=20/24</formula>
    </cfRule>
  </conditionalFormatting>
  <conditionalFormatting sqref="V3 AB3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895" priority="302">
      <formula>AND(AD$9&gt;=8/24,AD$9&lt;14/24)</formula>
    </cfRule>
    <cfRule type="expression" dxfId="894" priority="301">
      <formula>AND(AD$9&gt;=14/24,AD$9&lt;20/24)</formula>
    </cfRule>
    <cfRule type="expression" dxfId="893" priority="303">
      <formula>AD$9&lt;8/24</formula>
    </cfRule>
    <cfRule type="expression" dxfId="892" priority="300">
      <formula>AD$9&gt;=20/24</formula>
    </cfRule>
  </conditionalFormatting>
  <conditionalFormatting sqref="AG237">
    <cfRule type="expression" dxfId="891" priority="340">
      <formula>B$9&gt;=20/24</formula>
    </cfRule>
    <cfRule type="expression" dxfId="890" priority="341">
      <formula>AND(B$9&gt;=14/24,B$9&lt;20/24)</formula>
    </cfRule>
    <cfRule type="expression" dxfId="889" priority="342">
      <formula>AND(B$9&gt;=8/24,B$9&lt;14/24)</formula>
    </cfRule>
    <cfRule type="expression" dxfId="888" priority="343">
      <formula>B$9&lt;8/24</formula>
    </cfRule>
  </conditionalFormatting>
  <conditionalFormatting sqref="AH237:AX237">
    <cfRule type="expression" dxfId="887" priority="344">
      <formula>AG$9&gt;=20/24</formula>
    </cfRule>
    <cfRule type="expression" dxfId="886" priority="346">
      <formula>AND(AG$9&gt;=8/24,AG$9&lt;14/24)</formula>
    </cfRule>
    <cfRule type="expression" dxfId="885" priority="347">
      <formula>AG$9&lt;8/24</formula>
    </cfRule>
    <cfRule type="expression" dxfId="884" priority="345">
      <formula>AND(AG$9&gt;=14/24,AG$9&lt;20/24)</formula>
    </cfRule>
  </conditionalFormatting>
  <conditionalFormatting sqref="AL4:AL6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2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30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35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B5369BB4-4BF0-4EF2-9E1D-F3E33D64B27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" id="{90C9507A-C61F-4D00-9A9F-AA9A71FE664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" id="{2441457A-BC07-4C1D-8207-FC0EBAF5691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5E9DE412-D7DF-4943-9B0E-C62C503B407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18" id="{2BF4D9FD-ED4B-4FF6-9AD2-D44D60890D7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" id="{AD2C463C-F3C7-4E33-AEE8-B4A1817B6D1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" id="{0A28E46E-07A1-4785-9140-66B5A15EAE8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EB2A4911-3517-46EA-9263-11A5AF499E2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  <x14:conditionalFormatting xmlns:xm="http://schemas.microsoft.com/office/excel/2006/main">
          <x14:cfRule type="expression" priority="159" id="{90E285BE-7C52-43C7-ACE1-0BD266DE8F1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0" id="{EECDDCC4-555C-450E-BDC9-A018EA7468D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1" id="{8FD6843F-C477-436F-9626-FFB3F71E141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8" id="{629FFA59-4C05-4501-A423-B1F12FA2A95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K9" sqref="K9:K1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1524MW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Load=1020</v>
      </c>
      <c r="B7" s="35">
        <f t="shared" ref="B7:AF7" si="1">B81</f>
        <v>1149.24</v>
      </c>
      <c r="C7" s="35">
        <f t="shared" si="1"/>
        <v>1043.8400000000001</v>
      </c>
      <c r="D7" s="35">
        <f t="shared" si="1"/>
        <v>1020.34</v>
      </c>
      <c r="E7" s="35">
        <f t="shared" si="1"/>
        <v>1041.04</v>
      </c>
      <c r="F7" s="35">
        <f t="shared" si="1"/>
        <v>1041.74</v>
      </c>
      <c r="G7" s="35">
        <f t="shared" si="1"/>
        <v>1105.6399999999999</v>
      </c>
      <c r="H7" s="35">
        <f t="shared" si="1"/>
        <v>1137.1400000000001</v>
      </c>
      <c r="I7" s="35">
        <f t="shared" si="1"/>
        <v>1198.8399999999999</v>
      </c>
      <c r="J7" s="35">
        <f t="shared" si="1"/>
        <v>1224.04</v>
      </c>
      <c r="K7" s="35">
        <f t="shared" si="1"/>
        <v>1403.04</v>
      </c>
      <c r="L7" s="35">
        <f t="shared" si="1"/>
        <v>1495.44</v>
      </c>
      <c r="M7" s="35">
        <f t="shared" si="1"/>
        <v>1524.44</v>
      </c>
      <c r="N7" s="35">
        <f t="shared" si="1"/>
        <v>1473.74</v>
      </c>
      <c r="O7" s="35">
        <f t="shared" si="1"/>
        <v>1408.74</v>
      </c>
      <c r="P7" s="35">
        <f t="shared" si="1"/>
        <v>1366.1399999999999</v>
      </c>
      <c r="Q7" s="35">
        <f t="shared" si="1"/>
        <v>1311.1399999999999</v>
      </c>
      <c r="R7" s="35">
        <f t="shared" si="1"/>
        <v>1265.1399999999999</v>
      </c>
      <c r="S7" s="35">
        <f t="shared" si="1"/>
        <v>1337.54</v>
      </c>
      <c r="T7" s="35">
        <f t="shared" si="1"/>
        <v>1322.74</v>
      </c>
      <c r="U7" s="35">
        <f t="shared" si="1"/>
        <v>1313.5400000000002</v>
      </c>
      <c r="V7" s="35">
        <f t="shared" si="1"/>
        <v>1468.24</v>
      </c>
      <c r="W7" s="35">
        <f t="shared" si="1"/>
        <v>1513.24</v>
      </c>
      <c r="X7" s="35">
        <f t="shared" si="1"/>
        <v>1554.74</v>
      </c>
      <c r="Y7" s="35">
        <f t="shared" si="1"/>
        <v>1514.74</v>
      </c>
      <c r="Z7" s="35">
        <f t="shared" si="1"/>
        <v>1474.74</v>
      </c>
      <c r="AA7" s="35">
        <f t="shared" si="1"/>
        <v>1459.24</v>
      </c>
      <c r="AB7" s="35">
        <f t="shared" si="1"/>
        <v>1416.54</v>
      </c>
      <c r="AC7" s="35">
        <f t="shared" si="1"/>
        <v>1331.1399999999999</v>
      </c>
      <c r="AD7" s="35">
        <f t="shared" si="1"/>
        <v>1291.54</v>
      </c>
      <c r="AE7" s="35">
        <f t="shared" si="1"/>
        <v>1209.3400000000001</v>
      </c>
      <c r="AF7" s="35">
        <f t="shared" si="1"/>
        <v>1157.1400000000001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60">
        <v>0.83333333333333337</v>
      </c>
      <c r="AC9" s="260">
        <v>0.85416666666666663</v>
      </c>
      <c r="AD9" s="260">
        <v>0.875</v>
      </c>
      <c r="AE9" s="260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61"/>
      <c r="AC10" s="261"/>
      <c r="AD10" s="261"/>
      <c r="AE10" s="261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37.9</v>
      </c>
      <c r="C11" s="45">
        <v>37.9</v>
      </c>
      <c r="D11" s="45">
        <v>37.9</v>
      </c>
      <c r="E11" s="45">
        <v>37.9</v>
      </c>
      <c r="F11" s="45">
        <v>37.9</v>
      </c>
      <c r="G11" s="45">
        <v>37.9</v>
      </c>
      <c r="H11" s="45">
        <v>37.9</v>
      </c>
      <c r="I11" s="45">
        <v>37.9</v>
      </c>
      <c r="J11" s="45">
        <v>37.9</v>
      </c>
      <c r="K11" s="45">
        <v>37.9</v>
      </c>
      <c r="L11" s="45">
        <v>37.9</v>
      </c>
      <c r="M11" s="45">
        <v>37.9</v>
      </c>
      <c r="N11" s="45">
        <v>37.9</v>
      </c>
      <c r="O11" s="45">
        <v>37.9</v>
      </c>
      <c r="P11" s="45">
        <v>37.9</v>
      </c>
      <c r="Q11" s="45">
        <v>37.9</v>
      </c>
      <c r="R11" s="45">
        <v>37.9</v>
      </c>
      <c r="S11" s="45">
        <v>37.799999999999997</v>
      </c>
      <c r="T11" s="45">
        <v>37</v>
      </c>
      <c r="U11" s="45">
        <v>37.799999999999997</v>
      </c>
      <c r="V11" s="45">
        <v>37.799999999999997</v>
      </c>
      <c r="W11" s="45">
        <v>37.9</v>
      </c>
      <c r="X11" s="45">
        <v>37.9</v>
      </c>
      <c r="Y11" s="45">
        <v>37.9</v>
      </c>
      <c r="Z11" s="45">
        <v>37.9</v>
      </c>
      <c r="AA11" s="45">
        <v>37.9</v>
      </c>
      <c r="AB11" s="199">
        <v>38</v>
      </c>
      <c r="AC11" s="199">
        <v>38</v>
      </c>
      <c r="AD11" s="199">
        <v>37.799999999999997</v>
      </c>
      <c r="AE11" s="199">
        <v>37.799999999999997</v>
      </c>
      <c r="AF11" s="46">
        <v>37.799999999999997</v>
      </c>
      <c r="AG11" s="47">
        <v>52.4</v>
      </c>
      <c r="AH11" s="48">
        <f>MAX(B11:AF11)</f>
        <v>38</v>
      </c>
      <c r="AI11" s="49">
        <f>MIN(B11:AF11)</f>
        <v>37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50.4</v>
      </c>
      <c r="L12" s="45">
        <v>50.4</v>
      </c>
      <c r="M12" s="45">
        <v>50.4</v>
      </c>
      <c r="N12" s="45">
        <v>50.4</v>
      </c>
      <c r="O12" s="45">
        <v>50.4</v>
      </c>
      <c r="P12" s="45">
        <v>50.4</v>
      </c>
      <c r="Q12" s="45">
        <v>50.4</v>
      </c>
      <c r="R12" s="45">
        <v>50.4</v>
      </c>
      <c r="S12" s="45">
        <v>50.3</v>
      </c>
      <c r="T12" s="45">
        <v>50.2</v>
      </c>
      <c r="U12" s="45">
        <v>50.2</v>
      </c>
      <c r="V12" s="45">
        <v>50.2</v>
      </c>
      <c r="W12" s="45">
        <v>50</v>
      </c>
      <c r="X12" s="45">
        <v>50</v>
      </c>
      <c r="Y12" s="45">
        <v>50</v>
      </c>
      <c r="Z12" s="45">
        <v>50</v>
      </c>
      <c r="AA12" s="45">
        <v>50</v>
      </c>
      <c r="AB12" s="198">
        <v>50.4</v>
      </c>
      <c r="AC12" s="198">
        <v>50.4</v>
      </c>
      <c r="AD12" s="198">
        <v>50.4</v>
      </c>
      <c r="AE12" s="198">
        <v>50.4</v>
      </c>
      <c r="AF12" s="45">
        <v>50.4</v>
      </c>
      <c r="AG12" s="51">
        <v>50</v>
      </c>
      <c r="AH12" s="48">
        <f t="shared" ref="AH12:AH75" si="2">MAX(B12:AF12)</f>
        <v>50.4</v>
      </c>
      <c r="AI12" s="49">
        <f t="shared" ref="AI12:AI75" si="3">MIN(B12:AF12)</f>
        <v>50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34.799999999999997</v>
      </c>
      <c r="C13" s="45">
        <v>34.799999999999997</v>
      </c>
      <c r="D13" s="45">
        <v>34.799999999999997</v>
      </c>
      <c r="E13" s="45">
        <v>32.1</v>
      </c>
      <c r="F13" s="45">
        <v>32.1</v>
      </c>
      <c r="G13" s="45">
        <v>32.1</v>
      </c>
      <c r="H13" s="45">
        <v>32.1</v>
      </c>
      <c r="I13" s="45">
        <v>32.1</v>
      </c>
      <c r="J13" s="45">
        <v>32.1</v>
      </c>
      <c r="K13" s="45">
        <v>32.1</v>
      </c>
      <c r="L13" s="45">
        <v>32.1</v>
      </c>
      <c r="M13" s="45">
        <v>32.1</v>
      </c>
      <c r="N13" s="45">
        <v>32.1</v>
      </c>
      <c r="O13" s="45">
        <v>32.1</v>
      </c>
      <c r="P13" s="45">
        <v>32.1</v>
      </c>
      <c r="Q13" s="45">
        <v>32.1</v>
      </c>
      <c r="R13" s="45">
        <v>32.1</v>
      </c>
      <c r="S13" s="45">
        <v>31</v>
      </c>
      <c r="T13" s="45">
        <v>32.4</v>
      </c>
      <c r="U13" s="45">
        <v>32.4</v>
      </c>
      <c r="V13" s="45">
        <v>35.6</v>
      </c>
      <c r="W13" s="45">
        <v>35.200000000000003</v>
      </c>
      <c r="X13" s="45">
        <v>35.200000000000003</v>
      </c>
      <c r="Y13" s="45">
        <v>35.200000000000003</v>
      </c>
      <c r="Z13" s="45">
        <v>35.200000000000003</v>
      </c>
      <c r="AA13" s="45">
        <v>35.200000000000003</v>
      </c>
      <c r="AB13" s="198">
        <v>34.299999999999997</v>
      </c>
      <c r="AC13" s="198">
        <v>34.299999999999997</v>
      </c>
      <c r="AD13" s="198">
        <v>34.299999999999997</v>
      </c>
      <c r="AE13" s="198">
        <v>34.299999999999997</v>
      </c>
      <c r="AF13" s="45">
        <v>34.299999999999997</v>
      </c>
      <c r="AG13" s="51">
        <v>45</v>
      </c>
      <c r="AH13" s="48">
        <f t="shared" si="2"/>
        <v>35.6</v>
      </c>
      <c r="AI13" s="49">
        <f t="shared" si="3"/>
        <v>31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21</v>
      </c>
      <c r="I14" s="45">
        <v>21</v>
      </c>
      <c r="J14" s="45">
        <v>21</v>
      </c>
      <c r="K14" s="45">
        <v>21</v>
      </c>
      <c r="L14" s="45">
        <v>21</v>
      </c>
      <c r="M14" s="45">
        <v>22</v>
      </c>
      <c r="N14" s="45">
        <v>22</v>
      </c>
      <c r="O14" s="45">
        <v>22</v>
      </c>
      <c r="P14" s="45">
        <v>22</v>
      </c>
      <c r="Q14" s="45">
        <v>22</v>
      </c>
      <c r="R14" s="45">
        <v>22</v>
      </c>
      <c r="S14" s="45">
        <v>20</v>
      </c>
      <c r="T14" s="45">
        <v>17</v>
      </c>
      <c r="U14" s="45">
        <v>17</v>
      </c>
      <c r="V14" s="45">
        <v>20</v>
      </c>
      <c r="W14" s="45">
        <v>20</v>
      </c>
      <c r="X14" s="45">
        <v>24</v>
      </c>
      <c r="Y14" s="45">
        <v>24</v>
      </c>
      <c r="Z14" s="45">
        <v>24</v>
      </c>
      <c r="AA14" s="45">
        <v>24</v>
      </c>
      <c r="AB14" s="198">
        <v>22</v>
      </c>
      <c r="AC14" s="198">
        <v>22</v>
      </c>
      <c r="AD14" s="198">
        <v>21</v>
      </c>
      <c r="AE14" s="198">
        <v>16</v>
      </c>
      <c r="AF14" s="45">
        <v>16</v>
      </c>
      <c r="AG14" s="51">
        <v>42</v>
      </c>
      <c r="AH14" s="48">
        <f t="shared" si="2"/>
        <v>24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5</v>
      </c>
      <c r="J15" s="45">
        <v>5</v>
      </c>
      <c r="K15" s="45">
        <v>21</v>
      </c>
      <c r="L15" s="45">
        <v>25.5</v>
      </c>
      <c r="M15" s="45">
        <v>19.7</v>
      </c>
      <c r="N15" s="45">
        <v>19.7</v>
      </c>
      <c r="O15" s="45">
        <v>19.7</v>
      </c>
      <c r="P15" s="45">
        <v>19.7</v>
      </c>
      <c r="Q15" s="45">
        <v>19.7</v>
      </c>
      <c r="R15" s="45">
        <v>19.7</v>
      </c>
      <c r="S15" s="45">
        <v>19.7</v>
      </c>
      <c r="T15" s="45">
        <v>19.5</v>
      </c>
      <c r="U15" s="45">
        <v>19.5</v>
      </c>
      <c r="V15" s="45">
        <v>19.5</v>
      </c>
      <c r="W15" s="45">
        <v>15</v>
      </c>
      <c r="X15" s="45">
        <v>20.7</v>
      </c>
      <c r="Y15" s="45">
        <v>20.7</v>
      </c>
      <c r="Z15" s="45">
        <v>20.7</v>
      </c>
      <c r="AA15" s="45">
        <v>20.7</v>
      </c>
      <c r="AB15" s="198">
        <v>20.9</v>
      </c>
      <c r="AC15" s="198">
        <v>10</v>
      </c>
      <c r="AD15" s="198">
        <v>10</v>
      </c>
      <c r="AE15" s="198">
        <v>0</v>
      </c>
      <c r="AF15" s="45">
        <v>0</v>
      </c>
      <c r="AG15" s="52">
        <v>30</v>
      </c>
      <c r="AH15" s="48">
        <f t="shared" si="2"/>
        <v>25.5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17.100000000000001</v>
      </c>
      <c r="C16" s="45">
        <v>17.100000000000001</v>
      </c>
      <c r="D16" s="45">
        <v>17.100000000000001</v>
      </c>
      <c r="E16" s="45">
        <v>17.100000000000001</v>
      </c>
      <c r="F16" s="45">
        <v>17.100000000000001</v>
      </c>
      <c r="G16" s="45">
        <v>17.100000000000001</v>
      </c>
      <c r="H16" s="45">
        <v>17.100000000000001</v>
      </c>
      <c r="I16" s="45">
        <v>17.100000000000001</v>
      </c>
      <c r="J16" s="45">
        <v>17.100000000000001</v>
      </c>
      <c r="K16" s="45">
        <v>17.100000000000001</v>
      </c>
      <c r="L16" s="45">
        <v>17.100000000000001</v>
      </c>
      <c r="M16" s="45">
        <v>17.100000000000001</v>
      </c>
      <c r="N16" s="45">
        <v>17.100000000000001</v>
      </c>
      <c r="O16" s="45">
        <v>17.100000000000001</v>
      </c>
      <c r="P16" s="45">
        <v>17.100000000000001</v>
      </c>
      <c r="Q16" s="45">
        <v>17.100000000000001</v>
      </c>
      <c r="R16" s="45">
        <v>17.100000000000001</v>
      </c>
      <c r="S16" s="45">
        <v>17</v>
      </c>
      <c r="T16" s="45">
        <v>17</v>
      </c>
      <c r="U16" s="45">
        <v>17</v>
      </c>
      <c r="V16" s="45">
        <v>17</v>
      </c>
      <c r="W16" s="45">
        <v>17</v>
      </c>
      <c r="X16" s="45">
        <v>17.2</v>
      </c>
      <c r="Y16" s="45">
        <v>17.2</v>
      </c>
      <c r="Z16" s="45">
        <v>17.2</v>
      </c>
      <c r="AA16" s="45">
        <v>17.2</v>
      </c>
      <c r="AB16" s="198">
        <v>17.2</v>
      </c>
      <c r="AC16" s="198">
        <v>17.2</v>
      </c>
      <c r="AD16" s="198">
        <v>17.2</v>
      </c>
      <c r="AE16" s="198">
        <v>17.2</v>
      </c>
      <c r="AF16" s="45">
        <v>17.2</v>
      </c>
      <c r="AG16" s="51">
        <v>24.2</v>
      </c>
      <c r="AH16" s="48">
        <f t="shared" si="2"/>
        <v>17.2</v>
      </c>
      <c r="AI16" s="49">
        <f t="shared" si="3"/>
        <v>17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5</v>
      </c>
      <c r="J17" s="45">
        <v>5</v>
      </c>
      <c r="K17" s="45">
        <v>18</v>
      </c>
      <c r="L17" s="45">
        <v>18</v>
      </c>
      <c r="M17" s="45">
        <v>18</v>
      </c>
      <c r="N17" s="45">
        <v>18</v>
      </c>
      <c r="O17" s="45">
        <v>26</v>
      </c>
      <c r="P17" s="45">
        <v>26</v>
      </c>
      <c r="Q17" s="45">
        <v>26</v>
      </c>
      <c r="R17" s="45">
        <v>20</v>
      </c>
      <c r="S17" s="45">
        <v>20</v>
      </c>
      <c r="T17" s="45">
        <v>15</v>
      </c>
      <c r="U17" s="45">
        <v>15</v>
      </c>
      <c r="V17" s="45">
        <v>16</v>
      </c>
      <c r="W17" s="45">
        <v>16</v>
      </c>
      <c r="X17" s="45">
        <v>16</v>
      </c>
      <c r="Y17" s="45">
        <v>16</v>
      </c>
      <c r="Z17" s="45">
        <v>16</v>
      </c>
      <c r="AA17" s="45">
        <v>16</v>
      </c>
      <c r="AB17" s="198">
        <v>16</v>
      </c>
      <c r="AC17" s="198">
        <v>16</v>
      </c>
      <c r="AD17" s="198">
        <v>10</v>
      </c>
      <c r="AE17" s="198">
        <v>0</v>
      </c>
      <c r="AF17" s="45">
        <v>0</v>
      </c>
      <c r="AG17" s="52">
        <v>30</v>
      </c>
      <c r="AH17" s="48">
        <f t="shared" si="2"/>
        <v>26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18.7</v>
      </c>
      <c r="C18" s="45">
        <v>18.7</v>
      </c>
      <c r="D18" s="45">
        <v>18.7</v>
      </c>
      <c r="E18" s="45">
        <v>18.7</v>
      </c>
      <c r="F18" s="45">
        <v>18.7</v>
      </c>
      <c r="G18" s="45">
        <v>18.7</v>
      </c>
      <c r="H18" s="45">
        <v>18.7</v>
      </c>
      <c r="I18" s="45">
        <v>18.7</v>
      </c>
      <c r="J18" s="45">
        <v>18.7</v>
      </c>
      <c r="K18" s="45">
        <v>18.7</v>
      </c>
      <c r="L18" s="45">
        <v>18.7</v>
      </c>
      <c r="M18" s="45">
        <v>18.7</v>
      </c>
      <c r="N18" s="45">
        <v>18.7</v>
      </c>
      <c r="O18" s="45">
        <v>18.7</v>
      </c>
      <c r="P18" s="45">
        <v>18.7</v>
      </c>
      <c r="Q18" s="45">
        <v>18.7</v>
      </c>
      <c r="R18" s="45">
        <v>18.7</v>
      </c>
      <c r="S18" s="45">
        <v>19.8</v>
      </c>
      <c r="T18" s="45">
        <v>19.8</v>
      </c>
      <c r="U18" s="45">
        <v>19.8</v>
      </c>
      <c r="V18" s="45">
        <v>19.8</v>
      </c>
      <c r="W18" s="45">
        <v>19.8</v>
      </c>
      <c r="X18" s="45">
        <v>20.100000000000001</v>
      </c>
      <c r="Y18" s="45">
        <v>20.100000000000001</v>
      </c>
      <c r="Z18" s="45">
        <v>20.100000000000001</v>
      </c>
      <c r="AA18" s="45">
        <v>20.100000000000001</v>
      </c>
      <c r="AB18" s="198">
        <v>18.899999999999999</v>
      </c>
      <c r="AC18" s="198">
        <v>18.899999999999999</v>
      </c>
      <c r="AD18" s="198">
        <v>19.899999999999999</v>
      </c>
      <c r="AE18" s="198">
        <v>18.600000000000001</v>
      </c>
      <c r="AF18" s="45">
        <v>18.600000000000001</v>
      </c>
      <c r="AG18" s="51">
        <v>25</v>
      </c>
      <c r="AH18" s="48">
        <f t="shared" si="2"/>
        <v>20.100000000000001</v>
      </c>
      <c r="AI18" s="49">
        <f t="shared" si="3"/>
        <v>18.600000000000001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0</v>
      </c>
      <c r="C19" s="45">
        <v>0</v>
      </c>
      <c r="D19" s="45">
        <v>0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198">
        <v>18</v>
      </c>
      <c r="AC19" s="198">
        <v>18</v>
      </c>
      <c r="AD19" s="198">
        <v>18</v>
      </c>
      <c r="AE19" s="198">
        <v>18</v>
      </c>
      <c r="AF19" s="45">
        <v>18</v>
      </c>
      <c r="AG19" s="51">
        <v>25</v>
      </c>
      <c r="AH19" s="48">
        <f t="shared" si="2"/>
        <v>18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14</v>
      </c>
      <c r="C20" s="45">
        <v>14</v>
      </c>
      <c r="D20" s="45">
        <v>14</v>
      </c>
      <c r="E20" s="45">
        <v>14</v>
      </c>
      <c r="F20" s="45">
        <v>14</v>
      </c>
      <c r="G20" s="45">
        <v>14</v>
      </c>
      <c r="H20" s="45">
        <v>14</v>
      </c>
      <c r="I20" s="45">
        <v>14</v>
      </c>
      <c r="J20" s="45">
        <v>14</v>
      </c>
      <c r="K20" s="45">
        <v>14</v>
      </c>
      <c r="L20" s="45">
        <v>14</v>
      </c>
      <c r="M20" s="45">
        <v>14</v>
      </c>
      <c r="N20" s="45">
        <v>14</v>
      </c>
      <c r="O20" s="45">
        <v>14</v>
      </c>
      <c r="P20" s="45">
        <v>14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198">
        <v>14</v>
      </c>
      <c r="AC20" s="198">
        <v>14</v>
      </c>
      <c r="AD20" s="198">
        <v>14</v>
      </c>
      <c r="AE20" s="198">
        <v>14</v>
      </c>
      <c r="AF20" s="45">
        <v>14</v>
      </c>
      <c r="AG20" s="51">
        <v>25</v>
      </c>
      <c r="AH20" s="48">
        <f t="shared" si="2"/>
        <v>14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16.5</v>
      </c>
      <c r="C21" s="45">
        <v>16.5</v>
      </c>
      <c r="D21" s="45">
        <v>16.5</v>
      </c>
      <c r="E21" s="45">
        <v>16.5</v>
      </c>
      <c r="F21" s="45">
        <v>16.5</v>
      </c>
      <c r="G21" s="45">
        <v>16.5</v>
      </c>
      <c r="H21" s="45">
        <v>16.5</v>
      </c>
      <c r="I21" s="45">
        <v>16.5</v>
      </c>
      <c r="J21" s="45">
        <v>16.5</v>
      </c>
      <c r="K21" s="45">
        <v>16.5</v>
      </c>
      <c r="L21" s="45">
        <v>16.5</v>
      </c>
      <c r="M21" s="45">
        <v>16.5</v>
      </c>
      <c r="N21" s="45">
        <v>16.5</v>
      </c>
      <c r="O21" s="45">
        <v>16.5</v>
      </c>
      <c r="P21" s="45">
        <v>16.5</v>
      </c>
      <c r="Q21" s="45">
        <v>16.5</v>
      </c>
      <c r="R21" s="45">
        <v>16.5</v>
      </c>
      <c r="S21" s="45">
        <v>16.5</v>
      </c>
      <c r="T21" s="45">
        <v>16.5</v>
      </c>
      <c r="U21" s="45">
        <v>16.5</v>
      </c>
      <c r="V21" s="45">
        <v>16.5</v>
      </c>
      <c r="W21" s="45">
        <v>16.5</v>
      </c>
      <c r="X21" s="45">
        <v>16.5</v>
      </c>
      <c r="Y21" s="45">
        <v>16.5</v>
      </c>
      <c r="Z21" s="45">
        <v>16.5</v>
      </c>
      <c r="AA21" s="45">
        <v>16.5</v>
      </c>
      <c r="AB21" s="198">
        <v>16.5</v>
      </c>
      <c r="AC21" s="198">
        <v>16.5</v>
      </c>
      <c r="AD21" s="198">
        <v>16.5</v>
      </c>
      <c r="AE21" s="198">
        <v>16.5</v>
      </c>
      <c r="AF21" s="45">
        <v>16.5</v>
      </c>
      <c r="AG21" s="51">
        <v>23.5</v>
      </c>
      <c r="AH21" s="48">
        <f t="shared" si="2"/>
        <v>16.5</v>
      </c>
      <c r="AI21" s="49">
        <f t="shared" si="3"/>
        <v>16.5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198">
        <v>0</v>
      </c>
      <c r="AC22" s="198">
        <v>0</v>
      </c>
      <c r="AD22" s="198">
        <v>0</v>
      </c>
      <c r="AE22" s="198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10.6</v>
      </c>
      <c r="C23" s="45">
        <v>10.6</v>
      </c>
      <c r="D23" s="45">
        <v>10.6</v>
      </c>
      <c r="E23" s="45">
        <v>10.6</v>
      </c>
      <c r="F23" s="45">
        <v>10.6</v>
      </c>
      <c r="G23" s="45">
        <v>10.6</v>
      </c>
      <c r="H23" s="45">
        <v>10.6</v>
      </c>
      <c r="I23" s="45">
        <v>10.6</v>
      </c>
      <c r="J23" s="45">
        <v>10.6</v>
      </c>
      <c r="K23" s="45">
        <v>10.6</v>
      </c>
      <c r="L23" s="45">
        <v>10.6</v>
      </c>
      <c r="M23" s="45">
        <v>10.6</v>
      </c>
      <c r="N23" s="45">
        <v>10.6</v>
      </c>
      <c r="O23" s="45">
        <v>10.6</v>
      </c>
      <c r="P23" s="45">
        <v>10.6</v>
      </c>
      <c r="Q23" s="45">
        <v>10.6</v>
      </c>
      <c r="R23" s="45">
        <v>10.6</v>
      </c>
      <c r="S23" s="45">
        <v>10.6</v>
      </c>
      <c r="T23" s="45">
        <v>10.6</v>
      </c>
      <c r="U23" s="45">
        <v>10.6</v>
      </c>
      <c r="V23" s="45">
        <v>10.6</v>
      </c>
      <c r="W23" s="45">
        <v>10.6</v>
      </c>
      <c r="X23" s="45">
        <v>10.6</v>
      </c>
      <c r="Y23" s="45">
        <v>10.6</v>
      </c>
      <c r="Z23" s="45">
        <v>10.6</v>
      </c>
      <c r="AA23" s="45">
        <v>10.6</v>
      </c>
      <c r="AB23" s="198">
        <v>10.6</v>
      </c>
      <c r="AC23" s="198">
        <v>10.6</v>
      </c>
      <c r="AD23" s="198">
        <v>10.6</v>
      </c>
      <c r="AE23" s="198">
        <v>10.6</v>
      </c>
      <c r="AF23" s="45">
        <v>10.6</v>
      </c>
      <c r="AG23" s="51">
        <v>22.1</v>
      </c>
      <c r="AH23" s="48">
        <f t="shared" si="2"/>
        <v>10.6</v>
      </c>
      <c r="AI23" s="49">
        <f t="shared" si="3"/>
        <v>10.6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13</v>
      </c>
      <c r="C24" s="45">
        <v>13</v>
      </c>
      <c r="D24" s="45">
        <v>13</v>
      </c>
      <c r="E24" s="45">
        <v>13</v>
      </c>
      <c r="F24" s="45">
        <v>13</v>
      </c>
      <c r="G24" s="45">
        <v>13</v>
      </c>
      <c r="H24" s="45">
        <v>13</v>
      </c>
      <c r="I24" s="45">
        <v>13</v>
      </c>
      <c r="J24" s="45">
        <v>13</v>
      </c>
      <c r="K24" s="45">
        <v>13</v>
      </c>
      <c r="L24" s="45">
        <v>13</v>
      </c>
      <c r="M24" s="45">
        <v>13</v>
      </c>
      <c r="N24" s="45">
        <v>13</v>
      </c>
      <c r="O24" s="45">
        <v>13</v>
      </c>
      <c r="P24" s="45">
        <v>13</v>
      </c>
      <c r="Q24" s="45">
        <v>13</v>
      </c>
      <c r="R24" s="45">
        <v>13</v>
      </c>
      <c r="S24" s="45">
        <v>13</v>
      </c>
      <c r="T24" s="45">
        <v>13</v>
      </c>
      <c r="U24" s="45">
        <v>13</v>
      </c>
      <c r="V24" s="45">
        <v>13</v>
      </c>
      <c r="W24" s="45">
        <v>13</v>
      </c>
      <c r="X24" s="45">
        <v>13</v>
      </c>
      <c r="Y24" s="45">
        <v>13</v>
      </c>
      <c r="Z24" s="45">
        <v>13</v>
      </c>
      <c r="AA24" s="45">
        <v>13</v>
      </c>
      <c r="AB24" s="198">
        <v>13</v>
      </c>
      <c r="AC24" s="198">
        <v>13</v>
      </c>
      <c r="AD24" s="198">
        <v>13</v>
      </c>
      <c r="AE24" s="198">
        <v>13</v>
      </c>
      <c r="AF24" s="45">
        <v>13</v>
      </c>
      <c r="AG24" s="51">
        <v>22</v>
      </c>
      <c r="AH24" s="48">
        <f t="shared" si="2"/>
        <v>13</v>
      </c>
      <c r="AI24" s="49">
        <f t="shared" si="3"/>
        <v>13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16</v>
      </c>
      <c r="C25" s="45">
        <v>16</v>
      </c>
      <c r="D25" s="45">
        <v>16</v>
      </c>
      <c r="E25" s="45">
        <v>16</v>
      </c>
      <c r="F25" s="45">
        <v>16</v>
      </c>
      <c r="G25" s="45">
        <v>16</v>
      </c>
      <c r="H25" s="45">
        <v>16</v>
      </c>
      <c r="I25" s="45">
        <v>16</v>
      </c>
      <c r="J25" s="45">
        <v>16</v>
      </c>
      <c r="K25" s="45">
        <v>16</v>
      </c>
      <c r="L25" s="45">
        <v>16</v>
      </c>
      <c r="M25" s="45">
        <v>16</v>
      </c>
      <c r="N25" s="45">
        <v>16</v>
      </c>
      <c r="O25" s="45">
        <v>16</v>
      </c>
      <c r="P25" s="45">
        <v>16</v>
      </c>
      <c r="Q25" s="45">
        <v>16</v>
      </c>
      <c r="R25" s="45">
        <v>16</v>
      </c>
      <c r="S25" s="45">
        <v>16</v>
      </c>
      <c r="T25" s="45">
        <v>16</v>
      </c>
      <c r="U25" s="45">
        <v>16</v>
      </c>
      <c r="V25" s="45">
        <v>16</v>
      </c>
      <c r="W25" s="45">
        <v>16</v>
      </c>
      <c r="X25" s="45">
        <v>16</v>
      </c>
      <c r="Y25" s="45">
        <v>16</v>
      </c>
      <c r="Z25" s="45">
        <v>16</v>
      </c>
      <c r="AA25" s="45">
        <v>16</v>
      </c>
      <c r="AB25" s="198">
        <v>16</v>
      </c>
      <c r="AC25" s="198">
        <v>16</v>
      </c>
      <c r="AD25" s="198">
        <v>16</v>
      </c>
      <c r="AE25" s="198">
        <v>16</v>
      </c>
      <c r="AF25" s="45">
        <v>16</v>
      </c>
      <c r="AG25" s="51">
        <v>22</v>
      </c>
      <c r="AH25" s="48">
        <f t="shared" si="2"/>
        <v>16</v>
      </c>
      <c r="AI25" s="49">
        <f t="shared" si="3"/>
        <v>16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5</v>
      </c>
      <c r="J26" s="45">
        <v>5</v>
      </c>
      <c r="K26" s="45">
        <v>5</v>
      </c>
      <c r="L26" s="45">
        <v>10</v>
      </c>
      <c r="M26" s="45">
        <v>10</v>
      </c>
      <c r="N26" s="45">
        <v>10</v>
      </c>
      <c r="O26" s="45">
        <v>10</v>
      </c>
      <c r="P26" s="45">
        <v>5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198">
        <v>10</v>
      </c>
      <c r="AC26" s="198">
        <v>10</v>
      </c>
      <c r="AD26" s="198">
        <v>5</v>
      </c>
      <c r="AE26" s="198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6.3</v>
      </c>
      <c r="C27" s="45">
        <v>6.3</v>
      </c>
      <c r="D27" s="45">
        <v>6.3</v>
      </c>
      <c r="E27" s="45">
        <v>6.3</v>
      </c>
      <c r="F27" s="45">
        <v>6.3</v>
      </c>
      <c r="G27" s="45">
        <v>6.3</v>
      </c>
      <c r="H27" s="45">
        <v>6.3</v>
      </c>
      <c r="I27" s="45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45">
        <v>6.3</v>
      </c>
      <c r="Y27" s="45">
        <v>6.3</v>
      </c>
      <c r="Z27" s="45">
        <v>6.3</v>
      </c>
      <c r="AA27" s="45">
        <v>6.3</v>
      </c>
      <c r="AB27" s="45">
        <v>6.3</v>
      </c>
      <c r="AC27" s="45">
        <v>6.3</v>
      </c>
      <c r="AD27" s="45">
        <v>6.3</v>
      </c>
      <c r="AE27" s="45">
        <v>6.3</v>
      </c>
      <c r="AF27" s="45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4</v>
      </c>
      <c r="J30" s="45">
        <v>4</v>
      </c>
      <c r="K30" s="45">
        <v>4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8.5</v>
      </c>
      <c r="T30" s="45">
        <v>8.5</v>
      </c>
      <c r="U30" s="45">
        <v>8.5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10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12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5.2</v>
      </c>
      <c r="C33" s="45">
        <v>5.2</v>
      </c>
      <c r="D33" s="45">
        <v>5.2</v>
      </c>
      <c r="E33" s="45">
        <v>5.2</v>
      </c>
      <c r="F33" s="45">
        <v>5.2</v>
      </c>
      <c r="G33" s="45">
        <v>5.2</v>
      </c>
      <c r="H33" s="45">
        <v>5.2</v>
      </c>
      <c r="I33" s="45">
        <v>5.2</v>
      </c>
      <c r="J33" s="45">
        <v>5.2</v>
      </c>
      <c r="K33" s="45">
        <v>5.2</v>
      </c>
      <c r="L33" s="45">
        <v>5.2</v>
      </c>
      <c r="M33" s="45">
        <v>5.2</v>
      </c>
      <c r="N33" s="45">
        <v>5.2</v>
      </c>
      <c r="O33" s="45">
        <v>5.2</v>
      </c>
      <c r="P33" s="45">
        <v>5.2</v>
      </c>
      <c r="Q33" s="45">
        <v>5.2</v>
      </c>
      <c r="R33" s="45">
        <v>5.2</v>
      </c>
      <c r="S33" s="45">
        <v>5.2</v>
      </c>
      <c r="T33" s="45">
        <v>5.2</v>
      </c>
      <c r="U33" s="45">
        <v>5.2</v>
      </c>
      <c r="V33" s="45">
        <v>5.2</v>
      </c>
      <c r="W33" s="45">
        <v>5.2</v>
      </c>
      <c r="X33" s="45">
        <v>5.2</v>
      </c>
      <c r="Y33" s="45">
        <v>5.2</v>
      </c>
      <c r="Z33" s="45">
        <v>5.2</v>
      </c>
      <c r="AA33" s="45">
        <v>5.2</v>
      </c>
      <c r="AB33" s="45">
        <v>5.2</v>
      </c>
      <c r="AC33" s="45">
        <v>5.2</v>
      </c>
      <c r="AD33" s="45">
        <v>5.2</v>
      </c>
      <c r="AE33" s="45">
        <v>5.2</v>
      </c>
      <c r="AF33" s="45">
        <v>5.2</v>
      </c>
      <c r="AG33" s="53">
        <v>22</v>
      </c>
      <c r="AH33" s="48">
        <f t="shared" si="2"/>
        <v>5.2</v>
      </c>
      <c r="AI33" s="49">
        <f t="shared" si="3"/>
        <v>5.2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8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5">
        <v>10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2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v>108.5</v>
      </c>
      <c r="C39" s="59">
        <f>49.1+55.5</f>
        <v>104.6</v>
      </c>
      <c r="D39" s="59">
        <f>48.1+54.1</f>
        <v>102.2</v>
      </c>
      <c r="E39" s="59">
        <f>47.5+57.7</f>
        <v>105.2</v>
      </c>
      <c r="F39" s="59">
        <f>47.2+55.7</f>
        <v>102.9</v>
      </c>
      <c r="G39" s="59">
        <f>47.1+56.9</f>
        <v>104</v>
      </c>
      <c r="H39" s="59">
        <f>47.8+57.2</f>
        <v>105</v>
      </c>
      <c r="I39" s="59">
        <f>46.7+57.7</f>
        <v>104.4</v>
      </c>
      <c r="J39" s="59">
        <f>47.5+57.3</f>
        <v>104.8</v>
      </c>
      <c r="K39" s="59">
        <f>46.8+58.1</f>
        <v>104.9</v>
      </c>
      <c r="L39" s="57">
        <f>46.8+57.8</f>
        <v>104.6</v>
      </c>
      <c r="M39" s="57">
        <f>54.6+46.5</f>
        <v>101.1</v>
      </c>
      <c r="N39" s="57">
        <f>56.6+46.9</f>
        <v>103.5</v>
      </c>
      <c r="O39" s="57">
        <f>56.2+46.8</f>
        <v>103</v>
      </c>
      <c r="P39" s="57">
        <f>57.3+47.4</f>
        <v>104.69999999999999</v>
      </c>
      <c r="Q39" s="57">
        <f>57.6+47.7</f>
        <v>105.30000000000001</v>
      </c>
      <c r="R39" s="57">
        <f>58.3+47.3</f>
        <v>105.6</v>
      </c>
      <c r="S39" s="57">
        <f>46.6+56</f>
        <v>102.6</v>
      </c>
      <c r="T39" s="57">
        <f>46.6+55.1</f>
        <v>101.7</v>
      </c>
      <c r="U39" s="57">
        <f>46.6+55.1</f>
        <v>101.7</v>
      </c>
      <c r="V39" s="57">
        <f>46.7+50.4</f>
        <v>97.1</v>
      </c>
      <c r="W39" s="57">
        <f>45.7+49</f>
        <v>94.7</v>
      </c>
      <c r="X39" s="57">
        <v>101.6</v>
      </c>
      <c r="Y39" s="57">
        <f>45.3+58</f>
        <v>103.3</v>
      </c>
      <c r="Z39" s="57">
        <f>45.4+57.3</f>
        <v>102.69999999999999</v>
      </c>
      <c r="AA39" s="57">
        <f>45.9+59.7</f>
        <v>105.6</v>
      </c>
      <c r="AB39" s="59">
        <v>99</v>
      </c>
      <c r="AC39" s="59">
        <v>100</v>
      </c>
      <c r="AD39" s="59">
        <f>44.7+58.3</f>
        <v>103</v>
      </c>
      <c r="AE39" s="59">
        <f>44.9+56.7</f>
        <v>101.6</v>
      </c>
      <c r="AF39" s="59">
        <f>45+59.3</f>
        <v>104.3</v>
      </c>
      <c r="AG39" s="55">
        <v>240</v>
      </c>
      <c r="AH39" s="48">
        <f t="shared" si="2"/>
        <v>108.5</v>
      </c>
      <c r="AI39" s="49">
        <f t="shared" si="3"/>
        <v>94.7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584.5</v>
      </c>
      <c r="C40" s="61">
        <f t="shared" si="4"/>
        <v>584.5</v>
      </c>
      <c r="D40" s="61">
        <f t="shared" si="4"/>
        <v>584.5</v>
      </c>
      <c r="E40" s="61">
        <f t="shared" si="4"/>
        <v>599.79999999999995</v>
      </c>
      <c r="F40" s="61">
        <f t="shared" si="4"/>
        <v>599.79999999999995</v>
      </c>
      <c r="G40" s="61">
        <f t="shared" si="4"/>
        <v>599.79999999999995</v>
      </c>
      <c r="H40" s="61">
        <f t="shared" si="4"/>
        <v>599.79999999999995</v>
      </c>
      <c r="I40" s="61">
        <f t="shared" si="4"/>
        <v>618.79999999999995</v>
      </c>
      <c r="J40" s="61">
        <f t="shared" si="4"/>
        <v>618.79999999999995</v>
      </c>
      <c r="K40" s="61">
        <f t="shared" si="4"/>
        <v>647.79999999999995</v>
      </c>
      <c r="L40" s="61">
        <f t="shared" si="4"/>
        <v>665.3</v>
      </c>
      <c r="M40" s="61">
        <f t="shared" si="4"/>
        <v>660.5</v>
      </c>
      <c r="N40" s="61">
        <f t="shared" si="4"/>
        <v>660.5</v>
      </c>
      <c r="O40" s="61">
        <f t="shared" si="4"/>
        <v>668.5</v>
      </c>
      <c r="P40" s="61">
        <f t="shared" si="4"/>
        <v>663.5</v>
      </c>
      <c r="Q40" s="61">
        <f t="shared" si="4"/>
        <v>668.5</v>
      </c>
      <c r="R40" s="61">
        <f t="shared" si="4"/>
        <v>662.5</v>
      </c>
      <c r="S40" s="61">
        <f t="shared" si="4"/>
        <v>658.7</v>
      </c>
      <c r="T40" s="61">
        <f t="shared" si="4"/>
        <v>651</v>
      </c>
      <c r="U40" s="61">
        <f t="shared" si="4"/>
        <v>651.80000000000007</v>
      </c>
      <c r="V40" s="61">
        <f t="shared" si="4"/>
        <v>660.5</v>
      </c>
      <c r="W40" s="61">
        <f t="shared" si="4"/>
        <v>655.5</v>
      </c>
      <c r="X40" s="61">
        <v>663.7</v>
      </c>
      <c r="Y40" s="61">
        <f t="shared" si="4"/>
        <v>663.7</v>
      </c>
      <c r="Z40" s="61">
        <f t="shared" si="4"/>
        <v>663.7</v>
      </c>
      <c r="AA40" s="61">
        <f t="shared" si="4"/>
        <v>663.7</v>
      </c>
      <c r="AB40" s="61">
        <f t="shared" si="4"/>
        <v>660.3</v>
      </c>
      <c r="AC40" s="61">
        <f t="shared" si="4"/>
        <v>649.4</v>
      </c>
      <c r="AD40" s="61">
        <f t="shared" si="4"/>
        <v>628.20000000000005</v>
      </c>
      <c r="AE40" s="61">
        <f t="shared" si="4"/>
        <v>596.9</v>
      </c>
      <c r="AF40" s="61">
        <f t="shared" si="4"/>
        <v>596.9</v>
      </c>
      <c r="AG40" s="62">
        <f t="shared" si="4"/>
        <v>707.78000000000009</v>
      </c>
      <c r="AH40" s="48">
        <f t="shared" si="2"/>
        <v>668.5</v>
      </c>
      <c r="AI40" s="49">
        <f t="shared" si="3"/>
        <v>584.5</v>
      </c>
      <c r="AK40" s="50"/>
    </row>
    <row r="41" spans="1:88" x14ac:dyDescent="0.25">
      <c r="A41" s="63" t="s">
        <v>49</v>
      </c>
      <c r="B41" s="45">
        <v>170</v>
      </c>
      <c r="C41" s="45">
        <v>70</v>
      </c>
      <c r="D41" s="45">
        <v>50</v>
      </c>
      <c r="E41" s="45">
        <v>60</v>
      </c>
      <c r="F41" s="45">
        <v>50</v>
      </c>
      <c r="G41" s="45">
        <v>70</v>
      </c>
      <c r="H41" s="45">
        <v>60</v>
      </c>
      <c r="I41" s="45">
        <v>80</v>
      </c>
      <c r="J41" s="45">
        <v>100</v>
      </c>
      <c r="K41" s="45">
        <v>250</v>
      </c>
      <c r="L41" s="45">
        <v>310</v>
      </c>
      <c r="M41" s="45">
        <v>340</v>
      </c>
      <c r="N41" s="45">
        <v>295</v>
      </c>
      <c r="O41" s="45">
        <v>235</v>
      </c>
      <c r="P41" s="45">
        <v>215</v>
      </c>
      <c r="Q41" s="45">
        <v>155</v>
      </c>
      <c r="R41" s="45">
        <v>115</v>
      </c>
      <c r="S41" s="45">
        <v>180</v>
      </c>
      <c r="T41" s="45">
        <v>170</v>
      </c>
      <c r="U41" s="45">
        <v>160</v>
      </c>
      <c r="V41" s="45">
        <v>310</v>
      </c>
      <c r="W41" s="45">
        <v>360</v>
      </c>
      <c r="X41" s="45">
        <v>380</v>
      </c>
      <c r="Y41" s="45">
        <v>340</v>
      </c>
      <c r="Z41" s="45">
        <v>300</v>
      </c>
      <c r="AA41" s="45">
        <v>300</v>
      </c>
      <c r="AB41" s="45">
        <v>260</v>
      </c>
      <c r="AC41" s="45">
        <v>200</v>
      </c>
      <c r="AD41" s="45">
        <v>180</v>
      </c>
      <c r="AE41" s="45">
        <v>140</v>
      </c>
      <c r="AF41" s="45">
        <v>140</v>
      </c>
      <c r="AG41" s="52">
        <v>456</v>
      </c>
      <c r="AH41" s="48">
        <f t="shared" si="2"/>
        <v>380</v>
      </c>
      <c r="AI41" s="49">
        <f t="shared" si="3"/>
        <v>50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60</v>
      </c>
      <c r="AK42" s="50"/>
    </row>
    <row r="43" spans="1:88" ht="15.75" thickBot="1" x14ac:dyDescent="0.3">
      <c r="A43" s="66" t="s">
        <v>51</v>
      </c>
      <c r="B43" s="67">
        <v>22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22</v>
      </c>
      <c r="R43" s="67">
        <v>22</v>
      </c>
      <c r="S43" s="67">
        <v>20.8</v>
      </c>
      <c r="T43" s="67">
        <v>20.8</v>
      </c>
      <c r="U43" s="67">
        <v>20.8</v>
      </c>
      <c r="V43" s="67">
        <v>20.8</v>
      </c>
      <c r="W43" s="67">
        <v>20.8</v>
      </c>
      <c r="X43" s="67">
        <v>20.8</v>
      </c>
      <c r="Y43" s="67">
        <v>20.8</v>
      </c>
      <c r="Z43" s="67">
        <v>20.8</v>
      </c>
      <c r="AA43" s="67">
        <v>20.8</v>
      </c>
      <c r="AB43" s="67">
        <v>21.5</v>
      </c>
      <c r="AC43" s="67">
        <v>21.5</v>
      </c>
      <c r="AD43" s="67">
        <v>21.5</v>
      </c>
      <c r="AE43" s="67">
        <v>21.5</v>
      </c>
      <c r="AF43" s="67">
        <v>21.5</v>
      </c>
      <c r="AG43" s="68">
        <v>22.1</v>
      </c>
      <c r="AH43" s="48">
        <f t="shared" si="2"/>
        <v>22</v>
      </c>
      <c r="AI43" s="49">
        <f t="shared" si="3"/>
        <v>20.8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252</v>
      </c>
      <c r="C44" s="61">
        <f t="shared" si="5"/>
        <v>152</v>
      </c>
      <c r="D44" s="61">
        <f t="shared" si="5"/>
        <v>132</v>
      </c>
      <c r="E44" s="61">
        <f t="shared" si="5"/>
        <v>142</v>
      </c>
      <c r="F44" s="61">
        <f t="shared" si="5"/>
        <v>132</v>
      </c>
      <c r="G44" s="61">
        <f t="shared" si="5"/>
        <v>152</v>
      </c>
      <c r="H44" s="61">
        <f t="shared" si="5"/>
        <v>142</v>
      </c>
      <c r="I44" s="61">
        <f t="shared" si="5"/>
        <v>162</v>
      </c>
      <c r="J44" s="61">
        <f t="shared" si="5"/>
        <v>182</v>
      </c>
      <c r="K44" s="61">
        <f t="shared" si="5"/>
        <v>332</v>
      </c>
      <c r="L44" s="61">
        <f t="shared" si="5"/>
        <v>392</v>
      </c>
      <c r="M44" s="61">
        <f t="shared" si="5"/>
        <v>422</v>
      </c>
      <c r="N44" s="61">
        <f t="shared" si="5"/>
        <v>377</v>
      </c>
      <c r="O44" s="61">
        <f t="shared" si="5"/>
        <v>317</v>
      </c>
      <c r="P44" s="61">
        <f t="shared" si="5"/>
        <v>297</v>
      </c>
      <c r="Q44" s="61">
        <f t="shared" si="5"/>
        <v>237</v>
      </c>
      <c r="R44" s="61">
        <f t="shared" si="5"/>
        <v>197</v>
      </c>
      <c r="S44" s="61">
        <f t="shared" si="5"/>
        <v>260.8</v>
      </c>
      <c r="T44" s="61">
        <f t="shared" si="5"/>
        <v>250.8</v>
      </c>
      <c r="U44" s="61">
        <f t="shared" si="5"/>
        <v>240.8</v>
      </c>
      <c r="V44" s="61">
        <f t="shared" si="5"/>
        <v>390.8</v>
      </c>
      <c r="W44" s="61">
        <f t="shared" si="5"/>
        <v>440.8</v>
      </c>
      <c r="X44" s="61">
        <v>460.8</v>
      </c>
      <c r="Y44" s="61">
        <f t="shared" si="5"/>
        <v>420.8</v>
      </c>
      <c r="Z44" s="61">
        <f t="shared" si="5"/>
        <v>380.8</v>
      </c>
      <c r="AA44" s="61">
        <f t="shared" si="5"/>
        <v>380.8</v>
      </c>
      <c r="AB44" s="61">
        <f t="shared" si="5"/>
        <v>341.5</v>
      </c>
      <c r="AC44" s="61">
        <f t="shared" si="5"/>
        <v>281.5</v>
      </c>
      <c r="AD44" s="61">
        <f t="shared" si="5"/>
        <v>261.5</v>
      </c>
      <c r="AE44" s="61">
        <f t="shared" si="5"/>
        <v>221.5</v>
      </c>
      <c r="AF44" s="61">
        <f t="shared" si="5"/>
        <v>221.5</v>
      </c>
      <c r="AG44" s="62">
        <f t="shared" si="5"/>
        <v>538.1</v>
      </c>
      <c r="AH44" s="48">
        <f t="shared" si="2"/>
        <v>460.8</v>
      </c>
      <c r="AI44" s="49">
        <f t="shared" si="3"/>
        <v>132</v>
      </c>
      <c r="AK44" s="50"/>
    </row>
    <row r="45" spans="1:88" x14ac:dyDescent="0.25">
      <c r="A45" s="44" t="s">
        <v>53</v>
      </c>
      <c r="B45" s="45">
        <v>133.5</v>
      </c>
      <c r="C45" s="45">
        <v>123.5</v>
      </c>
      <c r="D45" s="45">
        <v>115</v>
      </c>
      <c r="E45" s="45">
        <v>102.4</v>
      </c>
      <c r="F45" s="45">
        <v>111.5</v>
      </c>
      <c r="G45" s="45">
        <v>121.8</v>
      </c>
      <c r="H45" s="45">
        <v>131</v>
      </c>
      <c r="I45" s="45">
        <v>143.30000000000001</v>
      </c>
      <c r="J45" s="45">
        <v>143.69999999999999</v>
      </c>
      <c r="K45" s="45">
        <v>143.69999999999999</v>
      </c>
      <c r="L45" s="45">
        <v>143.69999999999999</v>
      </c>
      <c r="M45" s="45">
        <v>143.69999999999999</v>
      </c>
      <c r="N45" s="45">
        <v>143.69999999999999</v>
      </c>
      <c r="O45" s="45">
        <v>143.69999999999999</v>
      </c>
      <c r="P45" s="45">
        <v>143.69999999999999</v>
      </c>
      <c r="Q45" s="45">
        <v>143.69999999999999</v>
      </c>
      <c r="R45" s="45">
        <v>143.69999999999999</v>
      </c>
      <c r="S45" s="45">
        <v>143.5</v>
      </c>
      <c r="T45" s="45">
        <v>143.4</v>
      </c>
      <c r="U45" s="45">
        <v>143.4</v>
      </c>
      <c r="V45" s="45">
        <v>143.4</v>
      </c>
      <c r="W45" s="45">
        <v>143.4</v>
      </c>
      <c r="X45" s="45">
        <v>143.6</v>
      </c>
      <c r="Y45" s="45">
        <v>143.6</v>
      </c>
      <c r="Z45" s="45">
        <v>143.6</v>
      </c>
      <c r="AA45" s="45">
        <v>143.6</v>
      </c>
      <c r="AB45" s="45">
        <v>143.6</v>
      </c>
      <c r="AC45" s="45">
        <v>143.6</v>
      </c>
      <c r="AD45" s="45">
        <v>143.6</v>
      </c>
      <c r="AE45" s="45">
        <v>143.6</v>
      </c>
      <c r="AF45" s="45">
        <v>130.5</v>
      </c>
      <c r="AG45" s="52">
        <v>144</v>
      </c>
      <c r="AH45" s="48">
        <f t="shared" si="2"/>
        <v>143.69999999999999</v>
      </c>
      <c r="AI45" s="49">
        <f t="shared" si="3"/>
        <v>102.4</v>
      </c>
      <c r="AK45" s="50"/>
    </row>
    <row r="46" spans="1:88" x14ac:dyDescent="0.25">
      <c r="A46" s="54" t="s">
        <v>54</v>
      </c>
      <c r="B46" s="65">
        <v>36.799999999999997</v>
      </c>
      <c r="C46" s="65">
        <v>36.4</v>
      </c>
      <c r="D46" s="65">
        <v>36.4</v>
      </c>
      <c r="E46" s="65">
        <v>30.8</v>
      </c>
      <c r="F46" s="65">
        <v>30.8</v>
      </c>
      <c r="G46" s="65">
        <v>49.4</v>
      </c>
      <c r="H46" s="65">
        <v>60</v>
      </c>
      <c r="I46" s="65">
        <v>73.599999999999994</v>
      </c>
      <c r="J46" s="65">
        <v>73.7</v>
      </c>
      <c r="K46" s="65">
        <v>73.7</v>
      </c>
      <c r="L46" s="65">
        <v>73.7</v>
      </c>
      <c r="M46" s="65">
        <v>73.7</v>
      </c>
      <c r="N46" s="65">
        <v>72.099999999999994</v>
      </c>
      <c r="O46" s="65">
        <v>72.099999999999994</v>
      </c>
      <c r="P46" s="65">
        <v>72.099999999999994</v>
      </c>
      <c r="Q46" s="65">
        <v>72.099999999999994</v>
      </c>
      <c r="R46" s="65">
        <v>72.099999999999994</v>
      </c>
      <c r="S46" s="65">
        <v>70.900000000000006</v>
      </c>
      <c r="T46" s="65">
        <v>73.8</v>
      </c>
      <c r="U46" s="65">
        <v>73.8</v>
      </c>
      <c r="V46" s="65">
        <v>73.8</v>
      </c>
      <c r="W46" s="65">
        <v>73.8</v>
      </c>
      <c r="X46" s="65">
        <v>71.900000000000006</v>
      </c>
      <c r="Y46" s="65">
        <v>71.900000000000006</v>
      </c>
      <c r="Z46" s="65">
        <v>71.900000000000006</v>
      </c>
      <c r="AA46" s="65">
        <v>71.900000000000006</v>
      </c>
      <c r="AB46" s="65">
        <v>71.900000000000006</v>
      </c>
      <c r="AC46" s="65">
        <v>71.900000000000006</v>
      </c>
      <c r="AD46" s="65">
        <v>71.900000000000006</v>
      </c>
      <c r="AE46" s="65">
        <v>71.900000000000006</v>
      </c>
      <c r="AF46" s="65">
        <v>61.6</v>
      </c>
      <c r="AG46" s="55">
        <v>70</v>
      </c>
      <c r="AH46" s="48">
        <f t="shared" si="2"/>
        <v>73.8</v>
      </c>
      <c r="AI46" s="49">
        <f t="shared" si="3"/>
        <v>30.8</v>
      </c>
      <c r="AK46" s="50"/>
    </row>
    <row r="47" spans="1:88" x14ac:dyDescent="0.25">
      <c r="A47" s="54" t="s">
        <v>55</v>
      </c>
      <c r="B47" s="65">
        <v>42</v>
      </c>
      <c r="C47" s="65">
        <v>47</v>
      </c>
      <c r="D47" s="65">
        <v>52</v>
      </c>
      <c r="E47" s="65">
        <v>66</v>
      </c>
      <c r="F47" s="65">
        <v>67.400000000000006</v>
      </c>
      <c r="G47" s="65">
        <v>62</v>
      </c>
      <c r="H47" s="65">
        <v>70.599999999999994</v>
      </c>
      <c r="I47" s="65">
        <v>65.5</v>
      </c>
      <c r="J47" s="65">
        <v>70.3</v>
      </c>
      <c r="K47" s="65">
        <v>70.3</v>
      </c>
      <c r="L47" s="65">
        <v>70.3</v>
      </c>
      <c r="M47" s="65">
        <v>70.3</v>
      </c>
      <c r="N47" s="65">
        <v>70.099999999999994</v>
      </c>
      <c r="O47" s="65">
        <v>70.099999999999994</v>
      </c>
      <c r="P47" s="65">
        <v>70.099999999999994</v>
      </c>
      <c r="Q47" s="65">
        <v>70.099999999999994</v>
      </c>
      <c r="R47" s="65">
        <v>70.099999999999994</v>
      </c>
      <c r="S47" s="65">
        <v>69.900000000000006</v>
      </c>
      <c r="T47" s="65">
        <v>70</v>
      </c>
      <c r="U47" s="65">
        <v>70</v>
      </c>
      <c r="V47" s="65">
        <v>70</v>
      </c>
      <c r="W47" s="65">
        <v>70</v>
      </c>
      <c r="X47" s="65">
        <v>70</v>
      </c>
      <c r="Y47" s="65">
        <v>70</v>
      </c>
      <c r="Z47" s="65">
        <v>70</v>
      </c>
      <c r="AA47" s="65">
        <v>70</v>
      </c>
      <c r="AB47" s="65">
        <v>70</v>
      </c>
      <c r="AC47" s="65">
        <v>70</v>
      </c>
      <c r="AD47" s="65">
        <v>70</v>
      </c>
      <c r="AE47" s="65">
        <v>70</v>
      </c>
      <c r="AF47" s="65">
        <v>60.5</v>
      </c>
      <c r="AG47" s="55">
        <v>69</v>
      </c>
      <c r="AH47" s="48">
        <f t="shared" si="2"/>
        <v>70.599999999999994</v>
      </c>
      <c r="AI47" s="49">
        <f t="shared" si="3"/>
        <v>42</v>
      </c>
      <c r="AK47" s="50"/>
    </row>
    <row r="48" spans="1:88" x14ac:dyDescent="0.25">
      <c r="A48" s="54" t="s">
        <v>56</v>
      </c>
      <c r="B48" s="57">
        <v>41</v>
      </c>
      <c r="C48" s="57">
        <v>41</v>
      </c>
      <c r="D48" s="57">
        <v>41</v>
      </c>
      <c r="E48" s="57">
        <v>40.6</v>
      </c>
      <c r="F48" s="57">
        <v>40.799999999999997</v>
      </c>
      <c r="G48" s="57">
        <v>61.2</v>
      </c>
      <c r="H48" s="57">
        <v>61.2</v>
      </c>
      <c r="I48" s="57">
        <v>61</v>
      </c>
      <c r="J48" s="57">
        <v>61</v>
      </c>
      <c r="K48" s="57">
        <v>61</v>
      </c>
      <c r="L48" s="57">
        <v>61</v>
      </c>
      <c r="M48" s="57">
        <v>61</v>
      </c>
      <c r="N48" s="57">
        <v>60.9</v>
      </c>
      <c r="O48" s="57">
        <v>60.9</v>
      </c>
      <c r="P48" s="57">
        <v>60.9</v>
      </c>
      <c r="Q48" s="57">
        <v>60.9</v>
      </c>
      <c r="R48" s="57">
        <v>60.9</v>
      </c>
      <c r="S48" s="45">
        <v>60.9</v>
      </c>
      <c r="T48" s="45">
        <v>60.9</v>
      </c>
      <c r="U48" s="45">
        <v>60.9</v>
      </c>
      <c r="V48" s="45">
        <v>60.9</v>
      </c>
      <c r="W48" s="45">
        <v>60.9</v>
      </c>
      <c r="X48" s="45">
        <v>60.9</v>
      </c>
      <c r="Y48" s="45">
        <v>60.9</v>
      </c>
      <c r="Z48" s="45">
        <v>60.9</v>
      </c>
      <c r="AA48" s="45">
        <v>60.9</v>
      </c>
      <c r="AB48" s="57">
        <v>60.9</v>
      </c>
      <c r="AC48" s="57">
        <v>60.9</v>
      </c>
      <c r="AD48" s="57">
        <v>60.9</v>
      </c>
      <c r="AE48" s="57">
        <v>50</v>
      </c>
      <c r="AF48" s="57">
        <v>30.7</v>
      </c>
      <c r="AG48" s="55">
        <v>60</v>
      </c>
      <c r="AH48" s="48">
        <f t="shared" si="2"/>
        <v>61.2</v>
      </c>
      <c r="AI48" s="49">
        <f t="shared" si="3"/>
        <v>30.7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13.1</v>
      </c>
      <c r="I49" s="57">
        <v>15.2</v>
      </c>
      <c r="J49" s="57">
        <v>15.1</v>
      </c>
      <c r="K49" s="57">
        <v>15.1</v>
      </c>
      <c r="L49" s="57">
        <v>26</v>
      </c>
      <c r="M49" s="57">
        <v>29.8</v>
      </c>
      <c r="N49" s="57">
        <v>26</v>
      </c>
      <c r="O49" s="57">
        <v>13</v>
      </c>
      <c r="P49" s="57">
        <v>0</v>
      </c>
      <c r="Q49" s="57">
        <v>0</v>
      </c>
      <c r="R49" s="57">
        <v>0</v>
      </c>
      <c r="S49" s="45">
        <v>15</v>
      </c>
      <c r="T49" s="45">
        <v>15</v>
      </c>
      <c r="U49" s="45">
        <v>15</v>
      </c>
      <c r="V49" s="45">
        <v>15</v>
      </c>
      <c r="W49" s="45">
        <v>15</v>
      </c>
      <c r="X49" s="45">
        <v>30</v>
      </c>
      <c r="Y49" s="45">
        <v>30</v>
      </c>
      <c r="Z49" s="45">
        <v>30</v>
      </c>
      <c r="AA49" s="45">
        <v>14.5</v>
      </c>
      <c r="AB49" s="57">
        <v>14.5</v>
      </c>
      <c r="AC49" s="57">
        <v>0</v>
      </c>
      <c r="AD49" s="57">
        <v>0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4</v>
      </c>
      <c r="M50" s="65">
        <v>4</v>
      </c>
      <c r="N50" s="65">
        <v>4</v>
      </c>
      <c r="O50" s="65">
        <v>4</v>
      </c>
      <c r="P50" s="65">
        <v>4</v>
      </c>
      <c r="Q50" s="65">
        <v>4</v>
      </c>
      <c r="R50" s="65">
        <v>4</v>
      </c>
      <c r="S50" s="45">
        <v>4</v>
      </c>
      <c r="T50" s="45">
        <v>4</v>
      </c>
      <c r="U50" s="45">
        <v>4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17.600000000000001</v>
      </c>
      <c r="C51" s="65">
        <v>17.600000000000001</v>
      </c>
      <c r="D51" s="65">
        <v>17.600000000000001</v>
      </c>
      <c r="E51" s="65">
        <v>17.600000000000001</v>
      </c>
      <c r="F51" s="65">
        <v>17.600000000000001</v>
      </c>
      <c r="G51" s="65">
        <v>17.600000000000001</v>
      </c>
      <c r="H51" s="65">
        <v>17.600000000000001</v>
      </c>
      <c r="I51" s="65">
        <v>17.600000000000001</v>
      </c>
      <c r="J51" s="65">
        <v>17.600000000000001</v>
      </c>
      <c r="K51" s="65">
        <v>17.600000000000001</v>
      </c>
      <c r="L51" s="65">
        <v>17.600000000000001</v>
      </c>
      <c r="M51" s="65">
        <v>17.600000000000001</v>
      </c>
      <c r="N51" s="65">
        <v>17.600000000000001</v>
      </c>
      <c r="O51" s="65">
        <v>17.600000000000001</v>
      </c>
      <c r="P51" s="65">
        <v>13</v>
      </c>
      <c r="Q51" s="65">
        <v>13</v>
      </c>
      <c r="R51" s="65">
        <v>13</v>
      </c>
      <c r="S51" s="45">
        <v>13</v>
      </c>
      <c r="T51" s="45">
        <v>13</v>
      </c>
      <c r="U51" s="45">
        <v>13</v>
      </c>
      <c r="V51" s="45">
        <v>13</v>
      </c>
      <c r="W51" s="45">
        <v>13</v>
      </c>
      <c r="X51" s="45">
        <v>13</v>
      </c>
      <c r="Y51" s="45">
        <v>13</v>
      </c>
      <c r="Z51" s="45">
        <v>13</v>
      </c>
      <c r="AA51" s="45">
        <v>13</v>
      </c>
      <c r="AB51" s="65">
        <v>13</v>
      </c>
      <c r="AC51" s="65">
        <v>13</v>
      </c>
      <c r="AD51" s="65">
        <v>13</v>
      </c>
      <c r="AE51" s="65">
        <v>13</v>
      </c>
      <c r="AF51" s="65">
        <v>13</v>
      </c>
      <c r="AG51" s="55">
        <v>24</v>
      </c>
      <c r="AH51" s="48">
        <f t="shared" si="2"/>
        <v>17.600000000000001</v>
      </c>
      <c r="AI51" s="49">
        <f t="shared" si="3"/>
        <v>13</v>
      </c>
      <c r="AK51" s="164">
        <f>6+3+6+21+15+10+6+20+7+3</f>
        <v>97</v>
      </c>
      <c r="AL51" s="165" t="s">
        <v>246</v>
      </c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164">
        <f>21+15+10+6+20</f>
        <v>72</v>
      </c>
      <c r="AL52" s="70" t="s">
        <v>245</v>
      </c>
      <c r="AO52" s="70"/>
    </row>
    <row r="53" spans="1:41" s="70" customFormat="1" x14ac:dyDescent="0.25">
      <c r="A53" s="54" t="s">
        <v>61</v>
      </c>
      <c r="B53" s="65">
        <v>14.2</v>
      </c>
      <c r="C53" s="65">
        <v>14.2</v>
      </c>
      <c r="D53" s="65">
        <v>14.2</v>
      </c>
      <c r="E53" s="65">
        <v>14.2</v>
      </c>
      <c r="F53" s="65">
        <v>14.2</v>
      </c>
      <c r="G53" s="65">
        <v>14.2</v>
      </c>
      <c r="H53" s="65">
        <v>14.2</v>
      </c>
      <c r="I53" s="65">
        <v>14.2</v>
      </c>
      <c r="J53" s="65">
        <v>14.2</v>
      </c>
      <c r="K53" s="65">
        <v>14.2</v>
      </c>
      <c r="L53" s="65">
        <v>14.2</v>
      </c>
      <c r="M53" s="65">
        <v>14.2</v>
      </c>
      <c r="N53" s="65">
        <v>14.2</v>
      </c>
      <c r="O53" s="65">
        <v>14.2</v>
      </c>
      <c r="P53" s="65">
        <v>14.2</v>
      </c>
      <c r="Q53" s="65">
        <v>14.2</v>
      </c>
      <c r="R53" s="65">
        <v>14.2</v>
      </c>
      <c r="S53" s="65">
        <v>14.2</v>
      </c>
      <c r="T53" s="65">
        <v>14.2</v>
      </c>
      <c r="U53" s="65">
        <v>14.2</v>
      </c>
      <c r="V53" s="65">
        <v>14.2</v>
      </c>
      <c r="W53" s="65">
        <v>14.2</v>
      </c>
      <c r="X53" s="65">
        <v>14.2</v>
      </c>
      <c r="Y53" s="65">
        <v>14.2</v>
      </c>
      <c r="Z53" s="65">
        <v>14.2</v>
      </c>
      <c r="AA53" s="65">
        <v>14.2</v>
      </c>
      <c r="AB53" s="65">
        <v>14.2</v>
      </c>
      <c r="AC53" s="65">
        <v>14.2</v>
      </c>
      <c r="AD53" s="65">
        <v>15.1</v>
      </c>
      <c r="AE53" s="65">
        <v>15.1</v>
      </c>
      <c r="AF53" s="65">
        <v>15.1</v>
      </c>
      <c r="AG53" s="55">
        <v>14.1</v>
      </c>
      <c r="AH53" s="48">
        <f t="shared" si="2"/>
        <v>15.1</v>
      </c>
      <c r="AI53" s="49">
        <f t="shared" si="3"/>
        <v>14.2</v>
      </c>
      <c r="AJ53" s="1"/>
      <c r="AK53" s="166" t="s">
        <v>247</v>
      </c>
      <c r="AL53" s="1"/>
      <c r="AM53" s="1"/>
      <c r="AN53" s="1"/>
      <c r="AO53" s="1"/>
    </row>
    <row r="54" spans="1:41" x14ac:dyDescent="0.25">
      <c r="A54" s="71" t="s">
        <v>62</v>
      </c>
      <c r="B54" s="65">
        <v>10.5</v>
      </c>
      <c r="C54" s="65">
        <v>10.5</v>
      </c>
      <c r="D54" s="65">
        <v>10.5</v>
      </c>
      <c r="E54" s="65">
        <v>10.5</v>
      </c>
      <c r="F54" s="65">
        <v>10.5</v>
      </c>
      <c r="G54" s="65">
        <v>10.5</v>
      </c>
      <c r="H54" s="65">
        <v>10.5</v>
      </c>
      <c r="I54" s="65">
        <v>10.5</v>
      </c>
      <c r="J54" s="65">
        <v>10.5</v>
      </c>
      <c r="K54" s="65">
        <v>10.5</v>
      </c>
      <c r="L54" s="65">
        <v>10.5</v>
      </c>
      <c r="M54" s="65">
        <v>10.5</v>
      </c>
      <c r="N54" s="65">
        <v>10.5</v>
      </c>
      <c r="O54" s="65">
        <v>10.5</v>
      </c>
      <c r="P54" s="65">
        <v>10.5</v>
      </c>
      <c r="Q54" s="65">
        <v>10.5</v>
      </c>
      <c r="R54" s="65">
        <v>10.5</v>
      </c>
      <c r="S54" s="65">
        <v>9.5</v>
      </c>
      <c r="T54" s="65">
        <v>9.5</v>
      </c>
      <c r="U54" s="65">
        <v>9.5</v>
      </c>
      <c r="V54" s="65">
        <v>9.5</v>
      </c>
      <c r="W54" s="65">
        <v>9.5</v>
      </c>
      <c r="X54" s="65">
        <v>9.5</v>
      </c>
      <c r="Y54" s="65">
        <v>9.5</v>
      </c>
      <c r="Z54" s="65">
        <v>9.5</v>
      </c>
      <c r="AA54" s="65">
        <v>9.5</v>
      </c>
      <c r="AB54" s="65">
        <v>9.5</v>
      </c>
      <c r="AC54" s="65">
        <v>9.5</v>
      </c>
      <c r="AD54" s="65">
        <v>10.199999999999999</v>
      </c>
      <c r="AE54" s="65">
        <v>10.199999999999999</v>
      </c>
      <c r="AF54" s="65">
        <v>10.199999999999999</v>
      </c>
      <c r="AG54" s="55">
        <v>14</v>
      </c>
      <c r="AH54" s="48">
        <f t="shared" si="2"/>
        <v>10.5</v>
      </c>
      <c r="AI54" s="49">
        <f t="shared" si="3"/>
        <v>9.5</v>
      </c>
      <c r="AK54" s="164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65">
        <v>4.5999999999999996</v>
      </c>
      <c r="U56" s="65">
        <v>4.5999999999999996</v>
      </c>
      <c r="V56" s="65">
        <v>4.5999999999999996</v>
      </c>
      <c r="W56" s="65">
        <v>4.5999999999999996</v>
      </c>
      <c r="X56" s="65">
        <v>4.5999999999999996</v>
      </c>
      <c r="Y56" s="65">
        <v>4.5999999999999996</v>
      </c>
      <c r="Z56" s="65">
        <v>4.5999999999999996</v>
      </c>
      <c r="AA56" s="65">
        <v>4.5999999999999996</v>
      </c>
      <c r="AB56" s="65">
        <v>4.5999999999999996</v>
      </c>
      <c r="AC56" s="65">
        <v>4.5999999999999996</v>
      </c>
      <c r="AD56" s="65">
        <v>4.5999999999999996</v>
      </c>
      <c r="AE56" s="65">
        <v>4.5999999999999996</v>
      </c>
      <c r="AF56" s="65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312.74000000000007</v>
      </c>
      <c r="C58" s="61">
        <f t="shared" si="6"/>
        <v>307.34000000000003</v>
      </c>
      <c r="D58" s="61">
        <f t="shared" si="6"/>
        <v>303.84000000000003</v>
      </c>
      <c r="E58" s="61">
        <f t="shared" si="6"/>
        <v>299.24000000000007</v>
      </c>
      <c r="F58" s="61">
        <f t="shared" si="6"/>
        <v>309.94000000000005</v>
      </c>
      <c r="G58" s="61">
        <f t="shared" si="6"/>
        <v>353.84000000000003</v>
      </c>
      <c r="H58" s="61">
        <f t="shared" si="6"/>
        <v>395.34000000000009</v>
      </c>
      <c r="I58" s="61">
        <f t="shared" si="6"/>
        <v>418.04</v>
      </c>
      <c r="J58" s="61">
        <f t="shared" si="6"/>
        <v>423.24000000000007</v>
      </c>
      <c r="K58" s="61">
        <f t="shared" si="6"/>
        <v>423.24000000000007</v>
      </c>
      <c r="L58" s="61">
        <f t="shared" si="6"/>
        <v>438.14000000000004</v>
      </c>
      <c r="M58" s="61">
        <f t="shared" si="6"/>
        <v>441.94000000000005</v>
      </c>
      <c r="N58" s="61">
        <f t="shared" si="6"/>
        <v>436.24</v>
      </c>
      <c r="O58" s="61">
        <f t="shared" si="6"/>
        <v>423.24</v>
      </c>
      <c r="P58" s="61">
        <f t="shared" si="6"/>
        <v>405.64</v>
      </c>
      <c r="Q58" s="61">
        <f t="shared" si="6"/>
        <v>405.64</v>
      </c>
      <c r="R58" s="61">
        <f t="shared" si="6"/>
        <v>405.64</v>
      </c>
      <c r="S58" s="61">
        <f t="shared" si="6"/>
        <v>418.04</v>
      </c>
      <c r="T58" s="61">
        <f t="shared" si="6"/>
        <v>420.94</v>
      </c>
      <c r="U58" s="61">
        <f t="shared" si="6"/>
        <v>420.94</v>
      </c>
      <c r="V58" s="61">
        <f t="shared" si="6"/>
        <v>416.94</v>
      </c>
      <c r="W58" s="61">
        <f t="shared" si="6"/>
        <v>416.94</v>
      </c>
      <c r="X58" s="61">
        <v>430.24</v>
      </c>
      <c r="Y58" s="61">
        <f t="shared" si="6"/>
        <v>430.24</v>
      </c>
      <c r="Z58" s="61">
        <f t="shared" si="6"/>
        <v>430.24</v>
      </c>
      <c r="AA58" s="61">
        <f t="shared" si="6"/>
        <v>414.74</v>
      </c>
      <c r="AB58" s="61">
        <f t="shared" si="6"/>
        <v>414.74</v>
      </c>
      <c r="AC58" s="61">
        <f t="shared" si="6"/>
        <v>400.24</v>
      </c>
      <c r="AD58" s="61">
        <f t="shared" si="6"/>
        <v>401.84000000000003</v>
      </c>
      <c r="AE58" s="61">
        <f t="shared" si="6"/>
        <v>390.94000000000005</v>
      </c>
      <c r="AF58" s="61">
        <f t="shared" si="6"/>
        <v>338.74000000000007</v>
      </c>
      <c r="AG58" s="62">
        <f t="shared" si="6"/>
        <v>489.91</v>
      </c>
      <c r="AH58" s="48">
        <f t="shared" si="2"/>
        <v>441.94000000000005</v>
      </c>
      <c r="AI58" s="49">
        <f t="shared" si="3"/>
        <v>299.24000000000007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>
        <v>0</v>
      </c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>
        <v>0</v>
      </c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>
        <v>0</v>
      </c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-250</v>
      </c>
      <c r="C65" s="65">
        <v>-184</v>
      </c>
      <c r="D65" s="65">
        <v>-164</v>
      </c>
      <c r="E65" s="65">
        <v>-175.2</v>
      </c>
      <c r="F65" s="65">
        <v>-178.4</v>
      </c>
      <c r="G65" s="65">
        <v>-176</v>
      </c>
      <c r="H65" s="65">
        <v>-178.8</v>
      </c>
      <c r="I65" s="65">
        <v>-175</v>
      </c>
      <c r="J65" s="65">
        <v>-180</v>
      </c>
      <c r="K65" s="65">
        <v>-255</v>
      </c>
      <c r="L65" s="65">
        <v>-255</v>
      </c>
      <c r="M65" s="65">
        <v>-258.10000000000002</v>
      </c>
      <c r="N65" s="65">
        <v>-202.6</v>
      </c>
      <c r="O65" s="65">
        <v>-201.4</v>
      </c>
      <c r="P65" s="65">
        <v>-189.5</v>
      </c>
      <c r="Q65" s="65">
        <v>-203.2</v>
      </c>
      <c r="R65" s="65">
        <v>-202.9</v>
      </c>
      <c r="S65" s="65">
        <v>-192</v>
      </c>
      <c r="T65" s="65">
        <v>-212</v>
      </c>
      <c r="U65" s="65">
        <v>-206</v>
      </c>
      <c r="V65" s="65">
        <v>-207.7</v>
      </c>
      <c r="W65" s="65">
        <v>-193</v>
      </c>
      <c r="X65" s="65">
        <v>-197</v>
      </c>
      <c r="Y65" s="65">
        <v>-217</v>
      </c>
      <c r="Z65" s="65">
        <v>-266.7</v>
      </c>
      <c r="AA65" s="65">
        <v>-282</v>
      </c>
      <c r="AB65" s="65">
        <v>-308</v>
      </c>
      <c r="AC65" s="65">
        <v>-292</v>
      </c>
      <c r="AD65" s="65">
        <v>-297</v>
      </c>
      <c r="AE65" s="65">
        <v>-292</v>
      </c>
      <c r="AF65" s="65">
        <v>-300</v>
      </c>
      <c r="AG65" s="75"/>
      <c r="AH65" s="48">
        <f t="shared" si="2"/>
        <v>-164</v>
      </c>
      <c r="AI65" s="49">
        <f t="shared" si="3"/>
        <v>-308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>
        <v>0</v>
      </c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>
        <v>0</v>
      </c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>
        <v>0</v>
      </c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1149.24</v>
      </c>
      <c r="C79" s="83">
        <f t="shared" si="11"/>
        <v>1043.8400000000001</v>
      </c>
      <c r="D79" s="83">
        <f t="shared" si="11"/>
        <v>1020.34</v>
      </c>
      <c r="E79" s="83">
        <f t="shared" si="11"/>
        <v>1041.04</v>
      </c>
      <c r="F79" s="83">
        <f t="shared" si="11"/>
        <v>1041.74</v>
      </c>
      <c r="G79" s="83">
        <f t="shared" si="11"/>
        <v>1105.6399999999999</v>
      </c>
      <c r="H79" s="83">
        <f t="shared" si="11"/>
        <v>1137.1400000000001</v>
      </c>
      <c r="I79" s="83">
        <f t="shared" si="11"/>
        <v>1198.8399999999999</v>
      </c>
      <c r="J79" s="83">
        <f t="shared" si="11"/>
        <v>1224.04</v>
      </c>
      <c r="K79" s="83">
        <f t="shared" si="11"/>
        <v>1403.04</v>
      </c>
      <c r="L79" s="83">
        <f t="shared" si="11"/>
        <v>1495.44</v>
      </c>
      <c r="M79" s="83">
        <f t="shared" si="11"/>
        <v>1524.44</v>
      </c>
      <c r="N79" s="83">
        <f t="shared" si="11"/>
        <v>1473.74</v>
      </c>
      <c r="O79" s="83">
        <f t="shared" si="11"/>
        <v>1408.74</v>
      </c>
      <c r="P79" s="83">
        <f t="shared" si="11"/>
        <v>1366.1399999999999</v>
      </c>
      <c r="Q79" s="83">
        <f t="shared" si="11"/>
        <v>1311.1399999999999</v>
      </c>
      <c r="R79" s="83">
        <f t="shared" si="11"/>
        <v>1265.1399999999999</v>
      </c>
      <c r="S79" s="83">
        <f t="shared" si="11"/>
        <v>1337.54</v>
      </c>
      <c r="T79" s="83">
        <f t="shared" si="11"/>
        <v>1322.74</v>
      </c>
      <c r="U79" s="83">
        <f t="shared" si="11"/>
        <v>1313.5400000000002</v>
      </c>
      <c r="V79" s="83">
        <f t="shared" si="11"/>
        <v>1468.24</v>
      </c>
      <c r="W79" s="83">
        <f t="shared" si="11"/>
        <v>1513.24</v>
      </c>
      <c r="X79" s="83">
        <v>1554.74</v>
      </c>
      <c r="Y79" s="83">
        <f t="shared" si="11"/>
        <v>1514.74</v>
      </c>
      <c r="Z79" s="83">
        <f t="shared" si="11"/>
        <v>1474.74</v>
      </c>
      <c r="AA79" s="83">
        <f t="shared" si="11"/>
        <v>1459.24</v>
      </c>
      <c r="AB79" s="83">
        <f t="shared" si="11"/>
        <v>1416.54</v>
      </c>
      <c r="AC79" s="83">
        <f t="shared" si="11"/>
        <v>1331.1399999999999</v>
      </c>
      <c r="AD79" s="83">
        <f t="shared" si="11"/>
        <v>1291.54</v>
      </c>
      <c r="AE79" s="83">
        <f t="shared" si="11"/>
        <v>1209.3400000000001</v>
      </c>
      <c r="AF79" s="83">
        <f t="shared" si="11"/>
        <v>1157.1400000000001</v>
      </c>
      <c r="AG79" s="62">
        <f t="shared" si="11"/>
        <v>1897.1900000000003</v>
      </c>
      <c r="AH79" s="48">
        <f t="shared" si="9"/>
        <v>1554.74</v>
      </c>
      <c r="AI79" s="49">
        <f t="shared" si="10"/>
        <v>1020.34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1149.24</v>
      </c>
      <c r="C81" s="83">
        <f t="shared" si="12"/>
        <v>1043.8400000000001</v>
      </c>
      <c r="D81" s="83">
        <f t="shared" si="12"/>
        <v>1020.34</v>
      </c>
      <c r="E81" s="83">
        <f t="shared" si="12"/>
        <v>1041.04</v>
      </c>
      <c r="F81" s="83">
        <f t="shared" si="12"/>
        <v>1041.74</v>
      </c>
      <c r="G81" s="83">
        <f t="shared" si="12"/>
        <v>1105.6399999999999</v>
      </c>
      <c r="H81" s="83">
        <f t="shared" si="12"/>
        <v>1137.1400000000001</v>
      </c>
      <c r="I81" s="83">
        <f t="shared" si="12"/>
        <v>1198.8399999999999</v>
      </c>
      <c r="J81" s="83">
        <f t="shared" si="12"/>
        <v>1224.04</v>
      </c>
      <c r="K81" s="83">
        <f t="shared" si="12"/>
        <v>1403.04</v>
      </c>
      <c r="L81" s="83">
        <f t="shared" si="12"/>
        <v>1495.44</v>
      </c>
      <c r="M81" s="83">
        <f t="shared" si="12"/>
        <v>1524.44</v>
      </c>
      <c r="N81" s="83">
        <f t="shared" si="12"/>
        <v>1473.74</v>
      </c>
      <c r="O81" s="83">
        <f t="shared" si="12"/>
        <v>1408.74</v>
      </c>
      <c r="P81" s="83">
        <f t="shared" si="12"/>
        <v>1366.1399999999999</v>
      </c>
      <c r="Q81" s="83">
        <f t="shared" si="12"/>
        <v>1311.1399999999999</v>
      </c>
      <c r="R81" s="83">
        <f t="shared" si="12"/>
        <v>1265.1399999999999</v>
      </c>
      <c r="S81" s="83">
        <f t="shared" si="12"/>
        <v>1337.54</v>
      </c>
      <c r="T81" s="83">
        <f t="shared" si="12"/>
        <v>1322.74</v>
      </c>
      <c r="U81" s="83">
        <f t="shared" si="12"/>
        <v>1313.5400000000002</v>
      </c>
      <c r="V81" s="83">
        <f t="shared" si="12"/>
        <v>1468.24</v>
      </c>
      <c r="W81" s="83">
        <f t="shared" si="12"/>
        <v>1513.24</v>
      </c>
      <c r="X81" s="83">
        <v>1554.74</v>
      </c>
      <c r="Y81" s="83">
        <f t="shared" si="12"/>
        <v>1514.74</v>
      </c>
      <c r="Z81" s="83">
        <f t="shared" si="12"/>
        <v>1474.74</v>
      </c>
      <c r="AA81" s="83">
        <f t="shared" si="12"/>
        <v>1459.24</v>
      </c>
      <c r="AB81" s="83">
        <f t="shared" si="12"/>
        <v>1416.54</v>
      </c>
      <c r="AC81" s="83">
        <f t="shared" si="12"/>
        <v>1331.1399999999999</v>
      </c>
      <c r="AD81" s="83">
        <f t="shared" si="12"/>
        <v>1291.54</v>
      </c>
      <c r="AE81" s="83">
        <f t="shared" si="12"/>
        <v>1209.3400000000001</v>
      </c>
      <c r="AF81" s="83">
        <f t="shared" si="12"/>
        <v>1157.1400000000001</v>
      </c>
      <c r="AG81" s="81">
        <f>AG78+AG74+AG62+AG58+AG40+AG80</f>
        <v>1359.0900000000001</v>
      </c>
      <c r="AH81" s="48">
        <f t="shared" si="9"/>
        <v>1554.74</v>
      </c>
      <c r="AI81" s="49">
        <f t="shared" si="10"/>
        <v>1020.34</v>
      </c>
    </row>
    <row r="82" spans="1:37" ht="15.75" thickBot="1" x14ac:dyDescent="0.3">
      <c r="A82" s="74" t="s">
        <v>90</v>
      </c>
      <c r="B82" s="83">
        <f t="shared" ref="B82:AF82" si="13">B81-B89</f>
        <v>899.24</v>
      </c>
      <c r="C82" s="83">
        <f t="shared" si="13"/>
        <v>859.84000000000015</v>
      </c>
      <c r="D82" s="83">
        <f t="shared" si="13"/>
        <v>856.34</v>
      </c>
      <c r="E82" s="83">
        <f t="shared" si="13"/>
        <v>865.83999999999992</v>
      </c>
      <c r="F82" s="83">
        <f t="shared" si="13"/>
        <v>863.34</v>
      </c>
      <c r="G82" s="83">
        <f t="shared" si="13"/>
        <v>929.63999999999987</v>
      </c>
      <c r="H82" s="83">
        <f t="shared" si="13"/>
        <v>958.34000000000015</v>
      </c>
      <c r="I82" s="83">
        <f t="shared" si="13"/>
        <v>1023.8399999999999</v>
      </c>
      <c r="J82" s="83">
        <f t="shared" si="13"/>
        <v>1044.04</v>
      </c>
      <c r="K82" s="83">
        <f t="shared" si="13"/>
        <v>1148.04</v>
      </c>
      <c r="L82" s="83">
        <f t="shared" si="13"/>
        <v>1240.44</v>
      </c>
      <c r="M82" s="83">
        <f t="shared" si="13"/>
        <v>1266.3400000000001</v>
      </c>
      <c r="N82" s="83">
        <f t="shared" si="13"/>
        <v>1271.1400000000001</v>
      </c>
      <c r="O82" s="83">
        <f t="shared" si="13"/>
        <v>1207.3399999999999</v>
      </c>
      <c r="P82" s="83">
        <f t="shared" si="13"/>
        <v>1176.6399999999999</v>
      </c>
      <c r="Q82" s="83">
        <f t="shared" si="13"/>
        <v>1107.9399999999998</v>
      </c>
      <c r="R82" s="83">
        <f t="shared" si="13"/>
        <v>1062.2399999999998</v>
      </c>
      <c r="S82" s="83">
        <f t="shared" si="13"/>
        <v>1145.54</v>
      </c>
      <c r="T82" s="83">
        <f t="shared" si="13"/>
        <v>1110.74</v>
      </c>
      <c r="U82" s="83">
        <f t="shared" si="13"/>
        <v>1107.5400000000002</v>
      </c>
      <c r="V82" s="83">
        <f t="shared" si="13"/>
        <v>1260.54</v>
      </c>
      <c r="W82" s="83">
        <f t="shared" si="13"/>
        <v>1320.24</v>
      </c>
      <c r="X82" s="83">
        <v>1357.74</v>
      </c>
      <c r="Y82" s="83">
        <f t="shared" si="13"/>
        <v>1297.74</v>
      </c>
      <c r="Z82" s="83">
        <f t="shared" si="13"/>
        <v>1208.04</v>
      </c>
      <c r="AA82" s="83">
        <f t="shared" si="13"/>
        <v>1177.24</v>
      </c>
      <c r="AB82" s="83">
        <f t="shared" si="13"/>
        <v>1108.54</v>
      </c>
      <c r="AC82" s="83">
        <f t="shared" si="13"/>
        <v>1039.1399999999999</v>
      </c>
      <c r="AD82" s="83">
        <f t="shared" si="13"/>
        <v>994.54</v>
      </c>
      <c r="AE82" s="83">
        <f t="shared" si="13"/>
        <v>917.34000000000015</v>
      </c>
      <c r="AF82" s="83">
        <f t="shared" si="13"/>
        <v>857.1400000000001</v>
      </c>
      <c r="AG82" s="81"/>
      <c r="AH82" s="48">
        <f t="shared" si="9"/>
        <v>1357.74</v>
      </c>
      <c r="AI82" s="49">
        <f t="shared" si="10"/>
        <v>856.34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250</v>
      </c>
      <c r="C86" s="76">
        <f t="shared" si="17"/>
        <v>184</v>
      </c>
      <c r="D86" s="76">
        <f t="shared" si="17"/>
        <v>164</v>
      </c>
      <c r="E86" s="76">
        <f t="shared" si="17"/>
        <v>175.2</v>
      </c>
      <c r="F86" s="76">
        <f t="shared" si="17"/>
        <v>178.4</v>
      </c>
      <c r="G86" s="76">
        <f t="shared" si="17"/>
        <v>176</v>
      </c>
      <c r="H86" s="76">
        <f t="shared" si="17"/>
        <v>178.8</v>
      </c>
      <c r="I86" s="76">
        <f t="shared" si="17"/>
        <v>175</v>
      </c>
      <c r="J86" s="76">
        <f t="shared" si="17"/>
        <v>180</v>
      </c>
      <c r="K86" s="76">
        <f t="shared" si="17"/>
        <v>255</v>
      </c>
      <c r="L86" s="76">
        <f t="shared" si="17"/>
        <v>255</v>
      </c>
      <c r="M86" s="76">
        <f t="shared" si="17"/>
        <v>258.10000000000002</v>
      </c>
      <c r="N86" s="76">
        <f t="shared" si="17"/>
        <v>202.6</v>
      </c>
      <c r="O86" s="76">
        <f t="shared" si="17"/>
        <v>201.4</v>
      </c>
      <c r="P86" s="76">
        <f t="shared" si="17"/>
        <v>189.5</v>
      </c>
      <c r="Q86" s="76">
        <f t="shared" si="17"/>
        <v>203.2</v>
      </c>
      <c r="R86" s="76">
        <f t="shared" si="17"/>
        <v>202.9</v>
      </c>
      <c r="S86" s="76">
        <f t="shared" si="17"/>
        <v>192</v>
      </c>
      <c r="T86" s="76">
        <f t="shared" si="17"/>
        <v>212</v>
      </c>
      <c r="U86" s="76">
        <f t="shared" si="17"/>
        <v>206</v>
      </c>
      <c r="V86" s="76">
        <f t="shared" si="17"/>
        <v>207.7</v>
      </c>
      <c r="W86" s="76">
        <f t="shared" si="17"/>
        <v>193</v>
      </c>
      <c r="X86" s="76">
        <v>197</v>
      </c>
      <c r="Y86" s="76">
        <f t="shared" si="17"/>
        <v>217</v>
      </c>
      <c r="Z86" s="76">
        <f t="shared" si="17"/>
        <v>266.7</v>
      </c>
      <c r="AA86" s="76">
        <f t="shared" si="17"/>
        <v>282</v>
      </c>
      <c r="AB86" s="76">
        <f t="shared" si="17"/>
        <v>308</v>
      </c>
      <c r="AC86" s="76">
        <f t="shared" si="17"/>
        <v>292</v>
      </c>
      <c r="AD86" s="76">
        <f t="shared" si="17"/>
        <v>297</v>
      </c>
      <c r="AE86" s="76">
        <f t="shared" si="17"/>
        <v>292</v>
      </c>
      <c r="AF86" s="76">
        <f t="shared" si="17"/>
        <v>300</v>
      </c>
      <c r="AG86" s="86"/>
      <c r="AH86" s="48">
        <f t="shared" si="9"/>
        <v>308</v>
      </c>
      <c r="AI86" s="49">
        <f t="shared" si="10"/>
        <v>164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>
        <v>0</v>
      </c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250</v>
      </c>
      <c r="C89" s="61">
        <f t="shared" si="19"/>
        <v>184</v>
      </c>
      <c r="D89" s="61">
        <f t="shared" si="19"/>
        <v>164</v>
      </c>
      <c r="E89" s="61">
        <f t="shared" si="19"/>
        <v>175.2</v>
      </c>
      <c r="F89" s="61">
        <f t="shared" si="19"/>
        <v>178.4</v>
      </c>
      <c r="G89" s="61">
        <f t="shared" si="19"/>
        <v>176</v>
      </c>
      <c r="H89" s="61">
        <f t="shared" si="19"/>
        <v>178.8</v>
      </c>
      <c r="I89" s="61">
        <f t="shared" si="19"/>
        <v>175</v>
      </c>
      <c r="J89" s="61">
        <f t="shared" si="19"/>
        <v>180</v>
      </c>
      <c r="K89" s="61">
        <f t="shared" si="19"/>
        <v>255</v>
      </c>
      <c r="L89" s="61">
        <f t="shared" si="19"/>
        <v>255</v>
      </c>
      <c r="M89" s="61">
        <f t="shared" si="19"/>
        <v>258.10000000000002</v>
      </c>
      <c r="N89" s="61">
        <f t="shared" si="19"/>
        <v>202.6</v>
      </c>
      <c r="O89" s="61">
        <f t="shared" si="19"/>
        <v>201.4</v>
      </c>
      <c r="P89" s="61">
        <f t="shared" si="19"/>
        <v>189.5</v>
      </c>
      <c r="Q89" s="61">
        <f t="shared" si="19"/>
        <v>203.2</v>
      </c>
      <c r="R89" s="61">
        <f t="shared" si="19"/>
        <v>202.9</v>
      </c>
      <c r="S89" s="61">
        <f t="shared" si="19"/>
        <v>192</v>
      </c>
      <c r="T89" s="61">
        <f t="shared" si="19"/>
        <v>212</v>
      </c>
      <c r="U89" s="61">
        <f t="shared" si="19"/>
        <v>206</v>
      </c>
      <c r="V89" s="61">
        <f t="shared" si="19"/>
        <v>207.7</v>
      </c>
      <c r="W89" s="61">
        <f t="shared" si="19"/>
        <v>193</v>
      </c>
      <c r="X89" s="61">
        <v>197</v>
      </c>
      <c r="Y89" s="61">
        <f t="shared" si="19"/>
        <v>217</v>
      </c>
      <c r="Z89" s="61">
        <f t="shared" si="19"/>
        <v>266.7</v>
      </c>
      <c r="AA89" s="61">
        <f t="shared" si="19"/>
        <v>282</v>
      </c>
      <c r="AB89" s="61">
        <f t="shared" si="19"/>
        <v>308</v>
      </c>
      <c r="AC89" s="61">
        <f t="shared" si="19"/>
        <v>292</v>
      </c>
      <c r="AD89" s="61">
        <f t="shared" si="19"/>
        <v>297</v>
      </c>
      <c r="AE89" s="61">
        <f t="shared" si="19"/>
        <v>292</v>
      </c>
      <c r="AF89" s="61">
        <f t="shared" si="19"/>
        <v>300</v>
      </c>
      <c r="AG89" s="81"/>
      <c r="AH89" s="48">
        <f t="shared" si="9"/>
        <v>308</v>
      </c>
      <c r="AI89" s="49">
        <f t="shared" si="10"/>
        <v>164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-250</v>
      </c>
      <c r="C90" s="61">
        <f t="shared" si="20"/>
        <v>-184</v>
      </c>
      <c r="D90" s="61">
        <f t="shared" si="20"/>
        <v>-164</v>
      </c>
      <c r="E90" s="61">
        <f t="shared" si="20"/>
        <v>-175.2</v>
      </c>
      <c r="F90" s="61">
        <f t="shared" si="20"/>
        <v>-178.4</v>
      </c>
      <c r="G90" s="61">
        <f t="shared" si="20"/>
        <v>-176</v>
      </c>
      <c r="H90" s="61">
        <f t="shared" si="20"/>
        <v>-178.8</v>
      </c>
      <c r="I90" s="61">
        <f t="shared" si="20"/>
        <v>-175</v>
      </c>
      <c r="J90" s="61">
        <f t="shared" si="20"/>
        <v>-180</v>
      </c>
      <c r="K90" s="61">
        <f t="shared" si="20"/>
        <v>-255</v>
      </c>
      <c r="L90" s="61">
        <f t="shared" si="20"/>
        <v>-255</v>
      </c>
      <c r="M90" s="61">
        <f t="shared" si="20"/>
        <v>-258.10000000000002</v>
      </c>
      <c r="N90" s="61">
        <f t="shared" si="20"/>
        <v>-202.6</v>
      </c>
      <c r="O90" s="61">
        <f t="shared" si="20"/>
        <v>-201.4</v>
      </c>
      <c r="P90" s="61">
        <f t="shared" si="20"/>
        <v>-189.5</v>
      </c>
      <c r="Q90" s="61">
        <f t="shared" si="20"/>
        <v>-203.2</v>
      </c>
      <c r="R90" s="61">
        <f t="shared" si="20"/>
        <v>-202.9</v>
      </c>
      <c r="S90" s="61">
        <f t="shared" si="20"/>
        <v>-192</v>
      </c>
      <c r="T90" s="61">
        <f t="shared" si="20"/>
        <v>-212</v>
      </c>
      <c r="U90" s="61">
        <f t="shared" si="20"/>
        <v>-206</v>
      </c>
      <c r="V90" s="61">
        <f t="shared" si="20"/>
        <v>-207.7</v>
      </c>
      <c r="W90" s="61">
        <f t="shared" si="20"/>
        <v>-193</v>
      </c>
      <c r="X90" s="61">
        <v>-197</v>
      </c>
      <c r="Y90" s="61">
        <f t="shared" si="20"/>
        <v>-217</v>
      </c>
      <c r="Z90" s="61">
        <f t="shared" si="20"/>
        <v>-266.7</v>
      </c>
      <c r="AA90" s="61">
        <f t="shared" si="20"/>
        <v>-282</v>
      </c>
      <c r="AB90" s="61">
        <f t="shared" si="20"/>
        <v>-308</v>
      </c>
      <c r="AC90" s="61">
        <f t="shared" si="20"/>
        <v>-292</v>
      </c>
      <c r="AD90" s="61">
        <f t="shared" si="20"/>
        <v>-297</v>
      </c>
      <c r="AE90" s="61">
        <f t="shared" si="20"/>
        <v>-292</v>
      </c>
      <c r="AF90" s="61">
        <f t="shared" si="20"/>
        <v>-300</v>
      </c>
      <c r="AG90" s="81"/>
      <c r="AH90" s="48">
        <f t="shared" si="9"/>
        <v>-164</v>
      </c>
      <c r="AI90" s="49">
        <f t="shared" si="10"/>
        <v>-308</v>
      </c>
    </row>
    <row r="91" spans="1:37" x14ac:dyDescent="0.25">
      <c r="A91" s="88" t="s">
        <v>96</v>
      </c>
      <c r="B91" s="89">
        <v>50.027000000000001</v>
      </c>
      <c r="C91" s="89">
        <v>49.965000000000003</v>
      </c>
      <c r="D91" s="89">
        <v>50.018000000000001</v>
      </c>
      <c r="E91" s="89">
        <v>49.982999999999997</v>
      </c>
      <c r="F91" s="89">
        <v>49.973999999999997</v>
      </c>
      <c r="G91" s="89">
        <v>50.058</v>
      </c>
      <c r="H91" s="89">
        <v>50.082999999999998</v>
      </c>
      <c r="I91" s="89">
        <v>49.954999999999998</v>
      </c>
      <c r="J91" s="89">
        <v>49.881999999999998</v>
      </c>
      <c r="K91" s="89">
        <v>49.854999999999997</v>
      </c>
      <c r="L91" s="89">
        <v>49.866</v>
      </c>
      <c r="M91" s="89">
        <v>50.036999999999999</v>
      </c>
      <c r="N91" s="89">
        <v>50.097000000000001</v>
      </c>
      <c r="O91" s="89">
        <v>49.966000000000001</v>
      </c>
      <c r="P91" s="89">
        <v>49.975000000000001</v>
      </c>
      <c r="Q91" s="89">
        <v>50.075000000000003</v>
      </c>
      <c r="R91" s="89">
        <v>49.999000000000002</v>
      </c>
      <c r="S91" s="89">
        <v>49.99</v>
      </c>
      <c r="T91" s="89">
        <v>50.05</v>
      </c>
      <c r="U91" s="89">
        <v>49.97</v>
      </c>
      <c r="V91" s="89">
        <v>49.99</v>
      </c>
      <c r="W91" s="89">
        <v>49.93</v>
      </c>
      <c r="X91" s="89">
        <v>50.02</v>
      </c>
      <c r="Y91" s="89">
        <v>50.07</v>
      </c>
      <c r="Z91" s="89">
        <v>49.97</v>
      </c>
      <c r="AA91" s="89">
        <v>50.05</v>
      </c>
      <c r="AB91" s="89">
        <v>50.070999999999998</v>
      </c>
      <c r="AC91" s="89">
        <v>49.982999999999997</v>
      </c>
      <c r="AD91" s="89">
        <v>49.954999999999998</v>
      </c>
      <c r="AE91" s="89">
        <v>50.045000000000002</v>
      </c>
      <c r="AF91" s="89">
        <v>49.941000000000003</v>
      </c>
      <c r="AG91" s="90"/>
      <c r="AH91" s="48">
        <f t="shared" si="9"/>
        <v>50.097000000000001</v>
      </c>
      <c r="AI91" s="49">
        <f t="shared" si="10"/>
        <v>49.854999999999997</v>
      </c>
    </row>
    <row r="92" spans="1:37" x14ac:dyDescent="0.25">
      <c r="A92" s="91" t="s">
        <v>97</v>
      </c>
      <c r="B92" s="65">
        <v>128.19999999999999</v>
      </c>
      <c r="C92" s="65">
        <v>128.5</v>
      </c>
      <c r="D92" s="65">
        <v>128.5</v>
      </c>
      <c r="E92" s="65">
        <v>128.6</v>
      </c>
      <c r="F92" s="65">
        <v>128.9</v>
      </c>
      <c r="G92" s="65">
        <v>127.8</v>
      </c>
      <c r="H92" s="65">
        <v>127.3</v>
      </c>
      <c r="I92" s="65">
        <v>126.1</v>
      </c>
      <c r="J92" s="65">
        <v>124.4</v>
      </c>
      <c r="K92" s="65">
        <v>123.7</v>
      </c>
      <c r="L92" s="65">
        <v>123.7</v>
      </c>
      <c r="M92" s="65">
        <v>122.5</v>
      </c>
      <c r="N92" s="65">
        <v>124.1</v>
      </c>
      <c r="O92" s="65">
        <v>123.9</v>
      </c>
      <c r="P92" s="65">
        <v>124.2</v>
      </c>
      <c r="Q92" s="65">
        <v>124</v>
      </c>
      <c r="R92" s="65">
        <v>124.9</v>
      </c>
      <c r="S92" s="65">
        <v>124.8</v>
      </c>
      <c r="T92" s="65">
        <v>125.4</v>
      </c>
      <c r="U92" s="65">
        <v>124</v>
      </c>
      <c r="V92" s="65">
        <v>125.8</v>
      </c>
      <c r="W92" s="65">
        <v>124.5</v>
      </c>
      <c r="X92" s="65">
        <v>125.6</v>
      </c>
      <c r="Y92" s="65">
        <v>127.2</v>
      </c>
      <c r="Z92" s="65">
        <v>127.1</v>
      </c>
      <c r="AA92" s="65">
        <v>127.9</v>
      </c>
      <c r="AB92" s="65">
        <v>127.8</v>
      </c>
      <c r="AC92" s="65">
        <v>127.4</v>
      </c>
      <c r="AD92" s="65">
        <v>127.6</v>
      </c>
      <c r="AE92" s="65">
        <v>127.8</v>
      </c>
      <c r="AF92" s="65">
        <v>127</v>
      </c>
      <c r="AG92" s="92"/>
      <c r="AH92" s="48">
        <f t="shared" si="9"/>
        <v>128.9</v>
      </c>
      <c r="AI92" s="49">
        <f t="shared" si="10"/>
        <v>122.5</v>
      </c>
    </row>
    <row r="93" spans="1:37" x14ac:dyDescent="0.25">
      <c r="A93" s="91" t="s">
        <v>98</v>
      </c>
      <c r="B93" s="65">
        <v>132</v>
      </c>
      <c r="C93" s="65">
        <v>132.19999999999999</v>
      </c>
      <c r="D93" s="65">
        <v>132.69999999999999</v>
      </c>
      <c r="E93" s="65">
        <v>132.6</v>
      </c>
      <c r="F93" s="65">
        <v>132.6</v>
      </c>
      <c r="G93" s="65">
        <v>131.5</v>
      </c>
      <c r="H93" s="65">
        <v>131.1</v>
      </c>
      <c r="I93" s="65">
        <v>129.69999999999999</v>
      </c>
      <c r="J93" s="65">
        <v>128.1</v>
      </c>
      <c r="K93" s="65">
        <v>126.7</v>
      </c>
      <c r="L93" s="65">
        <v>126.7</v>
      </c>
      <c r="M93" s="65">
        <v>125.9</v>
      </c>
      <c r="N93" s="65">
        <v>127.1</v>
      </c>
      <c r="O93" s="65">
        <v>127.1</v>
      </c>
      <c r="P93" s="65">
        <v>127.7</v>
      </c>
      <c r="Q93" s="65">
        <v>127.5</v>
      </c>
      <c r="R93" s="65">
        <v>128.1</v>
      </c>
      <c r="S93" s="65">
        <v>128.4</v>
      </c>
      <c r="T93" s="65">
        <v>28.5</v>
      </c>
      <c r="U93" s="65">
        <v>127</v>
      </c>
      <c r="V93" s="65">
        <v>128.80000000000001</v>
      </c>
      <c r="W93" s="65">
        <v>127.5</v>
      </c>
      <c r="X93" s="65">
        <v>128.30000000000001</v>
      </c>
      <c r="Y93" s="65">
        <v>129.69999999999999</v>
      </c>
      <c r="Z93" s="65">
        <v>129.9</v>
      </c>
      <c r="AA93" s="65">
        <v>130.69999999999999</v>
      </c>
      <c r="AB93" s="65">
        <v>130.69999999999999</v>
      </c>
      <c r="AC93" s="65">
        <v>130.4</v>
      </c>
      <c r="AD93" s="65">
        <v>130.9</v>
      </c>
      <c r="AE93" s="65">
        <v>131.19999999999999</v>
      </c>
      <c r="AF93" s="65">
        <v>130.69999999999999</v>
      </c>
      <c r="AG93" s="92"/>
      <c r="AH93" s="48">
        <f t="shared" si="9"/>
        <v>132.69999999999999</v>
      </c>
      <c r="AI93" s="49">
        <f t="shared" si="10"/>
        <v>28.5</v>
      </c>
    </row>
    <row r="94" spans="1:37" x14ac:dyDescent="0.25">
      <c r="A94" s="91" t="s">
        <v>99</v>
      </c>
      <c r="B94" s="65">
        <v>131.5</v>
      </c>
      <c r="C94" s="65">
        <v>131.19999999999999</v>
      </c>
      <c r="D94" s="65">
        <v>132</v>
      </c>
      <c r="E94" s="65">
        <v>131.4</v>
      </c>
      <c r="F94" s="65">
        <v>132.6</v>
      </c>
      <c r="G94" s="65">
        <v>130.5</v>
      </c>
      <c r="H94" s="65">
        <v>130</v>
      </c>
      <c r="I94" s="65">
        <v>130</v>
      </c>
      <c r="J94" s="65">
        <v>128</v>
      </c>
      <c r="K94" s="65">
        <v>129.4</v>
      </c>
      <c r="L94" s="65">
        <v>129.4</v>
      </c>
      <c r="M94" s="65">
        <v>127.4</v>
      </c>
      <c r="N94" s="65">
        <v>129.4</v>
      </c>
      <c r="O94" s="65">
        <v>132.19999999999999</v>
      </c>
      <c r="P94" s="65">
        <v>130</v>
      </c>
      <c r="Q94" s="65">
        <v>130</v>
      </c>
      <c r="R94" s="65">
        <v>131.30000000000001</v>
      </c>
      <c r="S94" s="65">
        <v>129.9</v>
      </c>
      <c r="T94" s="65">
        <v>129.5</v>
      </c>
      <c r="U94" s="65">
        <v>128</v>
      </c>
      <c r="V94" s="65">
        <v>127.6</v>
      </c>
      <c r="W94" s="65">
        <v>127.7</v>
      </c>
      <c r="X94" s="65">
        <v>130.69999999999999</v>
      </c>
      <c r="Y94" s="65">
        <v>132.30000000000001</v>
      </c>
      <c r="Z94" s="65">
        <v>131.6</v>
      </c>
      <c r="AA94" s="65">
        <v>1318</v>
      </c>
      <c r="AB94" s="65">
        <v>131.9</v>
      </c>
      <c r="AC94" s="65">
        <v>132</v>
      </c>
      <c r="AD94" s="65">
        <v>132.30000000000001</v>
      </c>
      <c r="AE94" s="65">
        <v>131.9</v>
      </c>
      <c r="AF94" s="65">
        <v>132.6</v>
      </c>
      <c r="AG94" s="92"/>
      <c r="AH94" s="48">
        <f t="shared" si="9"/>
        <v>1318</v>
      </c>
      <c r="AI94" s="49">
        <f t="shared" si="10"/>
        <v>127.4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133.9</v>
      </c>
      <c r="C96" s="94">
        <v>134.30000000000001</v>
      </c>
      <c r="D96" s="94">
        <v>134.69999999999999</v>
      </c>
      <c r="E96" s="94">
        <v>135.80000000000001</v>
      </c>
      <c r="F96" s="94">
        <v>134.69999999999999</v>
      </c>
      <c r="G96" s="94">
        <v>133.1</v>
      </c>
      <c r="H96" s="94">
        <v>132.6</v>
      </c>
      <c r="I96" s="94">
        <v>131.80000000000001</v>
      </c>
      <c r="J96" s="94">
        <v>131.6</v>
      </c>
      <c r="K96" s="94">
        <v>131.4</v>
      </c>
      <c r="L96" s="94">
        <v>131.4</v>
      </c>
      <c r="M96" s="94">
        <v>132.1</v>
      </c>
      <c r="N96" s="94">
        <v>132.80000000000001</v>
      </c>
      <c r="O96" s="94">
        <v>132.19999999999999</v>
      </c>
      <c r="P96" s="94">
        <v>134.1</v>
      </c>
      <c r="Q96" s="94">
        <v>135.80000000000001</v>
      </c>
      <c r="R96" s="94">
        <v>133.30000000000001</v>
      </c>
      <c r="S96" s="94">
        <v>133</v>
      </c>
      <c r="T96" s="94">
        <v>133.69999999999999</v>
      </c>
      <c r="U96" s="94">
        <v>132</v>
      </c>
      <c r="V96" s="94">
        <v>134.5</v>
      </c>
      <c r="W96" s="94">
        <v>132.80000000000001</v>
      </c>
      <c r="X96" s="94">
        <v>132.9</v>
      </c>
      <c r="Y96" s="94">
        <v>133.5</v>
      </c>
      <c r="Z96" s="94">
        <v>133.80000000000001</v>
      </c>
      <c r="AA96" s="94">
        <v>135.1</v>
      </c>
      <c r="AB96" s="94">
        <v>132.80000000000001</v>
      </c>
      <c r="AC96" s="94">
        <v>132.5</v>
      </c>
      <c r="AD96" s="94">
        <v>133.5</v>
      </c>
      <c r="AE96" s="94">
        <v>135.5</v>
      </c>
      <c r="AF96" s="94">
        <v>132.5</v>
      </c>
      <c r="AG96" s="95"/>
      <c r="AH96" s="48">
        <f t="shared" si="9"/>
        <v>135.80000000000001</v>
      </c>
      <c r="AI96" s="49">
        <f t="shared" si="10"/>
        <v>131.4</v>
      </c>
    </row>
    <row r="97" spans="1:37" x14ac:dyDescent="0.25">
      <c r="A97" s="91" t="s">
        <v>102</v>
      </c>
      <c r="B97" s="65">
        <v>134.5</v>
      </c>
      <c r="C97" s="65">
        <v>134.9</v>
      </c>
      <c r="D97" s="65">
        <v>135.6</v>
      </c>
      <c r="E97" s="65">
        <v>136.80000000000001</v>
      </c>
      <c r="F97" s="65">
        <v>136.1</v>
      </c>
      <c r="G97" s="65">
        <v>134</v>
      </c>
      <c r="H97" s="65">
        <v>133</v>
      </c>
      <c r="I97" s="65">
        <v>130.9</v>
      </c>
      <c r="J97" s="65">
        <v>128.6</v>
      </c>
      <c r="K97" s="65">
        <v>127.6</v>
      </c>
      <c r="L97" s="65">
        <v>127.6</v>
      </c>
      <c r="M97" s="65">
        <v>125.4</v>
      </c>
      <c r="N97" s="65">
        <v>127.8</v>
      </c>
      <c r="O97" s="65">
        <v>128.30000000000001</v>
      </c>
      <c r="P97" s="65">
        <v>128.9</v>
      </c>
      <c r="Q97" s="65">
        <v>132.80000000000001</v>
      </c>
      <c r="R97" s="65">
        <v>127.4</v>
      </c>
      <c r="S97" s="65">
        <v>126.4</v>
      </c>
      <c r="T97" s="65">
        <v>128.80000000000001</v>
      </c>
      <c r="U97" s="65">
        <v>127</v>
      </c>
      <c r="V97" s="65">
        <v>130.9</v>
      </c>
      <c r="W97" s="65">
        <v>129.1</v>
      </c>
      <c r="X97" s="65">
        <v>129.6</v>
      </c>
      <c r="Y97" s="65">
        <v>133.6</v>
      </c>
      <c r="Z97" s="65">
        <v>132.9</v>
      </c>
      <c r="AA97" s="65">
        <v>133.4</v>
      </c>
      <c r="AB97" s="65">
        <v>131.9</v>
      </c>
      <c r="AC97" s="65">
        <v>131.80000000000001</v>
      </c>
      <c r="AD97" s="65">
        <v>133.5</v>
      </c>
      <c r="AE97" s="65">
        <v>134.80000000000001</v>
      </c>
      <c r="AF97" s="65">
        <v>132.80000000000001</v>
      </c>
      <c r="AG97" s="92"/>
      <c r="AH97" s="48">
        <f t="shared" si="9"/>
        <v>136.80000000000001</v>
      </c>
      <c r="AI97" s="49">
        <f t="shared" si="10"/>
        <v>125.4</v>
      </c>
    </row>
    <row r="98" spans="1:37" ht="15.75" thickBot="1" x14ac:dyDescent="0.3">
      <c r="A98" s="91" t="s">
        <v>104</v>
      </c>
      <c r="B98" s="96">
        <v>66.7</v>
      </c>
      <c r="C98" s="96">
        <v>66.8</v>
      </c>
      <c r="D98" s="96">
        <v>67</v>
      </c>
      <c r="E98" s="96">
        <v>67</v>
      </c>
      <c r="F98" s="96">
        <v>66.900000000000006</v>
      </c>
      <c r="G98" s="96">
        <v>66.44</v>
      </c>
      <c r="H98" s="96">
        <v>66.2</v>
      </c>
      <c r="I98" s="96">
        <v>65.400000000000006</v>
      </c>
      <c r="J98" s="96">
        <v>64</v>
      </c>
      <c r="K98" s="96">
        <v>63.5</v>
      </c>
      <c r="L98" s="96">
        <v>63.5</v>
      </c>
      <c r="M98" s="96">
        <v>63.3</v>
      </c>
      <c r="N98" s="96">
        <v>64</v>
      </c>
      <c r="O98" s="96">
        <v>63.9</v>
      </c>
      <c r="P98" s="96">
        <v>64.099999999999994</v>
      </c>
      <c r="Q98" s="96">
        <v>63.9</v>
      </c>
      <c r="R98" s="96">
        <v>64.5</v>
      </c>
      <c r="S98" s="96">
        <v>64.599999999999994</v>
      </c>
      <c r="T98" s="96">
        <v>64.599999999999994</v>
      </c>
      <c r="U98" s="96">
        <v>64</v>
      </c>
      <c r="V98" s="96">
        <v>64.599999999999994</v>
      </c>
      <c r="W98" s="96">
        <v>64</v>
      </c>
      <c r="X98" s="96">
        <v>64.400000000000006</v>
      </c>
      <c r="Y98" s="96">
        <v>65.2</v>
      </c>
      <c r="Z98" s="96">
        <v>65.099999999999994</v>
      </c>
      <c r="AA98" s="96">
        <v>65.7</v>
      </c>
      <c r="AB98" s="96">
        <v>65.8</v>
      </c>
      <c r="AC98" s="96">
        <v>65.400000000000006</v>
      </c>
      <c r="AD98" s="96">
        <v>65.7</v>
      </c>
      <c r="AE98" s="96">
        <v>66.099999999999994</v>
      </c>
      <c r="AF98" s="96">
        <v>65.7</v>
      </c>
      <c r="AG98" s="97"/>
      <c r="AH98" s="48">
        <f t="shared" si="9"/>
        <v>67</v>
      </c>
      <c r="AI98" s="49">
        <f t="shared" si="10"/>
        <v>63.3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 t="s">
        <v>248</v>
      </c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105</v>
      </c>
      <c r="B100" s="100">
        <f t="shared" ref="B100:AF100" si="21">SUM(B15,B20,B22:B23,B48,B50:B51,B53,B55,B101:B105,B127,B133,B139,B148,B150,B162,B169,B172:B173,B180,B182,B184,B188:B190,B192:B194,B199,B205:B206,B208:B210,B218,B223)</f>
        <v>42.3</v>
      </c>
      <c r="C100" s="100">
        <f t="shared" si="21"/>
        <v>32.94</v>
      </c>
      <c r="D100" s="100">
        <f t="shared" si="21"/>
        <v>29.339999999999971</v>
      </c>
      <c r="E100" s="100">
        <f t="shared" si="21"/>
        <v>30.539999999999988</v>
      </c>
      <c r="F100" s="100">
        <f t="shared" si="21"/>
        <v>35.239999999999966</v>
      </c>
      <c r="G100" s="100">
        <f t="shared" si="21"/>
        <v>53.139999999999986</v>
      </c>
      <c r="H100" s="100">
        <f t="shared" si="21"/>
        <v>72.34</v>
      </c>
      <c r="I100" s="100">
        <f t="shared" si="21"/>
        <v>92.539999999999964</v>
      </c>
      <c r="J100" s="100">
        <f t="shared" si="21"/>
        <v>129.13999999999996</v>
      </c>
      <c r="K100" s="100">
        <f t="shared" si="21"/>
        <v>183.13999999999996</v>
      </c>
      <c r="L100" s="100">
        <f t="shared" si="21"/>
        <v>191.63999999999996</v>
      </c>
      <c r="M100" s="100">
        <f t="shared" si="21"/>
        <v>240.54000000000002</v>
      </c>
      <c r="N100" s="100">
        <f t="shared" si="21"/>
        <v>229.64</v>
      </c>
      <c r="O100" s="100">
        <f t="shared" si="21"/>
        <v>219.24</v>
      </c>
      <c r="P100" s="100">
        <f t="shared" si="21"/>
        <v>191.94</v>
      </c>
      <c r="Q100" s="100">
        <f t="shared" si="21"/>
        <v>174.00000000000003</v>
      </c>
      <c r="R100" s="100">
        <f t="shared" si="21"/>
        <v>163.30000000000001</v>
      </c>
      <c r="S100" s="100">
        <f t="shared" si="21"/>
        <v>166.79999999999998</v>
      </c>
      <c r="T100" s="100">
        <f t="shared" si="21"/>
        <v>396.2</v>
      </c>
      <c r="U100" s="100">
        <f t="shared" si="21"/>
        <v>176.2</v>
      </c>
      <c r="V100" s="100">
        <f t="shared" si="21"/>
        <v>227.79999999999998</v>
      </c>
      <c r="W100" s="100">
        <f t="shared" si="21"/>
        <v>259.39999999999998</v>
      </c>
      <c r="X100" s="100">
        <v>353.1970833333333</v>
      </c>
      <c r="Y100" s="100">
        <f t="shared" si="21"/>
        <v>256.29999999999995</v>
      </c>
      <c r="Z100" s="100">
        <f t="shared" si="21"/>
        <v>243.5</v>
      </c>
      <c r="AA100" s="100">
        <f t="shared" si="21"/>
        <v>226</v>
      </c>
      <c r="AB100" s="100">
        <f t="shared" si="21"/>
        <v>200.60000000000002</v>
      </c>
      <c r="AC100" s="100">
        <f t="shared" si="21"/>
        <v>164.79999999999995</v>
      </c>
      <c r="AD100" s="100">
        <f t="shared" si="21"/>
        <v>140.9</v>
      </c>
      <c r="AE100" s="100">
        <f t="shared" si="21"/>
        <v>97.8</v>
      </c>
      <c r="AF100" s="100">
        <f t="shared" si="21"/>
        <v>67.299999999999969</v>
      </c>
      <c r="AG100" s="101"/>
      <c r="AH100" s="48">
        <f t="shared" si="9"/>
        <v>396.2</v>
      </c>
      <c r="AI100" s="49">
        <f t="shared" si="10"/>
        <v>29.339999999999971</v>
      </c>
    </row>
    <row r="101" spans="1:37" x14ac:dyDescent="0.25">
      <c r="A101" s="88" t="s">
        <v>106</v>
      </c>
      <c r="B101" s="102">
        <v>27.6</v>
      </c>
      <c r="C101" s="102">
        <v>28.6</v>
      </c>
      <c r="D101" s="102">
        <v>29.5</v>
      </c>
      <c r="E101" s="102">
        <v>28.8</v>
      </c>
      <c r="F101" s="102">
        <v>32.5</v>
      </c>
      <c r="G101" s="102">
        <v>32.200000000000003</v>
      </c>
      <c r="H101" s="102">
        <v>37.200000000000003</v>
      </c>
      <c r="I101" s="102">
        <v>43.2</v>
      </c>
      <c r="J101" s="102">
        <v>52.2</v>
      </c>
      <c r="K101" s="102">
        <v>55.2</v>
      </c>
      <c r="L101" s="102">
        <v>55.2</v>
      </c>
      <c r="M101" s="102">
        <v>54.6</v>
      </c>
      <c r="N101" s="102">
        <v>51.8</v>
      </c>
      <c r="O101" s="102">
        <v>49.6</v>
      </c>
      <c r="P101" s="102">
        <v>46.9</v>
      </c>
      <c r="Q101" s="102">
        <v>55.2</v>
      </c>
      <c r="R101" s="102">
        <v>58.6</v>
      </c>
      <c r="S101" s="102">
        <v>54.6</v>
      </c>
      <c r="T101" s="102">
        <v>55</v>
      </c>
      <c r="U101" s="102">
        <v>56</v>
      </c>
      <c r="V101" s="102">
        <v>49.9</v>
      </c>
      <c r="W101" s="102">
        <v>43.7</v>
      </c>
      <c r="X101" s="102">
        <v>45.6</v>
      </c>
      <c r="Y101" s="102">
        <v>47.5</v>
      </c>
      <c r="Z101" s="102">
        <v>58.2</v>
      </c>
      <c r="AA101" s="102">
        <v>61.1</v>
      </c>
      <c r="AB101" s="102">
        <v>60.5</v>
      </c>
      <c r="AC101" s="102">
        <v>59.2</v>
      </c>
      <c r="AD101" s="102">
        <v>54.4</v>
      </c>
      <c r="AE101" s="102">
        <v>50.6</v>
      </c>
      <c r="AF101" s="102">
        <v>46.9</v>
      </c>
      <c r="AG101" s="103">
        <v>75</v>
      </c>
      <c r="AH101" s="48">
        <f t="shared" si="9"/>
        <v>61.1</v>
      </c>
      <c r="AI101" s="49">
        <f t="shared" si="10"/>
        <v>27.6</v>
      </c>
    </row>
    <row r="102" spans="1:37" x14ac:dyDescent="0.25">
      <c r="A102" s="91" t="s">
        <v>107</v>
      </c>
      <c r="B102" s="104">
        <v>45.1</v>
      </c>
      <c r="C102" s="104">
        <v>46</v>
      </c>
      <c r="D102" s="104">
        <v>47.1</v>
      </c>
      <c r="E102" s="104">
        <v>45.5</v>
      </c>
      <c r="F102" s="104">
        <v>50.6</v>
      </c>
      <c r="G102" s="104">
        <v>50.7</v>
      </c>
      <c r="H102" s="104">
        <v>57.3</v>
      </c>
      <c r="I102" s="104">
        <v>69.599999999999994</v>
      </c>
      <c r="J102" s="104">
        <v>80.8</v>
      </c>
      <c r="K102" s="104">
        <v>84.7</v>
      </c>
      <c r="L102" s="104">
        <v>84.7</v>
      </c>
      <c r="M102" s="104">
        <v>81.900000000000006</v>
      </c>
      <c r="N102" s="104">
        <v>77.599999999999994</v>
      </c>
      <c r="O102" s="104">
        <v>75.5</v>
      </c>
      <c r="P102" s="104">
        <v>73.2</v>
      </c>
      <c r="Q102" s="104">
        <v>86.3</v>
      </c>
      <c r="R102" s="104">
        <v>91.6</v>
      </c>
      <c r="S102" s="104">
        <v>85.9</v>
      </c>
      <c r="T102" s="104">
        <v>87</v>
      </c>
      <c r="U102" s="104">
        <v>88</v>
      </c>
      <c r="V102" s="104">
        <v>72.3</v>
      </c>
      <c r="W102" s="104">
        <v>62.2</v>
      </c>
      <c r="X102" s="104">
        <v>63.3</v>
      </c>
      <c r="Y102" s="104">
        <v>67.5</v>
      </c>
      <c r="Z102" s="104">
        <v>84.4</v>
      </c>
      <c r="AA102" s="104">
        <v>88.8</v>
      </c>
      <c r="AB102" s="104">
        <v>88.2</v>
      </c>
      <c r="AC102" s="104">
        <v>86.9</v>
      </c>
      <c r="AD102" s="104">
        <v>80</v>
      </c>
      <c r="AE102" s="104">
        <v>72.7</v>
      </c>
      <c r="AF102" s="104">
        <v>70.599999999999994</v>
      </c>
      <c r="AG102" s="103">
        <v>240</v>
      </c>
      <c r="AH102" s="48">
        <f t="shared" si="9"/>
        <v>91.6</v>
      </c>
      <c r="AI102" s="49">
        <f t="shared" si="10"/>
        <v>45.1</v>
      </c>
    </row>
    <row r="103" spans="1:37" x14ac:dyDescent="0.25">
      <c r="A103" s="91" t="s">
        <v>108</v>
      </c>
      <c r="B103" s="104">
        <f>-62.4-65.6</f>
        <v>-128</v>
      </c>
      <c r="C103" s="104">
        <f>-66-71</f>
        <v>-137</v>
      </c>
      <c r="D103" s="104">
        <f>-68-72</f>
        <v>-140</v>
      </c>
      <c r="E103" s="104">
        <f>-66.7-70.4</f>
        <v>-137.10000000000002</v>
      </c>
      <c r="F103" s="104">
        <f>-67.6-72.2</f>
        <v>-139.80000000000001</v>
      </c>
      <c r="G103" s="104">
        <f>-70.5-73.3</f>
        <v>-143.80000000000001</v>
      </c>
      <c r="H103" s="104">
        <f>-67.6-71.7</f>
        <v>-139.30000000000001</v>
      </c>
      <c r="I103" s="104">
        <f>-68.1-73.6</f>
        <v>-141.69999999999999</v>
      </c>
      <c r="J103" s="104">
        <f>-61.2-67.7</f>
        <v>-128.9</v>
      </c>
      <c r="K103" s="104">
        <f>-49-51.6</f>
        <v>-100.6</v>
      </c>
      <c r="L103" s="104">
        <f>-49-51.6</f>
        <v>-100.6</v>
      </c>
      <c r="M103" s="104">
        <f>-24-28</f>
        <v>-52</v>
      </c>
      <c r="N103" s="104">
        <f>-23.8-25.7</f>
        <v>-49.5</v>
      </c>
      <c r="O103" s="104">
        <f>-28-31</f>
        <v>-59</v>
      </c>
      <c r="P103" s="104">
        <f>-35-38</f>
        <v>-73</v>
      </c>
      <c r="Q103" s="104">
        <f>-53-56</f>
        <v>-109</v>
      </c>
      <c r="R103" s="104">
        <f>-60-66</f>
        <v>-126</v>
      </c>
      <c r="S103" s="104">
        <f>-55.6-59.6</f>
        <v>-115.2</v>
      </c>
      <c r="T103" s="104">
        <v>112</v>
      </c>
      <c r="U103" s="104">
        <v>-110</v>
      </c>
      <c r="V103" s="104">
        <f>-21.9-23.6</f>
        <v>-45.5</v>
      </c>
      <c r="W103" s="104">
        <f>-2-1</f>
        <v>-3</v>
      </c>
      <c r="X103" s="104">
        <v>-9</v>
      </c>
      <c r="Y103" s="104">
        <f>-11.8-9.7</f>
        <v>-21.5</v>
      </c>
      <c r="Z103" s="104">
        <f>-27.5-29.8</f>
        <v>-57.3</v>
      </c>
      <c r="AA103" s="104">
        <f>-38.7-40.7</f>
        <v>-79.400000000000006</v>
      </c>
      <c r="AB103" s="104">
        <v>-100.6</v>
      </c>
      <c r="AC103" s="104">
        <f>-58-62</f>
        <v>-120</v>
      </c>
      <c r="AD103" s="104">
        <f>-62-66</f>
        <v>-128</v>
      </c>
      <c r="AE103" s="104">
        <f>-63.8-68.2</f>
        <v>-132</v>
      </c>
      <c r="AF103" s="104">
        <f>-65.2-68.6</f>
        <v>-133.80000000000001</v>
      </c>
      <c r="AG103" s="103">
        <v>240</v>
      </c>
      <c r="AH103" s="48">
        <f t="shared" si="9"/>
        <v>112</v>
      </c>
      <c r="AI103" s="49">
        <f t="shared" si="10"/>
        <v>-143.80000000000001</v>
      </c>
    </row>
    <row r="104" spans="1:37" x14ac:dyDescent="0.25">
      <c r="A104" s="91" t="s">
        <v>109</v>
      </c>
      <c r="B104" s="104">
        <v>-8.8000000000000007</v>
      </c>
      <c r="C104" s="104">
        <v>-12</v>
      </c>
      <c r="D104" s="104">
        <v>-14.6</v>
      </c>
      <c r="E104" s="104">
        <v>-13.6</v>
      </c>
      <c r="F104" s="104">
        <v>-15.2</v>
      </c>
      <c r="G104" s="104">
        <v>-13.5</v>
      </c>
      <c r="H104" s="104">
        <v>-10.4</v>
      </c>
      <c r="I104" s="104">
        <v>-10.9</v>
      </c>
      <c r="J104" s="104">
        <v>-7.3</v>
      </c>
      <c r="K104" s="104">
        <v>-4.5</v>
      </c>
      <c r="L104" s="104">
        <v>-4.5</v>
      </c>
      <c r="M104" s="104">
        <v>5</v>
      </c>
      <c r="N104" s="104">
        <v>-1.2</v>
      </c>
      <c r="O104" s="104">
        <v>2.2000000000000002</v>
      </c>
      <c r="P104" s="104">
        <v>-1.5</v>
      </c>
      <c r="Q104" s="104">
        <v>-3.9</v>
      </c>
      <c r="R104" s="104">
        <v>-6.3</v>
      </c>
      <c r="S104" s="104">
        <v>-3.9</v>
      </c>
      <c r="T104" s="104">
        <v>-3</v>
      </c>
      <c r="U104" s="104">
        <v>-3</v>
      </c>
      <c r="V104" s="104">
        <v>9.9</v>
      </c>
      <c r="W104" s="104">
        <v>19.8</v>
      </c>
      <c r="X104" s="104">
        <v>21.8</v>
      </c>
      <c r="Y104" s="104">
        <v>20.399999999999999</v>
      </c>
      <c r="Z104" s="104">
        <v>15.8</v>
      </c>
      <c r="AA104" s="104">
        <v>13.1</v>
      </c>
      <c r="AB104" s="104">
        <v>9.9</v>
      </c>
      <c r="AC104" s="104">
        <v>7</v>
      </c>
      <c r="AD104" s="104">
        <v>1.9</v>
      </c>
      <c r="AE104" s="104">
        <v>-5.2</v>
      </c>
      <c r="AF104" s="104">
        <v>-8.8000000000000007</v>
      </c>
      <c r="AG104" s="103">
        <v>60</v>
      </c>
      <c r="AH104" s="48">
        <f t="shared" si="9"/>
        <v>21.8</v>
      </c>
      <c r="AI104" s="49">
        <f t="shared" si="10"/>
        <v>-15.2</v>
      </c>
    </row>
    <row r="105" spans="1:37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111</v>
      </c>
      <c r="B106" s="106">
        <v>-9.6999999999999993</v>
      </c>
      <c r="C106" s="106">
        <v>-14.5</v>
      </c>
      <c r="D106" s="106">
        <v>-15</v>
      </c>
      <c r="E106" s="106">
        <v>-14.4</v>
      </c>
      <c r="F106" s="106">
        <v>-22</v>
      </c>
      <c r="G106" s="106">
        <v>-17.8</v>
      </c>
      <c r="H106" s="106">
        <v>-25.7</v>
      </c>
      <c r="I106" s="106">
        <v>-22.3</v>
      </c>
      <c r="J106" s="106">
        <v>-22.9</v>
      </c>
      <c r="K106" s="106">
        <v>5.0999999999999996</v>
      </c>
      <c r="L106" s="106">
        <v>5.0999999999999996</v>
      </c>
      <c r="M106" s="106">
        <v>48.8</v>
      </c>
      <c r="N106" s="106">
        <v>48.1</v>
      </c>
      <c r="O106" s="106">
        <v>37.1</v>
      </c>
      <c r="P106" s="106">
        <v>36.700000000000003</v>
      </c>
      <c r="Q106" s="106">
        <v>4.4000000000000004</v>
      </c>
      <c r="R106" s="106">
        <v>-22.7</v>
      </c>
      <c r="S106" s="106">
        <v>4.8</v>
      </c>
      <c r="T106" s="106">
        <v>5</v>
      </c>
      <c r="U106" s="106">
        <v>6</v>
      </c>
      <c r="V106" s="106">
        <v>38.700000000000003</v>
      </c>
      <c r="W106" s="106">
        <v>79.2</v>
      </c>
      <c r="X106" s="106">
        <v>74</v>
      </c>
      <c r="Y106" s="106">
        <v>57.8</v>
      </c>
      <c r="Z106" s="106">
        <v>17</v>
      </c>
      <c r="AA106" s="106">
        <v>-6.5</v>
      </c>
      <c r="AB106" s="106">
        <v>-21.1</v>
      </c>
      <c r="AC106" s="106">
        <v>-34.299999999999997</v>
      </c>
      <c r="AD106" s="106">
        <v>-38.700000000000003</v>
      </c>
      <c r="AE106" s="106">
        <v>-37.200000000000003</v>
      </c>
      <c r="AF106" s="106">
        <v>-41</v>
      </c>
      <c r="AG106" s="107"/>
      <c r="AH106" s="48">
        <f t="shared" si="9"/>
        <v>79.2</v>
      </c>
      <c r="AI106" s="49">
        <f t="shared" si="10"/>
        <v>-41</v>
      </c>
    </row>
    <row r="107" spans="1:37" x14ac:dyDescent="0.25">
      <c r="A107" s="105" t="s">
        <v>112</v>
      </c>
      <c r="B107" s="106">
        <v>-19</v>
      </c>
      <c r="C107" s="106">
        <v>-14.7</v>
      </c>
      <c r="D107" s="106">
        <v>-15</v>
      </c>
      <c r="E107" s="106">
        <v>-8.1999999999999993</v>
      </c>
      <c r="F107" s="106">
        <v>-13.9</v>
      </c>
      <c r="G107" s="106">
        <v>-8.1</v>
      </c>
      <c r="H107" s="106">
        <v>-12.5</v>
      </c>
      <c r="I107" s="106">
        <v>-7.5</v>
      </c>
      <c r="J107" s="106">
        <v>-19.3</v>
      </c>
      <c r="K107" s="106">
        <v>0.3</v>
      </c>
      <c r="L107" s="106">
        <v>0.3</v>
      </c>
      <c r="M107" s="106">
        <v>0.5</v>
      </c>
      <c r="N107" s="106">
        <v>-1</v>
      </c>
      <c r="O107" s="106">
        <v>8.3000000000000007</v>
      </c>
      <c r="P107" s="106">
        <v>17.399999999999999</v>
      </c>
      <c r="Q107" s="106">
        <v>5</v>
      </c>
      <c r="R107" s="106">
        <v>-7.3</v>
      </c>
      <c r="S107" s="106">
        <v>-1.3</v>
      </c>
      <c r="T107" s="106">
        <v>2</v>
      </c>
      <c r="U107" s="106">
        <v>2</v>
      </c>
      <c r="V107" s="106">
        <v>24.8</v>
      </c>
      <c r="W107" s="106">
        <v>36.299999999999997</v>
      </c>
      <c r="X107" s="106">
        <v>38.799999999999997</v>
      </c>
      <c r="Y107" s="106">
        <v>30.7</v>
      </c>
      <c r="Z107" s="106">
        <v>57.4</v>
      </c>
      <c r="AA107" s="106">
        <v>-1.4</v>
      </c>
      <c r="AB107" s="106">
        <v>-4.7</v>
      </c>
      <c r="AC107" s="106">
        <v>-4</v>
      </c>
      <c r="AD107" s="106">
        <v>-2.2999999999999998</v>
      </c>
      <c r="AE107" s="106">
        <v>-14.5</v>
      </c>
      <c r="AF107" s="106">
        <v>-25</v>
      </c>
      <c r="AG107" s="108"/>
      <c r="AH107" s="48">
        <f t="shared" si="9"/>
        <v>57.4</v>
      </c>
      <c r="AI107" s="49">
        <f t="shared" si="10"/>
        <v>-25</v>
      </c>
    </row>
    <row r="108" spans="1:37" x14ac:dyDescent="0.25">
      <c r="A108" s="109" t="s">
        <v>113</v>
      </c>
      <c r="B108" s="94">
        <v>71.2</v>
      </c>
      <c r="C108" s="94">
        <v>73.400000000000006</v>
      </c>
      <c r="D108" s="94">
        <v>72</v>
      </c>
      <c r="E108" s="94">
        <v>75.5</v>
      </c>
      <c r="F108" s="94">
        <v>72.900000000000006</v>
      </c>
      <c r="G108" s="94">
        <v>73.2</v>
      </c>
      <c r="H108" s="94">
        <v>71</v>
      </c>
      <c r="I108" s="94">
        <v>66.2</v>
      </c>
      <c r="J108" s="94">
        <v>61.7</v>
      </c>
      <c r="K108" s="94">
        <v>58.2</v>
      </c>
      <c r="L108" s="94">
        <v>58.2</v>
      </c>
      <c r="M108" s="94">
        <v>49.6</v>
      </c>
      <c r="N108" s="94">
        <v>52.9</v>
      </c>
      <c r="O108" s="94">
        <v>54.3</v>
      </c>
      <c r="P108" s="94">
        <v>57.5</v>
      </c>
      <c r="Q108" s="94">
        <v>61.4</v>
      </c>
      <c r="R108" s="94">
        <v>64</v>
      </c>
      <c r="S108" s="94">
        <v>56</v>
      </c>
      <c r="T108" s="94">
        <v>55</v>
      </c>
      <c r="U108" s="94">
        <v>54</v>
      </c>
      <c r="V108" s="94">
        <v>33.4</v>
      </c>
      <c r="W108" s="94">
        <v>30.2</v>
      </c>
      <c r="X108" s="94">
        <v>46.1</v>
      </c>
      <c r="Y108" s="94">
        <v>46.7</v>
      </c>
      <c r="Z108" s="94">
        <v>51.7</v>
      </c>
      <c r="AA108" s="94">
        <v>56.5</v>
      </c>
      <c r="AB108" s="94">
        <v>79.3</v>
      </c>
      <c r="AC108" s="94">
        <v>58.1</v>
      </c>
      <c r="AD108" s="94">
        <v>62.5</v>
      </c>
      <c r="AE108" s="94">
        <v>66.2</v>
      </c>
      <c r="AF108" s="94">
        <v>71</v>
      </c>
      <c r="AG108" s="108"/>
      <c r="AH108" s="48">
        <f t="shared" si="9"/>
        <v>79.3</v>
      </c>
      <c r="AI108" s="49">
        <f t="shared" si="10"/>
        <v>30.2</v>
      </c>
    </row>
    <row r="109" spans="1:37" ht="15.75" thickBot="1" x14ac:dyDescent="0.3">
      <c r="A109" s="109" t="s">
        <v>114</v>
      </c>
      <c r="B109" s="94">
        <v>93</v>
      </c>
      <c r="C109" s="94">
        <v>98</v>
      </c>
      <c r="D109" s="94">
        <v>99</v>
      </c>
      <c r="E109" s="94">
        <v>102.1</v>
      </c>
      <c r="F109" s="94">
        <v>102</v>
      </c>
      <c r="G109" s="94">
        <v>102</v>
      </c>
      <c r="H109" s="94">
        <v>104.9</v>
      </c>
      <c r="I109" s="94">
        <v>101.7</v>
      </c>
      <c r="J109" s="94">
        <v>102.3</v>
      </c>
      <c r="K109" s="94">
        <v>77.599999999999994</v>
      </c>
      <c r="L109" s="94">
        <v>77.599999999999994</v>
      </c>
      <c r="M109" s="94">
        <v>69.2</v>
      </c>
      <c r="N109" s="94">
        <v>61.9</v>
      </c>
      <c r="O109" s="94">
        <v>76.400000000000006</v>
      </c>
      <c r="P109" s="94">
        <v>88.1</v>
      </c>
      <c r="Q109" s="94">
        <v>79.7</v>
      </c>
      <c r="R109" s="94">
        <v>97.1</v>
      </c>
      <c r="S109" s="94">
        <v>82.8</v>
      </c>
      <c r="T109" s="94">
        <v>81</v>
      </c>
      <c r="U109" s="94">
        <v>80</v>
      </c>
      <c r="V109" s="94">
        <v>29.9</v>
      </c>
      <c r="W109" s="94">
        <v>-1.1000000000000001</v>
      </c>
      <c r="X109" s="94">
        <v>18</v>
      </c>
      <c r="Y109" s="94">
        <v>17</v>
      </c>
      <c r="Z109" s="94">
        <v>47</v>
      </c>
      <c r="AA109" s="94">
        <v>63.8</v>
      </c>
      <c r="AB109" s="94">
        <v>52.1</v>
      </c>
      <c r="AC109" s="94">
        <v>89.7</v>
      </c>
      <c r="AD109" s="94">
        <v>93.6</v>
      </c>
      <c r="AE109" s="94">
        <v>97.1</v>
      </c>
      <c r="AF109" s="94">
        <v>101</v>
      </c>
      <c r="AG109" s="108"/>
      <c r="AH109" s="48">
        <f t="shared" si="9"/>
        <v>104.9</v>
      </c>
      <c r="AI109" s="49">
        <f t="shared" si="10"/>
        <v>-1.1000000000000001</v>
      </c>
    </row>
    <row r="110" spans="1:37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1524.44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2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2079/08/2)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2079/08/2)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6">B81</f>
        <v>1149.24</v>
      </c>
      <c r="U238" s="159">
        <f t="shared" si="26"/>
        <v>1043.8400000000001</v>
      </c>
      <c r="V238" s="159">
        <f t="shared" si="26"/>
        <v>1020.34</v>
      </c>
      <c r="W238" s="159">
        <f t="shared" si="26"/>
        <v>1041.04</v>
      </c>
      <c r="X238" s="159">
        <f t="shared" si="26"/>
        <v>1041.74</v>
      </c>
      <c r="Y238" s="159">
        <f t="shared" si="26"/>
        <v>1105.6399999999999</v>
      </c>
      <c r="Z238" s="159">
        <f t="shared" si="26"/>
        <v>1137.1400000000001</v>
      </c>
      <c r="AA238" s="159">
        <f t="shared" si="26"/>
        <v>1198.8399999999999</v>
      </c>
      <c r="AB238" s="159">
        <f t="shared" si="26"/>
        <v>1224.04</v>
      </c>
      <c r="AC238" s="159">
        <f t="shared" si="26"/>
        <v>1403.04</v>
      </c>
      <c r="AD238" s="159">
        <f t="shared" si="26"/>
        <v>1495.44</v>
      </c>
      <c r="AE238" s="159">
        <f t="shared" si="26"/>
        <v>1524.44</v>
      </c>
      <c r="AF238" s="159">
        <f t="shared" si="26"/>
        <v>1473.74</v>
      </c>
      <c r="AG238" s="159">
        <f t="shared" si="26"/>
        <v>1408.74</v>
      </c>
      <c r="AH238" s="159">
        <f t="shared" si="26"/>
        <v>1366.1399999999999</v>
      </c>
      <c r="AI238" s="159">
        <f t="shared" si="26"/>
        <v>1311.1399999999999</v>
      </c>
      <c r="AJ238" s="159">
        <f t="shared" si="26"/>
        <v>1265.1399999999999</v>
      </c>
      <c r="AK238" s="159">
        <f t="shared" si="26"/>
        <v>1337.54</v>
      </c>
      <c r="AL238" s="159">
        <f t="shared" si="26"/>
        <v>1322.74</v>
      </c>
      <c r="AM238" s="159">
        <f t="shared" si="26"/>
        <v>1313.5400000000002</v>
      </c>
      <c r="AN238" s="159">
        <f t="shared" si="26"/>
        <v>1468.24</v>
      </c>
      <c r="AO238" s="159">
        <f t="shared" si="26"/>
        <v>1513.24</v>
      </c>
      <c r="AP238" s="159">
        <f t="shared" si="26"/>
        <v>1554.74</v>
      </c>
      <c r="AQ238" s="159">
        <f t="shared" si="26"/>
        <v>1514.74</v>
      </c>
      <c r="AR238" s="159">
        <f t="shared" si="26"/>
        <v>1474.74</v>
      </c>
      <c r="AS238" s="159">
        <f t="shared" si="26"/>
        <v>1459.24</v>
      </c>
      <c r="AT238" s="159">
        <f t="shared" si="26"/>
        <v>1416.54</v>
      </c>
      <c r="AU238" s="159">
        <f t="shared" si="26"/>
        <v>1331.1399999999999</v>
      </c>
      <c r="AV238" s="159">
        <f t="shared" si="26"/>
        <v>1291.54</v>
      </c>
      <c r="AW238" s="159">
        <f t="shared" si="26"/>
        <v>1209.3400000000001</v>
      </c>
      <c r="AX238" s="159">
        <f t="shared" si="26"/>
        <v>1157.1400000000001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883" priority="16">
      <formula>$AH11=0</formula>
    </cfRule>
  </conditionalFormatting>
  <conditionalFormatting sqref="B8 M8 S8 AB8">
    <cfRule type="expression" dxfId="882" priority="248">
      <formula>C$9&lt;8/24</formula>
    </cfRule>
    <cfRule type="expression" dxfId="881" priority="247">
      <formula>AND(C$9&gt;=8/24,C$9&lt;14/24)</formula>
    </cfRule>
    <cfRule type="expression" dxfId="880" priority="246">
      <formula>AND(C$9&gt;=14/24,C$9&lt;20/24)</formula>
    </cfRule>
  </conditionalFormatting>
  <conditionalFormatting sqref="B41:B44 C44:AG44">
    <cfRule type="expression" dxfId="879" priority="69">
      <formula>B$9&gt;=20/24</formula>
    </cfRule>
    <cfRule type="expression" dxfId="878" priority="68">
      <formula>B41&gt;$AG41</formula>
    </cfRule>
    <cfRule type="expression" dxfId="877" priority="70">
      <formula>AND(B$9&gt;=14/24,B$9&lt;20/24)</formula>
    </cfRule>
    <cfRule type="expression" dxfId="876" priority="71">
      <formula>AND(B$9&gt;=8/24,B$9&lt;14/24)</formula>
    </cfRule>
    <cfRule type="expression" dxfId="875" priority="72">
      <formula>B$9&lt;8/24</formula>
    </cfRule>
  </conditionalFormatting>
  <conditionalFormatting sqref="B9:AF11">
    <cfRule type="expression" dxfId="874" priority="141">
      <formula>B$9&gt;=20/24</formula>
    </cfRule>
    <cfRule type="expression" dxfId="873" priority="142">
      <formula>AND(B$9&gt;=14/24,B$9&lt;20/24)</formula>
    </cfRule>
    <cfRule type="expression" dxfId="872" priority="143">
      <formula>AND(B$9&gt;=8/24,B$9&lt;14/24)</formula>
    </cfRule>
    <cfRule type="expression" dxfId="871" priority="144">
      <formula>B$9&lt;8/24</formula>
    </cfRule>
  </conditionalFormatting>
  <conditionalFormatting sqref="B11:AF16">
    <cfRule type="expression" dxfId="870" priority="136">
      <formula>B11&gt;$AG11</formula>
    </cfRule>
  </conditionalFormatting>
  <conditionalFormatting sqref="B12:AF15">
    <cfRule type="expression" dxfId="869" priority="109">
      <formula>B$9&lt;8/24</formula>
    </cfRule>
    <cfRule type="expression" dxfId="868" priority="108">
      <formula>AND(B$9&gt;=8/24,B$9&lt;14/24)</formula>
    </cfRule>
    <cfRule type="expression" dxfId="867" priority="107">
      <formula>AND(B$9&gt;=14/24,B$9&lt;20/24)</formula>
    </cfRule>
    <cfRule type="expression" dxfId="866" priority="106">
      <formula>B$9&gt;=20/24</formula>
    </cfRule>
  </conditionalFormatting>
  <conditionalFormatting sqref="B16:AF16 B216:AF216 B218:B224 D218:AF224 U237:AF237">
    <cfRule type="expression" dxfId="865" priority="242">
      <formula>B$9&lt;8/24</formula>
    </cfRule>
    <cfRule type="expression" dxfId="864" priority="241">
      <formula>AND(B$9&gt;=8/24,B$9&lt;14/24)</formula>
    </cfRule>
    <cfRule type="expression" dxfId="863" priority="240">
      <formula>AND(B$9&gt;=14/24,B$9&lt;20/24)</formula>
    </cfRule>
    <cfRule type="expression" dxfId="862" priority="239">
      <formula>B$9&gt;=20/24</formula>
    </cfRule>
  </conditionalFormatting>
  <conditionalFormatting sqref="B17:AF17">
    <cfRule type="expression" dxfId="861" priority="18">
      <formula>B$9&gt;=20/24</formula>
    </cfRule>
    <cfRule type="expression" dxfId="860" priority="19">
      <formula>AND(B$9&gt;=14/24,B$9&lt;20/24)</formula>
    </cfRule>
    <cfRule type="expression" dxfId="859" priority="20">
      <formula>AND(B$9&gt;=8/24,B$9&lt;14/24)</formula>
    </cfRule>
    <cfRule type="expression" dxfId="858" priority="21">
      <formula>B$9&lt;8/24</formula>
    </cfRule>
    <cfRule type="expression" dxfId="857" priority="27">
      <formula>B17&gt;$AG17</formula>
    </cfRule>
  </conditionalFormatting>
  <conditionalFormatting sqref="B18:AF18">
    <cfRule type="expression" dxfId="856" priority="233">
      <formula>B18&gt;$AG18</formula>
    </cfRule>
  </conditionalFormatting>
  <conditionalFormatting sqref="B18:AF24">
    <cfRule type="expression" dxfId="855" priority="90">
      <formula>AND(B$9&gt;=8/24,B$9&lt;14/24)</formula>
    </cfRule>
    <cfRule type="expression" dxfId="854" priority="89">
      <formula>AND(B$9&gt;=14/24,B$9&lt;20/24)</formula>
    </cfRule>
    <cfRule type="expression" dxfId="853" priority="88">
      <formula>B$9&gt;=20/24</formula>
    </cfRule>
    <cfRule type="expression" dxfId="852" priority="91">
      <formula>B$9&lt;8/24</formula>
    </cfRule>
  </conditionalFormatting>
  <conditionalFormatting sqref="B19:AF24">
    <cfRule type="expression" dxfId="851" priority="87">
      <formula>B19&gt;$AG19</formula>
    </cfRule>
  </conditionalFormatting>
  <conditionalFormatting sqref="B25:AF27 B29:AF29 C59:AF61 B59:B62 C62:AG62 B75:B79 C79:AG79 B80:AF81">
    <cfRule type="expression" dxfId="850" priority="122">
      <formula>B$9&lt;8/24</formula>
    </cfRule>
    <cfRule type="expression" dxfId="849" priority="120">
      <formula>AND(B$9&gt;=14/24,B$9&lt;20/24)</formula>
    </cfRule>
    <cfRule type="expression" dxfId="848" priority="119">
      <formula>B$9&gt;=20/24</formula>
    </cfRule>
    <cfRule type="expression" dxfId="847" priority="121">
      <formula>AND(B$9&gt;=8/24,B$9&lt;14/24)</formula>
    </cfRule>
  </conditionalFormatting>
  <conditionalFormatting sqref="B25:AF29 B40:AG40 C57:AG58 B57:B62 C59:AF61 C62:AG62">
    <cfRule type="expression" dxfId="846" priority="114">
      <formula>B25&gt;$AG25</formula>
    </cfRule>
  </conditionalFormatting>
  <conditionalFormatting sqref="B28:AF28">
    <cfRule type="expression" dxfId="845" priority="95">
      <formula>B$9&lt;8/24</formula>
    </cfRule>
    <cfRule type="expression" dxfId="844" priority="94">
      <formula>AND(B$9&gt;=8/24,B$9&lt;14/24)</formula>
    </cfRule>
    <cfRule type="expression" dxfId="843" priority="93">
      <formula>AND(B$9&gt;=14/24,B$9&lt;20/24)</formula>
    </cfRule>
    <cfRule type="expression" dxfId="842" priority="92">
      <formula>B$9&gt;=20/24</formula>
    </cfRule>
  </conditionalFormatting>
  <conditionalFormatting sqref="B30:AF36">
    <cfRule type="expression" dxfId="841" priority="1">
      <formula>B30&gt;$AG30</formula>
    </cfRule>
  </conditionalFormatting>
  <conditionalFormatting sqref="B30:AF37">
    <cfRule type="expression" dxfId="840" priority="2">
      <formula>B$9&gt;=20/24</formula>
    </cfRule>
    <cfRule type="expression" dxfId="839" priority="3">
      <formula>AND(B$9&gt;=14/24,B$9&lt;20/24)</formula>
    </cfRule>
    <cfRule type="expression" dxfId="838" priority="4">
      <formula>AND(B$9&gt;=8/24,B$9&lt;14/24)</formula>
    </cfRule>
    <cfRule type="expression" dxfId="837" priority="5">
      <formula>B$9&lt;8/24</formula>
    </cfRule>
  </conditionalFormatting>
  <conditionalFormatting sqref="B37:AF39">
    <cfRule type="expression" dxfId="836" priority="123">
      <formula>B37&gt;$AG37</formula>
    </cfRule>
  </conditionalFormatting>
  <conditionalFormatting sqref="B38:AF39">
    <cfRule type="expression" dxfId="835" priority="129">
      <formula>AND(B$9&gt;=14/24,B$9&lt;20/24)</formula>
    </cfRule>
    <cfRule type="expression" dxfId="834" priority="131">
      <formula>B$9&lt;8/24</formula>
    </cfRule>
    <cfRule type="expression" dxfId="833" priority="130">
      <formula>AND(B$9&gt;=8/24,B$9&lt;14/24)</formula>
    </cfRule>
    <cfRule type="expression" dxfId="832" priority="128">
      <formula>B$9&gt;=20/24</formula>
    </cfRule>
  </conditionalFormatting>
  <conditionalFormatting sqref="B45:AF47">
    <cfRule type="expression" dxfId="831" priority="124">
      <formula>B$9&gt;=20/24</formula>
    </cfRule>
    <cfRule type="expression" dxfId="830" priority="125">
      <formula>AND(B$9&gt;=14/24,B$9&lt;20/24)</formula>
    </cfRule>
    <cfRule type="expression" dxfId="829" priority="126">
      <formula>AND(B$9&gt;=8/24,B$9&lt;14/24)</formula>
    </cfRule>
    <cfRule type="expression" dxfId="828" priority="127">
      <formula>B$9&lt;8/24</formula>
    </cfRule>
  </conditionalFormatting>
  <conditionalFormatting sqref="B45:AF56">
    <cfRule type="expression" dxfId="827" priority="96">
      <formula>B45&gt;$AG45</formula>
    </cfRule>
  </conditionalFormatting>
  <conditionalFormatting sqref="B63:AF74">
    <cfRule type="expression" dxfId="826" priority="85">
      <formula>B$9&lt;8/24</formula>
    </cfRule>
    <cfRule type="expression" dxfId="825" priority="84">
      <formula>AND(B$9&gt;=8/24,B$9&lt;14/24)</formula>
    </cfRule>
    <cfRule type="expression" dxfId="824" priority="83">
      <formula>AND(B$9&gt;=14/24,B$9&lt;20/24)</formula>
    </cfRule>
    <cfRule type="expression" dxfId="823" priority="82">
      <formula>B$9&gt;=20/24</formula>
    </cfRule>
  </conditionalFormatting>
  <conditionalFormatting sqref="B83:AF99">
    <cfRule type="expression" dxfId="818" priority="63">
      <formula>B$9&lt;8/24</formula>
    </cfRule>
    <cfRule type="expression" dxfId="817" priority="60">
      <formula>B$9&gt;=20/24</formula>
    </cfRule>
    <cfRule type="expression" dxfId="816" priority="61">
      <formula>AND(B$9&gt;=14/24,B$9&lt;20/24)</formula>
    </cfRule>
    <cfRule type="expression" dxfId="815" priority="62">
      <formula>AND(B$9&gt;=8/24,B$9&lt;14/24)</formula>
    </cfRule>
  </conditionalFormatting>
  <conditionalFormatting sqref="B101:AF108">
    <cfRule type="expression" dxfId="814" priority="37">
      <formula>B$9&lt;8/24</formula>
    </cfRule>
    <cfRule type="expression" dxfId="813" priority="36">
      <formula>AND(B$9&gt;=8/24,B$9&lt;14/24)</formula>
    </cfRule>
    <cfRule type="expression" dxfId="812" priority="35">
      <formula>AND(B$9&gt;=14/24,B$9&lt;20/24)</formula>
    </cfRule>
    <cfRule type="expression" dxfId="811" priority="34">
      <formula>B$9&gt;=20/24</formula>
    </cfRule>
  </conditionalFormatting>
  <conditionalFormatting sqref="C41:AF43">
    <cfRule type="expression" dxfId="806" priority="73">
      <formula>C41&gt;$AG41</formula>
    </cfRule>
    <cfRule type="expression" dxfId="805" priority="74">
      <formula>C$9&gt;=20/24</formula>
    </cfRule>
    <cfRule type="expression" dxfId="804" priority="75">
      <formula>AND(C$9&gt;=14/24,C$9&lt;20/24)</formula>
    </cfRule>
    <cfRule type="expression" dxfId="803" priority="76">
      <formula>AND(C$9&gt;=8/24,C$9&lt;14/24)</formula>
    </cfRule>
    <cfRule type="expression" dxfId="802" priority="77">
      <formula>C$9&lt;8/24</formula>
    </cfRule>
  </conditionalFormatting>
  <conditionalFormatting sqref="C75:AF78">
    <cfRule type="expression" dxfId="801" priority="199">
      <formula>C$9&lt;8/24</formula>
    </cfRule>
    <cfRule type="expression" dxfId="800" priority="198">
      <formula>AND(C$9&gt;=8/24,C$9&lt;14/24)</formula>
    </cfRule>
    <cfRule type="expression" dxfId="799" priority="196">
      <formula>C$9&gt;=20/24</formula>
    </cfRule>
    <cfRule type="expression" dxfId="798" priority="197">
      <formula>AND(C$9&gt;=14/24,C$9&lt;20/24)</formula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797" priority="245">
      <formula>C$9&gt;=20/24</formula>
    </cfRule>
  </conditionalFormatting>
  <conditionalFormatting sqref="S8">
    <cfRule type="expression" dxfId="796" priority="216">
      <formula>AND(U$9&gt;=8/24,U$9&lt;14/24)</formula>
    </cfRule>
    <cfRule type="expression" dxfId="795" priority="217">
      <formula>U$9&lt;8/24</formula>
    </cfRule>
    <cfRule type="expression" dxfId="794" priority="214">
      <formula>U$9&gt;=20/24</formula>
    </cfRule>
    <cfRule type="expression" dxfId="793" priority="215">
      <formula>AND(U$9&gt;=14/24,U$9&lt;20/24)</formula>
    </cfRule>
  </conditionalFormatting>
  <conditionalFormatting sqref="S48:AA56 B50:R56">
    <cfRule type="expression" dxfId="792" priority="98">
      <formula>AND(B$9&gt;=14/24,B$9&lt;20/24)</formula>
    </cfRule>
    <cfRule type="expression" dxfId="791" priority="99">
      <formula>AND(B$9&gt;=8/24,B$9&lt;14/24)</formula>
    </cfRule>
    <cfRule type="expression" dxfId="790" priority="100">
      <formula>B$9&lt;8/24</formula>
    </cfRule>
    <cfRule type="expression" dxfId="789" priority="97">
      <formula>B$9&gt;=20/24</formula>
    </cfRule>
  </conditionalFormatting>
  <conditionalFormatting sqref="T237">
    <cfRule type="expression" dxfId="788" priority="261">
      <formula>AX$9&lt;8/24</formula>
    </cfRule>
    <cfRule type="expression" dxfId="787" priority="258">
      <formula>AX$9&gt;=20/24</formula>
    </cfRule>
    <cfRule type="expression" dxfId="786" priority="259">
      <formula>AND(AX$9&gt;=14/24,AX$9&lt;20/24)</formula>
    </cfRule>
    <cfRule type="expression" dxfId="785" priority="260">
      <formula>AND(AX$9&gt;=8/24,AX$9&lt;14/24)</formula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784" priority="213">
      <formula>AD$9&lt;8/24</formula>
    </cfRule>
    <cfRule type="expression" dxfId="783" priority="212">
      <formula>AND(AD$9&gt;=8/24,AD$9&lt;14/24)</formula>
    </cfRule>
    <cfRule type="expression" dxfId="782" priority="210">
      <formula>AD$9&gt;=20/24</formula>
    </cfRule>
    <cfRule type="expression" dxfId="781" priority="211">
      <formula>AND(AD$9&gt;=14/24,AD$9&lt;20/24)</formula>
    </cfRule>
  </conditionalFormatting>
  <conditionalFormatting sqref="AB50:AF56">
    <cfRule type="expression" dxfId="780" priority="175">
      <formula>AND(AB$9&gt;=14/24,AB$9&lt;20/24)</formula>
    </cfRule>
    <cfRule type="expression" dxfId="779" priority="177">
      <formula>AB$9&lt;8/24</formula>
    </cfRule>
    <cfRule type="expression" dxfId="778" priority="176">
      <formula>AND(AB$9&gt;=8/24,AB$9&lt;14/24)</formula>
    </cfRule>
    <cfRule type="expression" dxfId="777" priority="174">
      <formula>AB$9&gt;=20/24</formula>
    </cfRule>
  </conditionalFormatting>
  <conditionalFormatting sqref="AG237">
    <cfRule type="expression" dxfId="776" priority="253">
      <formula>B$9&lt;8/24</formula>
    </cfRule>
    <cfRule type="expression" dxfId="775" priority="251">
      <formula>AND(B$9&gt;=14/24,B$9&lt;20/24)</formula>
    </cfRule>
    <cfRule type="expression" dxfId="774" priority="250">
      <formula>B$9&gt;=20/24</formula>
    </cfRule>
    <cfRule type="expression" dxfId="773" priority="252">
      <formula>AND(B$9&gt;=8/24,B$9&lt;14/24)</formula>
    </cfRule>
  </conditionalFormatting>
  <conditionalFormatting sqref="AH237:AX237">
    <cfRule type="expression" dxfId="772" priority="254">
      <formula>AG$9&gt;=20/24</formula>
    </cfRule>
    <cfRule type="expression" dxfId="771" priority="255">
      <formula>AND(AG$9&gt;=14/24,AG$9&lt;20/24)</formula>
    </cfRule>
    <cfRule type="expression" dxfId="770" priority="256">
      <formula>AND(AG$9&gt;=8/24,AG$9&lt;14/24)</formula>
    </cfRule>
    <cfRule type="expression" dxfId="769" priority="257">
      <formula>AG$9&lt;8/24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2FF719ED-6C15-4940-A051-EB7D83177CD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D4A115BD-68CC-48DC-B341-D2A025290D3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2702C91B-3CE0-49AE-B21A-3A7DBC21362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57F08A90-B19E-4243-AA87-B2A9B12E2E1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6" id="{D74E6619-E38D-42A7-872C-B41A5037317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" id="{5FE9E148-51CB-4749-97F1-0709F76F8E3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E7E3F28D-D096-4986-861B-04A3C2FC73E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840F9F45-5167-4248-B2C5-95FC1F01868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K9" sqref="K9:K1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5" width="6.42578125" style="1" bestFit="1" customWidth="1"/>
    <col min="6" max="6" width="6.7109375" style="1" customWidth="1"/>
    <col min="7" max="7" width="6.42578125" style="1" customWidth="1"/>
    <col min="8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3" width="6.85546875" style="1" customWidth="1"/>
    <col min="24" max="24" width="8.28515625" style="1" customWidth="1"/>
    <col min="25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2079/08/3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1422MW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Load=1145</v>
      </c>
      <c r="B7" s="35">
        <f t="shared" ref="B7:AF7" si="1">B81</f>
        <v>1144.94</v>
      </c>
      <c r="C7" s="35">
        <f t="shared" si="1"/>
        <v>1265.6400000000001</v>
      </c>
      <c r="D7" s="35">
        <f t="shared" si="1"/>
        <v>1256.1399999999999</v>
      </c>
      <c r="E7" s="35">
        <f t="shared" si="1"/>
        <v>1230.3400000000001</v>
      </c>
      <c r="F7" s="35">
        <f t="shared" si="1"/>
        <v>1259.04</v>
      </c>
      <c r="G7" s="35">
        <f t="shared" si="1"/>
        <v>1271.74</v>
      </c>
      <c r="H7" s="35">
        <f t="shared" si="1"/>
        <v>1310.8400000000001</v>
      </c>
      <c r="I7" s="35">
        <f t="shared" si="1"/>
        <v>1350.64</v>
      </c>
      <c r="J7" s="35">
        <f t="shared" si="1"/>
        <v>1337.24</v>
      </c>
      <c r="K7" s="35">
        <f t="shared" si="1"/>
        <v>1379.6399999999999</v>
      </c>
      <c r="L7" s="35">
        <f t="shared" si="1"/>
        <v>1422.44</v>
      </c>
      <c r="M7" s="35">
        <f t="shared" si="1"/>
        <v>1413.6399999999999</v>
      </c>
      <c r="N7" s="35">
        <f t="shared" si="1"/>
        <v>1321.3400000000001</v>
      </c>
      <c r="O7" s="35">
        <f t="shared" si="1"/>
        <v>1311.14</v>
      </c>
      <c r="P7" s="35">
        <f t="shared" si="1"/>
        <v>1307.6400000000001</v>
      </c>
      <c r="Q7" s="35">
        <f t="shared" si="1"/>
        <v>1264.8399999999999</v>
      </c>
      <c r="R7" s="35">
        <f t="shared" si="1"/>
        <v>1233.04</v>
      </c>
      <c r="S7" s="35">
        <f t="shared" si="1"/>
        <v>1161.74</v>
      </c>
      <c r="T7" s="35">
        <f t="shared" si="1"/>
        <v>1182.8400000000001</v>
      </c>
      <c r="U7" s="35">
        <f t="shared" si="1"/>
        <v>1182.8400000000001</v>
      </c>
      <c r="V7" s="35">
        <f t="shared" si="1"/>
        <v>1304.74</v>
      </c>
      <c r="W7" s="35">
        <f t="shared" si="1"/>
        <v>1492.54</v>
      </c>
      <c r="X7" s="35">
        <f t="shared" si="1"/>
        <v>1543.8400000000001</v>
      </c>
      <c r="Y7" s="35">
        <f t="shared" si="1"/>
        <v>1543.8400000000001</v>
      </c>
      <c r="Z7" s="35">
        <f t="shared" si="1"/>
        <v>1393.84</v>
      </c>
      <c r="AA7" s="35">
        <f t="shared" si="1"/>
        <v>1341.3400000000001</v>
      </c>
      <c r="AB7" s="35">
        <f t="shared" si="1"/>
        <v>1329.64</v>
      </c>
      <c r="AC7" s="35">
        <f t="shared" si="1"/>
        <v>1313.64</v>
      </c>
      <c r="AD7" s="35">
        <f t="shared" si="1"/>
        <v>1281.6399999999999</v>
      </c>
      <c r="AE7" s="35">
        <f t="shared" si="1"/>
        <v>1254.44</v>
      </c>
      <c r="AF7" s="35">
        <f t="shared" si="1"/>
        <v>1174.74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6.5" thickTop="1" x14ac:dyDescent="0.25">
      <c r="A11" s="44" t="s">
        <v>19</v>
      </c>
      <c r="B11" s="45">
        <v>37.799999999999997</v>
      </c>
      <c r="C11" s="45">
        <v>37.799999999999997</v>
      </c>
      <c r="D11" s="45">
        <v>37.799999999999997</v>
      </c>
      <c r="E11" s="45">
        <v>37.799999999999997</v>
      </c>
      <c r="F11" s="45">
        <v>37.799999999999997</v>
      </c>
      <c r="G11" s="45">
        <v>37.799999999999997</v>
      </c>
      <c r="H11" s="45">
        <v>37.799999999999997</v>
      </c>
      <c r="I11" s="45">
        <v>37.799999999999997</v>
      </c>
      <c r="J11" s="45">
        <v>37.4</v>
      </c>
      <c r="K11" s="45">
        <v>37.4</v>
      </c>
      <c r="L11" s="45">
        <v>37.4</v>
      </c>
      <c r="M11" s="45">
        <v>37.4</v>
      </c>
      <c r="N11" s="45">
        <v>37.4</v>
      </c>
      <c r="O11" s="45">
        <v>37.4</v>
      </c>
      <c r="P11" s="45">
        <v>37.4</v>
      </c>
      <c r="Q11" s="45">
        <v>37.200000000000003</v>
      </c>
      <c r="R11" s="45">
        <v>35.6</v>
      </c>
      <c r="S11" s="45">
        <v>36.200000000000003</v>
      </c>
      <c r="T11" s="45">
        <v>36.200000000000003</v>
      </c>
      <c r="U11" s="45">
        <v>36.200000000000003</v>
      </c>
      <c r="V11" s="45">
        <v>36.200000000000003</v>
      </c>
      <c r="W11" s="45">
        <v>36.299999999999997</v>
      </c>
      <c r="X11" s="167">
        <v>36.799999999999997</v>
      </c>
      <c r="Y11" s="167">
        <v>36.799999999999997</v>
      </c>
      <c r="Z11" s="167">
        <v>36.799999999999997</v>
      </c>
      <c r="AA11" s="167">
        <v>37.9</v>
      </c>
      <c r="AB11" s="201">
        <v>37.9</v>
      </c>
      <c r="AC11" s="201">
        <v>37.9</v>
      </c>
      <c r="AD11" s="201">
        <v>37.9</v>
      </c>
      <c r="AE11" s="201">
        <v>32.5</v>
      </c>
      <c r="AF11" s="201">
        <v>37</v>
      </c>
      <c r="AG11" s="47">
        <v>52.4</v>
      </c>
      <c r="AH11" s="48">
        <f>MAX(B11:AF11)</f>
        <v>37.9</v>
      </c>
      <c r="AI11" s="49">
        <f>MIN(B11:AF11)</f>
        <v>32.5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ht="15.75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50.3</v>
      </c>
      <c r="K12" s="45">
        <v>50.3</v>
      </c>
      <c r="L12" s="45">
        <v>50.3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50.1</v>
      </c>
      <c r="S12" s="45">
        <v>50.5</v>
      </c>
      <c r="T12" s="45">
        <v>50.5</v>
      </c>
      <c r="U12" s="45">
        <v>50.5</v>
      </c>
      <c r="V12" s="45">
        <v>50.5</v>
      </c>
      <c r="W12" s="45">
        <v>50.4</v>
      </c>
      <c r="X12" s="168">
        <v>50.4</v>
      </c>
      <c r="Y12" s="168">
        <v>50.4</v>
      </c>
      <c r="Z12" s="168">
        <v>50.4</v>
      </c>
      <c r="AA12" s="168">
        <v>50.5</v>
      </c>
      <c r="AB12" s="202">
        <v>50.5</v>
      </c>
      <c r="AC12" s="202">
        <v>50.5</v>
      </c>
      <c r="AD12" s="202">
        <v>50.5</v>
      </c>
      <c r="AE12" s="202">
        <v>50.2</v>
      </c>
      <c r="AF12" s="202">
        <v>50.2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ht="15.75" x14ac:dyDescent="0.25">
      <c r="A13" s="44" t="s">
        <v>21</v>
      </c>
      <c r="B13" s="45">
        <v>34.299999999999997</v>
      </c>
      <c r="C13" s="45">
        <v>34.299999999999997</v>
      </c>
      <c r="D13" s="198">
        <v>34.299999999999997</v>
      </c>
      <c r="E13" s="198">
        <v>34.299999999999997</v>
      </c>
      <c r="F13" s="198">
        <v>34.299999999999997</v>
      </c>
      <c r="G13" s="198">
        <v>34.299999999999997</v>
      </c>
      <c r="H13" s="198">
        <v>34.299999999999997</v>
      </c>
      <c r="I13" s="198">
        <v>34.299999999999997</v>
      </c>
      <c r="J13" s="45">
        <v>34.299999999999997</v>
      </c>
      <c r="K13" s="45">
        <v>34.299999999999997</v>
      </c>
      <c r="L13" s="45">
        <v>34.299999999999997</v>
      </c>
      <c r="M13" s="45">
        <v>34.299999999999997</v>
      </c>
      <c r="N13" s="45">
        <v>34.299999999999997</v>
      </c>
      <c r="O13" s="45">
        <v>34.299999999999997</v>
      </c>
      <c r="P13" s="45">
        <v>34.299999999999997</v>
      </c>
      <c r="Q13" s="45">
        <v>29.9</v>
      </c>
      <c r="R13" s="45">
        <v>30.2</v>
      </c>
      <c r="S13" s="45">
        <v>31.3</v>
      </c>
      <c r="T13" s="45">
        <v>31.3</v>
      </c>
      <c r="U13" s="45">
        <v>31.3</v>
      </c>
      <c r="V13" s="45">
        <v>31.3</v>
      </c>
      <c r="W13" s="45">
        <v>36.1</v>
      </c>
      <c r="X13" s="168">
        <v>36.1</v>
      </c>
      <c r="Y13" s="168">
        <v>36.1</v>
      </c>
      <c r="Z13" s="168">
        <v>36.1</v>
      </c>
      <c r="AA13" s="168">
        <v>33.9</v>
      </c>
      <c r="AB13" s="202">
        <v>33.9</v>
      </c>
      <c r="AC13" s="202">
        <v>33.9</v>
      </c>
      <c r="AD13" s="202">
        <v>33.9</v>
      </c>
      <c r="AE13" s="202">
        <v>32.5</v>
      </c>
      <c r="AF13" s="202">
        <v>32.5</v>
      </c>
      <c r="AG13" s="51">
        <v>45</v>
      </c>
      <c r="AH13" s="48">
        <f t="shared" si="2"/>
        <v>36.1</v>
      </c>
      <c r="AI13" s="49">
        <f t="shared" si="3"/>
        <v>29.9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x14ac:dyDescent="0.25">
      <c r="A14" s="44" t="s">
        <v>22</v>
      </c>
      <c r="B14" s="45">
        <v>16</v>
      </c>
      <c r="C14" s="45">
        <v>16</v>
      </c>
      <c r="D14" s="198">
        <v>16</v>
      </c>
      <c r="E14" s="198">
        <v>16</v>
      </c>
      <c r="F14" s="198">
        <v>16</v>
      </c>
      <c r="G14" s="198">
        <v>20</v>
      </c>
      <c r="H14" s="198">
        <v>20</v>
      </c>
      <c r="I14" s="198">
        <v>20</v>
      </c>
      <c r="J14" s="45">
        <v>20</v>
      </c>
      <c r="K14" s="45">
        <v>13</v>
      </c>
      <c r="L14" s="45">
        <v>13</v>
      </c>
      <c r="M14" s="45">
        <v>20</v>
      </c>
      <c r="N14" s="45">
        <v>20</v>
      </c>
      <c r="O14" s="45">
        <v>20</v>
      </c>
      <c r="P14" s="45">
        <v>15</v>
      </c>
      <c r="Q14" s="45">
        <v>20</v>
      </c>
      <c r="R14" s="45">
        <v>20</v>
      </c>
      <c r="S14" s="45">
        <v>20</v>
      </c>
      <c r="T14" s="45">
        <v>20</v>
      </c>
      <c r="U14" s="45">
        <v>20</v>
      </c>
      <c r="V14" s="45">
        <v>20</v>
      </c>
      <c r="W14" s="45">
        <v>20</v>
      </c>
      <c r="X14" s="168">
        <v>26</v>
      </c>
      <c r="Y14" s="168">
        <v>26</v>
      </c>
      <c r="Z14" s="168">
        <v>26</v>
      </c>
      <c r="AA14" s="168">
        <v>16</v>
      </c>
      <c r="AB14" s="202">
        <v>16</v>
      </c>
      <c r="AC14" s="202">
        <v>20</v>
      </c>
      <c r="AD14" s="202">
        <v>20</v>
      </c>
      <c r="AE14" s="202">
        <v>21</v>
      </c>
      <c r="AF14" s="202">
        <v>21</v>
      </c>
      <c r="AG14" s="51">
        <v>42</v>
      </c>
      <c r="AH14" s="48">
        <f t="shared" si="2"/>
        <v>26</v>
      </c>
      <c r="AI14" s="49">
        <f t="shared" si="3"/>
        <v>13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x14ac:dyDescent="0.25">
      <c r="A15" s="44" t="s">
        <v>23</v>
      </c>
      <c r="B15" s="45">
        <v>0</v>
      </c>
      <c r="C15" s="45">
        <v>0</v>
      </c>
      <c r="D15" s="198">
        <v>0</v>
      </c>
      <c r="E15" s="198">
        <v>0</v>
      </c>
      <c r="F15" s="198">
        <v>0</v>
      </c>
      <c r="G15" s="198">
        <v>0</v>
      </c>
      <c r="H15" s="198">
        <v>0</v>
      </c>
      <c r="I15" s="198">
        <v>5</v>
      </c>
      <c r="J15" s="45">
        <v>15</v>
      </c>
      <c r="K15" s="45">
        <v>7</v>
      </c>
      <c r="L15" s="45">
        <v>7</v>
      </c>
      <c r="M15" s="45">
        <v>5</v>
      </c>
      <c r="N15" s="45">
        <v>10.1</v>
      </c>
      <c r="O15" s="45">
        <v>10.1</v>
      </c>
      <c r="P15" s="45">
        <v>5.5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15</v>
      </c>
      <c r="X15" s="168">
        <v>23</v>
      </c>
      <c r="Y15" s="168">
        <v>23</v>
      </c>
      <c r="Z15" s="168">
        <v>23</v>
      </c>
      <c r="AA15" s="168">
        <v>22.3</v>
      </c>
      <c r="AB15" s="202">
        <v>22</v>
      </c>
      <c r="AC15" s="202">
        <v>10</v>
      </c>
      <c r="AD15" s="202">
        <v>0</v>
      </c>
      <c r="AE15" s="202">
        <v>0</v>
      </c>
      <c r="AF15" s="202">
        <v>0</v>
      </c>
      <c r="AG15" s="52">
        <v>30</v>
      </c>
      <c r="AH15" s="48">
        <f t="shared" si="2"/>
        <v>23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ht="15.75" x14ac:dyDescent="0.25">
      <c r="A16" s="44" t="s">
        <v>24</v>
      </c>
      <c r="B16" s="45">
        <v>17.2</v>
      </c>
      <c r="C16" s="45">
        <v>17.2</v>
      </c>
      <c r="D16" s="198">
        <v>17.2</v>
      </c>
      <c r="E16" s="198">
        <v>17.2</v>
      </c>
      <c r="F16" s="198">
        <v>17.2</v>
      </c>
      <c r="G16" s="198">
        <v>17.2</v>
      </c>
      <c r="H16" s="198">
        <v>17.2</v>
      </c>
      <c r="I16" s="198">
        <v>17.2</v>
      </c>
      <c r="J16" s="45">
        <v>17.2</v>
      </c>
      <c r="K16" s="45">
        <v>17.2</v>
      </c>
      <c r="L16" s="45">
        <v>17.2</v>
      </c>
      <c r="M16" s="45">
        <v>17.2</v>
      </c>
      <c r="N16" s="45">
        <v>17.2</v>
      </c>
      <c r="O16" s="45">
        <v>17.2</v>
      </c>
      <c r="P16" s="45">
        <v>17.2</v>
      </c>
      <c r="Q16" s="45">
        <v>16.600000000000001</v>
      </c>
      <c r="R16" s="45">
        <v>16.600000000000001</v>
      </c>
      <c r="S16" s="45">
        <v>16.600000000000001</v>
      </c>
      <c r="T16" s="45">
        <v>16.600000000000001</v>
      </c>
      <c r="U16" s="45">
        <v>16.600000000000001</v>
      </c>
      <c r="V16" s="45">
        <v>16.600000000000001</v>
      </c>
      <c r="W16" s="45">
        <v>16.600000000000001</v>
      </c>
      <c r="X16" s="169">
        <v>18</v>
      </c>
      <c r="Y16" s="169">
        <v>18</v>
      </c>
      <c r="Z16" s="169">
        <v>18</v>
      </c>
      <c r="AA16" s="169">
        <v>13.4</v>
      </c>
      <c r="AB16" s="203">
        <v>15.4</v>
      </c>
      <c r="AC16" s="203">
        <v>15.4</v>
      </c>
      <c r="AD16" s="203">
        <v>15.4</v>
      </c>
      <c r="AE16" s="203">
        <v>15.4</v>
      </c>
      <c r="AF16" s="203">
        <v>15.4</v>
      </c>
      <c r="AG16" s="51">
        <v>24.2</v>
      </c>
      <c r="AH16" s="48">
        <f t="shared" si="2"/>
        <v>18</v>
      </c>
      <c r="AI16" s="49">
        <f t="shared" si="3"/>
        <v>13.4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ht="15.75" x14ac:dyDescent="0.25">
      <c r="A17" s="44" t="s">
        <v>25</v>
      </c>
      <c r="B17" s="45">
        <v>0</v>
      </c>
      <c r="C17" s="45">
        <v>0</v>
      </c>
      <c r="D17" s="198">
        <v>0</v>
      </c>
      <c r="E17" s="198">
        <v>0</v>
      </c>
      <c r="F17" s="198">
        <v>0</v>
      </c>
      <c r="G17" s="198">
        <v>0</v>
      </c>
      <c r="H17" s="198">
        <v>0</v>
      </c>
      <c r="I17" s="198">
        <v>0</v>
      </c>
      <c r="J17" s="45">
        <v>10</v>
      </c>
      <c r="K17" s="45">
        <v>10</v>
      </c>
      <c r="L17" s="45">
        <v>10</v>
      </c>
      <c r="M17" s="45">
        <v>10</v>
      </c>
      <c r="N17" s="45">
        <v>10</v>
      </c>
      <c r="O17" s="45">
        <v>10</v>
      </c>
      <c r="P17" s="45">
        <v>10</v>
      </c>
      <c r="Q17" s="45">
        <v>0</v>
      </c>
      <c r="R17" s="45">
        <v>0</v>
      </c>
      <c r="S17" s="45">
        <v>0</v>
      </c>
      <c r="T17" s="45">
        <v>7.6</v>
      </c>
      <c r="U17" s="45">
        <v>7.6</v>
      </c>
      <c r="V17" s="45">
        <v>7.6</v>
      </c>
      <c r="W17" s="45">
        <v>10</v>
      </c>
      <c r="X17" s="168">
        <v>15</v>
      </c>
      <c r="Y17" s="168">
        <v>15</v>
      </c>
      <c r="Z17" s="168">
        <v>15</v>
      </c>
      <c r="AA17" s="168">
        <v>15</v>
      </c>
      <c r="AB17" s="202">
        <v>20</v>
      </c>
      <c r="AC17" s="202">
        <v>15</v>
      </c>
      <c r="AD17" s="202">
        <v>0</v>
      </c>
      <c r="AE17" s="202">
        <v>0</v>
      </c>
      <c r="AF17" s="202">
        <v>0</v>
      </c>
      <c r="AG17" s="52">
        <v>30</v>
      </c>
      <c r="AH17" s="48">
        <f t="shared" si="2"/>
        <v>20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ht="15.75" x14ac:dyDescent="0.25">
      <c r="A18" s="44" t="s">
        <v>26</v>
      </c>
      <c r="B18" s="45">
        <v>18.600000000000001</v>
      </c>
      <c r="C18" s="45">
        <v>18.600000000000001</v>
      </c>
      <c r="D18" s="198">
        <v>18.600000000000001</v>
      </c>
      <c r="E18" s="198">
        <v>18.600000000000001</v>
      </c>
      <c r="F18" s="198">
        <v>18.600000000000001</v>
      </c>
      <c r="G18" s="198">
        <v>18.600000000000001</v>
      </c>
      <c r="H18" s="198">
        <v>18.600000000000001</v>
      </c>
      <c r="I18" s="198">
        <v>18.600000000000001</v>
      </c>
      <c r="J18" s="45">
        <v>18.600000000000001</v>
      </c>
      <c r="K18" s="45">
        <v>10</v>
      </c>
      <c r="L18" s="45">
        <v>12</v>
      </c>
      <c r="M18" s="45">
        <v>12</v>
      </c>
      <c r="N18" s="45">
        <v>12</v>
      </c>
      <c r="O18" s="45">
        <v>12</v>
      </c>
      <c r="P18" s="45">
        <v>12</v>
      </c>
      <c r="Q18" s="45">
        <v>17.8</v>
      </c>
      <c r="R18" s="45">
        <v>17.8</v>
      </c>
      <c r="S18" s="45">
        <v>17.8</v>
      </c>
      <c r="T18" s="45">
        <v>17.8</v>
      </c>
      <c r="U18" s="45">
        <v>17.8</v>
      </c>
      <c r="V18" s="45">
        <v>17.8</v>
      </c>
      <c r="W18" s="45">
        <v>17.8</v>
      </c>
      <c r="X18" s="168">
        <v>18.600000000000001</v>
      </c>
      <c r="Y18" s="168">
        <v>18.600000000000001</v>
      </c>
      <c r="Z18" s="168">
        <v>18.600000000000001</v>
      </c>
      <c r="AA18" s="168">
        <v>18.600000000000001</v>
      </c>
      <c r="AB18" s="202">
        <v>18.600000000000001</v>
      </c>
      <c r="AC18" s="202">
        <v>18.600000000000001</v>
      </c>
      <c r="AD18" s="202">
        <v>18.600000000000001</v>
      </c>
      <c r="AE18" s="202">
        <v>18.600000000000001</v>
      </c>
      <c r="AF18" s="202">
        <v>18.600000000000001</v>
      </c>
      <c r="AG18" s="51">
        <v>25</v>
      </c>
      <c r="AH18" s="48">
        <f t="shared" si="2"/>
        <v>18.600000000000001</v>
      </c>
      <c r="AI18" s="49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ht="15.75" x14ac:dyDescent="0.25">
      <c r="A19" s="44" t="s">
        <v>27</v>
      </c>
      <c r="B19" s="45">
        <v>18</v>
      </c>
      <c r="C19" s="45">
        <v>18</v>
      </c>
      <c r="D19" s="198">
        <v>18</v>
      </c>
      <c r="E19" s="198">
        <v>18</v>
      </c>
      <c r="F19" s="198">
        <v>18</v>
      </c>
      <c r="G19" s="198">
        <v>18</v>
      </c>
      <c r="H19" s="198">
        <v>18</v>
      </c>
      <c r="I19" s="198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168">
        <v>18</v>
      </c>
      <c r="Y19" s="168">
        <v>18</v>
      </c>
      <c r="Z19" s="168">
        <v>18</v>
      </c>
      <c r="AA19" s="168">
        <v>18</v>
      </c>
      <c r="AB19" s="202">
        <v>18</v>
      </c>
      <c r="AC19" s="202">
        <v>18</v>
      </c>
      <c r="AD19" s="202">
        <v>18</v>
      </c>
      <c r="AE19" s="202">
        <v>18</v>
      </c>
      <c r="AF19" s="202">
        <v>18</v>
      </c>
      <c r="AG19" s="51">
        <v>25</v>
      </c>
      <c r="AH19" s="48">
        <f t="shared" si="2"/>
        <v>18</v>
      </c>
      <c r="AI19" s="49">
        <f t="shared" si="3"/>
        <v>18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ht="15.75" x14ac:dyDescent="0.25">
      <c r="A20" s="44" t="s">
        <v>28</v>
      </c>
      <c r="B20" s="45">
        <v>14</v>
      </c>
      <c r="C20" s="45">
        <v>14</v>
      </c>
      <c r="D20" s="198">
        <v>14</v>
      </c>
      <c r="E20" s="198">
        <v>14</v>
      </c>
      <c r="F20" s="198">
        <v>14</v>
      </c>
      <c r="G20" s="198">
        <v>14</v>
      </c>
      <c r="H20" s="198">
        <v>14</v>
      </c>
      <c r="I20" s="198">
        <v>14</v>
      </c>
      <c r="J20" s="45">
        <v>14</v>
      </c>
      <c r="K20" s="45">
        <v>14</v>
      </c>
      <c r="L20" s="45">
        <v>14</v>
      </c>
      <c r="M20" s="45">
        <v>14</v>
      </c>
      <c r="N20" s="45">
        <v>14</v>
      </c>
      <c r="O20" s="45">
        <v>14</v>
      </c>
      <c r="P20" s="45">
        <v>14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168">
        <v>14</v>
      </c>
      <c r="Y20" s="168">
        <v>14</v>
      </c>
      <c r="Z20" s="168">
        <v>14</v>
      </c>
      <c r="AA20" s="168">
        <v>14</v>
      </c>
      <c r="AB20" s="202">
        <v>14</v>
      </c>
      <c r="AC20" s="202">
        <v>14</v>
      </c>
      <c r="AD20" s="202">
        <v>14</v>
      </c>
      <c r="AE20" s="202">
        <v>14</v>
      </c>
      <c r="AF20" s="202">
        <v>10</v>
      </c>
      <c r="AG20" s="51">
        <v>25</v>
      </c>
      <c r="AH20" s="48">
        <f t="shared" si="2"/>
        <v>14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ht="15.75" x14ac:dyDescent="0.25">
      <c r="A21" s="44" t="s">
        <v>29</v>
      </c>
      <c r="B21" s="45">
        <v>16.5</v>
      </c>
      <c r="C21" s="45">
        <v>16.5</v>
      </c>
      <c r="D21" s="198">
        <v>16.5</v>
      </c>
      <c r="E21" s="198">
        <v>16.5</v>
      </c>
      <c r="F21" s="198">
        <v>16.5</v>
      </c>
      <c r="G21" s="198">
        <v>16.5</v>
      </c>
      <c r="H21" s="198">
        <v>16.5</v>
      </c>
      <c r="I21" s="198">
        <v>16.5</v>
      </c>
      <c r="J21" s="45">
        <v>16.5</v>
      </c>
      <c r="K21" s="45">
        <v>16.5</v>
      </c>
      <c r="L21" s="45">
        <v>16.5</v>
      </c>
      <c r="M21" s="45">
        <v>16.5</v>
      </c>
      <c r="N21" s="45">
        <v>16.5</v>
      </c>
      <c r="O21" s="45">
        <v>16.5</v>
      </c>
      <c r="P21" s="45">
        <v>16.5</v>
      </c>
      <c r="Q21" s="45">
        <v>16.5</v>
      </c>
      <c r="R21" s="45">
        <v>16.5</v>
      </c>
      <c r="S21" s="45">
        <v>16.5</v>
      </c>
      <c r="T21" s="45">
        <v>16.5</v>
      </c>
      <c r="U21" s="45">
        <v>16.5</v>
      </c>
      <c r="V21" s="45">
        <v>16.5</v>
      </c>
      <c r="W21" s="45">
        <v>16.5</v>
      </c>
      <c r="X21" s="169">
        <v>16.5</v>
      </c>
      <c r="Y21" s="169">
        <v>16.5</v>
      </c>
      <c r="Z21" s="169">
        <v>16.5</v>
      </c>
      <c r="AA21" s="169">
        <v>16.5</v>
      </c>
      <c r="AB21" s="203">
        <v>15</v>
      </c>
      <c r="AC21" s="203">
        <v>15</v>
      </c>
      <c r="AD21" s="203">
        <v>15</v>
      </c>
      <c r="AE21" s="203">
        <v>15</v>
      </c>
      <c r="AF21" s="203">
        <v>15</v>
      </c>
      <c r="AG21" s="51">
        <v>23.5</v>
      </c>
      <c r="AH21" s="48">
        <f t="shared" si="2"/>
        <v>16.5</v>
      </c>
      <c r="AI21" s="49">
        <f t="shared" si="3"/>
        <v>15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ht="15.75" x14ac:dyDescent="0.25">
      <c r="A22" s="44" t="s">
        <v>30</v>
      </c>
      <c r="B22" s="45">
        <v>0</v>
      </c>
      <c r="C22" s="45">
        <v>0</v>
      </c>
      <c r="D22" s="198">
        <v>0</v>
      </c>
      <c r="E22" s="198">
        <v>0</v>
      </c>
      <c r="F22" s="198">
        <v>0</v>
      </c>
      <c r="G22" s="198">
        <v>0</v>
      </c>
      <c r="H22" s="198">
        <v>0</v>
      </c>
      <c r="I22" s="198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169">
        <v>0</v>
      </c>
      <c r="Y22" s="169">
        <v>0</v>
      </c>
      <c r="Z22" s="169">
        <v>0</v>
      </c>
      <c r="AA22" s="169">
        <v>0</v>
      </c>
      <c r="AB22" s="203">
        <v>0</v>
      </c>
      <c r="AC22" s="203">
        <v>0</v>
      </c>
      <c r="AD22" s="203">
        <v>0</v>
      </c>
      <c r="AE22" s="203">
        <v>0</v>
      </c>
      <c r="AF22" s="203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ht="15.75" x14ac:dyDescent="0.25">
      <c r="A23" s="44" t="s">
        <v>31</v>
      </c>
      <c r="B23" s="45">
        <v>10.6</v>
      </c>
      <c r="C23" s="45">
        <v>10.6</v>
      </c>
      <c r="D23" s="198">
        <v>10.6</v>
      </c>
      <c r="E23" s="198">
        <v>10.6</v>
      </c>
      <c r="F23" s="198">
        <v>10.6</v>
      </c>
      <c r="G23" s="198">
        <v>10.6</v>
      </c>
      <c r="H23" s="198">
        <v>10.6</v>
      </c>
      <c r="I23" s="198">
        <v>10.6</v>
      </c>
      <c r="J23" s="45">
        <v>10.6</v>
      </c>
      <c r="K23" s="45">
        <v>10.6</v>
      </c>
      <c r="L23" s="45">
        <v>10.6</v>
      </c>
      <c r="M23" s="45">
        <v>10.6</v>
      </c>
      <c r="N23" s="45">
        <v>10.6</v>
      </c>
      <c r="O23" s="45">
        <v>10.6</v>
      </c>
      <c r="P23" s="45">
        <v>10.6</v>
      </c>
      <c r="Q23" s="45">
        <v>10.6</v>
      </c>
      <c r="R23" s="45">
        <v>10.6</v>
      </c>
      <c r="S23" s="45">
        <v>10.6</v>
      </c>
      <c r="T23" s="45">
        <v>10.6</v>
      </c>
      <c r="U23" s="45">
        <v>10.6</v>
      </c>
      <c r="V23" s="45">
        <v>10.6</v>
      </c>
      <c r="W23" s="45">
        <v>10.6</v>
      </c>
      <c r="X23" s="169">
        <v>10.6</v>
      </c>
      <c r="Y23" s="169">
        <v>10.6</v>
      </c>
      <c r="Z23" s="169">
        <v>10.6</v>
      </c>
      <c r="AA23" s="169">
        <v>10.6</v>
      </c>
      <c r="AB23" s="203">
        <v>10.6</v>
      </c>
      <c r="AC23" s="203">
        <v>10.6</v>
      </c>
      <c r="AD23" s="203">
        <v>10.6</v>
      </c>
      <c r="AE23" s="203">
        <v>10.6</v>
      </c>
      <c r="AF23" s="203">
        <v>10.6</v>
      </c>
      <c r="AG23" s="51">
        <v>22.1</v>
      </c>
      <c r="AH23" s="48">
        <f t="shared" si="2"/>
        <v>10.6</v>
      </c>
      <c r="AI23" s="49">
        <f t="shared" si="3"/>
        <v>10.6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ht="15.75" x14ac:dyDescent="0.25">
      <c r="A24" s="44" t="s">
        <v>32</v>
      </c>
      <c r="B24" s="45">
        <v>13</v>
      </c>
      <c r="C24" s="45">
        <v>13</v>
      </c>
      <c r="D24" s="198">
        <v>13</v>
      </c>
      <c r="E24" s="198">
        <v>13</v>
      </c>
      <c r="F24" s="198">
        <v>13</v>
      </c>
      <c r="G24" s="198">
        <v>13</v>
      </c>
      <c r="H24" s="198">
        <v>13</v>
      </c>
      <c r="I24" s="198">
        <v>13</v>
      </c>
      <c r="J24" s="45">
        <v>13</v>
      </c>
      <c r="K24" s="45">
        <v>13</v>
      </c>
      <c r="L24" s="45">
        <v>13</v>
      </c>
      <c r="M24" s="45">
        <v>13</v>
      </c>
      <c r="N24" s="45">
        <v>13</v>
      </c>
      <c r="O24" s="45">
        <v>13</v>
      </c>
      <c r="P24" s="45">
        <v>13</v>
      </c>
      <c r="Q24" s="45">
        <v>13</v>
      </c>
      <c r="R24" s="45">
        <v>13</v>
      </c>
      <c r="S24" s="45">
        <v>13</v>
      </c>
      <c r="T24" s="45">
        <v>13</v>
      </c>
      <c r="U24" s="45">
        <v>13</v>
      </c>
      <c r="V24" s="45">
        <v>13</v>
      </c>
      <c r="W24" s="45">
        <v>13</v>
      </c>
      <c r="X24" s="169">
        <v>13</v>
      </c>
      <c r="Y24" s="169">
        <v>13</v>
      </c>
      <c r="Z24" s="169">
        <v>13</v>
      </c>
      <c r="AA24" s="169">
        <v>13</v>
      </c>
      <c r="AB24" s="203">
        <v>13</v>
      </c>
      <c r="AC24" s="203">
        <v>15</v>
      </c>
      <c r="AD24" s="203">
        <v>15</v>
      </c>
      <c r="AE24" s="203">
        <v>15</v>
      </c>
      <c r="AF24" s="203">
        <v>15</v>
      </c>
      <c r="AG24" s="51">
        <v>22</v>
      </c>
      <c r="AH24" s="48">
        <f t="shared" si="2"/>
        <v>15</v>
      </c>
      <c r="AI24" s="49">
        <f t="shared" si="3"/>
        <v>13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ht="15.75" x14ac:dyDescent="0.25">
      <c r="A25" s="44" t="s">
        <v>33</v>
      </c>
      <c r="B25" s="45">
        <v>16</v>
      </c>
      <c r="C25" s="45">
        <v>16</v>
      </c>
      <c r="D25" s="198">
        <v>16</v>
      </c>
      <c r="E25" s="198">
        <v>16</v>
      </c>
      <c r="F25" s="198">
        <v>16</v>
      </c>
      <c r="G25" s="198">
        <v>16</v>
      </c>
      <c r="H25" s="198">
        <v>16</v>
      </c>
      <c r="I25" s="198">
        <v>16</v>
      </c>
      <c r="J25" s="45">
        <v>16</v>
      </c>
      <c r="K25" s="45">
        <v>16</v>
      </c>
      <c r="L25" s="45">
        <v>16</v>
      </c>
      <c r="M25" s="45">
        <v>16</v>
      </c>
      <c r="N25" s="45">
        <v>16</v>
      </c>
      <c r="O25" s="45">
        <v>16</v>
      </c>
      <c r="P25" s="45">
        <v>16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169">
        <v>10</v>
      </c>
      <c r="Y25" s="169">
        <v>10</v>
      </c>
      <c r="Z25" s="169">
        <v>10</v>
      </c>
      <c r="AA25" s="169">
        <v>10</v>
      </c>
      <c r="AB25" s="203">
        <v>10</v>
      </c>
      <c r="AC25" s="203">
        <v>10</v>
      </c>
      <c r="AD25" s="203">
        <v>10</v>
      </c>
      <c r="AE25" s="203">
        <v>10</v>
      </c>
      <c r="AF25" s="203">
        <v>10</v>
      </c>
      <c r="AG25" s="51">
        <v>22</v>
      </c>
      <c r="AH25" s="48">
        <f t="shared" si="2"/>
        <v>16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ht="15.75" x14ac:dyDescent="0.25">
      <c r="A26" s="44" t="s">
        <v>34</v>
      </c>
      <c r="B26" s="45">
        <v>0</v>
      </c>
      <c r="C26" s="45">
        <v>0</v>
      </c>
      <c r="D26" s="198">
        <v>0</v>
      </c>
      <c r="E26" s="198">
        <v>0</v>
      </c>
      <c r="F26" s="198">
        <v>0</v>
      </c>
      <c r="G26" s="198">
        <v>0</v>
      </c>
      <c r="H26" s="198">
        <v>0</v>
      </c>
      <c r="I26" s="198">
        <v>5</v>
      </c>
      <c r="J26" s="45">
        <v>10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5</v>
      </c>
      <c r="X26" s="170">
        <v>5</v>
      </c>
      <c r="Y26" s="170">
        <v>5</v>
      </c>
      <c r="Z26" s="170">
        <v>5</v>
      </c>
      <c r="AA26" s="170">
        <v>5</v>
      </c>
      <c r="AB26" s="204">
        <v>0</v>
      </c>
      <c r="AC26" s="204">
        <v>0</v>
      </c>
      <c r="AD26" s="204">
        <v>0</v>
      </c>
      <c r="AE26" s="204">
        <v>0</v>
      </c>
      <c r="AF26" s="204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ht="15.75" x14ac:dyDescent="0.25">
      <c r="A27" s="44" t="s">
        <v>35</v>
      </c>
      <c r="B27" s="45">
        <v>6.3</v>
      </c>
      <c r="C27" s="45">
        <v>6.3</v>
      </c>
      <c r="D27" s="198">
        <v>6.3</v>
      </c>
      <c r="E27" s="198">
        <v>6.3</v>
      </c>
      <c r="F27" s="198">
        <v>6.3</v>
      </c>
      <c r="G27" s="198">
        <v>6.3</v>
      </c>
      <c r="H27" s="198">
        <v>6.3</v>
      </c>
      <c r="I27" s="198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169">
        <v>6.3</v>
      </c>
      <c r="Y27" s="169">
        <v>6.3</v>
      </c>
      <c r="Z27" s="169">
        <v>6.3</v>
      </c>
      <c r="AA27" s="169">
        <v>6.3</v>
      </c>
      <c r="AB27" s="203">
        <v>6.3</v>
      </c>
      <c r="AC27" s="203">
        <v>6.3</v>
      </c>
      <c r="AD27" s="203">
        <v>6.3</v>
      </c>
      <c r="AE27" s="203">
        <v>6.3</v>
      </c>
      <c r="AF27" s="203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ht="15.75" x14ac:dyDescent="0.25">
      <c r="A28" s="44" t="s">
        <v>36</v>
      </c>
      <c r="B28" s="45">
        <v>3.5</v>
      </c>
      <c r="C28" s="45">
        <v>3.5</v>
      </c>
      <c r="D28" s="198">
        <v>3.5</v>
      </c>
      <c r="E28" s="198">
        <v>3.5</v>
      </c>
      <c r="F28" s="198">
        <v>3.5</v>
      </c>
      <c r="G28" s="198">
        <v>3.5</v>
      </c>
      <c r="H28" s="198">
        <v>3.5</v>
      </c>
      <c r="I28" s="198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171">
        <v>3.5</v>
      </c>
      <c r="Y28" s="171">
        <v>3.5</v>
      </c>
      <c r="Z28" s="171">
        <v>3.5</v>
      </c>
      <c r="AA28" s="171">
        <v>3.5</v>
      </c>
      <c r="AB28" s="205">
        <v>3.5</v>
      </c>
      <c r="AC28" s="205">
        <v>3.5</v>
      </c>
      <c r="AD28" s="205">
        <v>3.5</v>
      </c>
      <c r="AE28" s="205">
        <v>3.5</v>
      </c>
      <c r="AF28" s="20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ht="15.75" x14ac:dyDescent="0.25">
      <c r="A29" s="44" t="s">
        <v>37</v>
      </c>
      <c r="B29" s="45">
        <v>9</v>
      </c>
      <c r="C29" s="45">
        <v>9</v>
      </c>
      <c r="D29" s="198">
        <v>9</v>
      </c>
      <c r="E29" s="198">
        <v>9</v>
      </c>
      <c r="F29" s="198">
        <v>9</v>
      </c>
      <c r="G29" s="198">
        <v>9</v>
      </c>
      <c r="H29" s="198">
        <v>9</v>
      </c>
      <c r="I29" s="198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169">
        <v>9</v>
      </c>
      <c r="Y29" s="169">
        <v>9</v>
      </c>
      <c r="Z29" s="169">
        <v>9</v>
      </c>
      <c r="AA29" s="169">
        <v>9</v>
      </c>
      <c r="AB29" s="203">
        <v>9</v>
      </c>
      <c r="AC29" s="203">
        <v>9</v>
      </c>
      <c r="AD29" s="203">
        <v>9</v>
      </c>
      <c r="AE29" s="203">
        <v>9</v>
      </c>
      <c r="AF29" s="203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ht="15.75" x14ac:dyDescent="0.25">
      <c r="A30" s="44" t="s">
        <v>38</v>
      </c>
      <c r="B30" s="45">
        <v>0</v>
      </c>
      <c r="C30" s="45">
        <v>0</v>
      </c>
      <c r="D30" s="198">
        <v>0</v>
      </c>
      <c r="E30" s="198">
        <v>0</v>
      </c>
      <c r="F30" s="198">
        <v>0</v>
      </c>
      <c r="G30" s="198">
        <v>0</v>
      </c>
      <c r="H30" s="198">
        <v>0</v>
      </c>
      <c r="I30" s="198">
        <v>0</v>
      </c>
      <c r="J30" s="45">
        <v>7</v>
      </c>
      <c r="K30" s="45">
        <v>7</v>
      </c>
      <c r="L30" s="45">
        <v>7</v>
      </c>
      <c r="M30" s="45">
        <v>7</v>
      </c>
      <c r="N30" s="45">
        <v>7</v>
      </c>
      <c r="O30" s="45">
        <v>7</v>
      </c>
      <c r="P30" s="45">
        <v>7</v>
      </c>
      <c r="Q30" s="45">
        <v>3</v>
      </c>
      <c r="R30" s="45">
        <v>3</v>
      </c>
      <c r="S30" s="45">
        <v>3</v>
      </c>
      <c r="T30" s="45">
        <v>3</v>
      </c>
      <c r="U30" s="45">
        <v>3</v>
      </c>
      <c r="V30" s="45">
        <v>3</v>
      </c>
      <c r="W30" s="45">
        <v>3</v>
      </c>
      <c r="X30" s="169">
        <v>10</v>
      </c>
      <c r="Y30" s="169">
        <v>10</v>
      </c>
      <c r="Z30" s="169">
        <v>10</v>
      </c>
      <c r="AA30" s="169">
        <v>10</v>
      </c>
      <c r="AB30" s="203">
        <v>10</v>
      </c>
      <c r="AC30" s="203">
        <v>5</v>
      </c>
      <c r="AD30" s="203">
        <v>0</v>
      </c>
      <c r="AE30" s="203">
        <v>0</v>
      </c>
      <c r="AF30" s="203">
        <v>0</v>
      </c>
      <c r="AG30" s="51">
        <v>12</v>
      </c>
      <c r="AH30" s="48">
        <f t="shared" si="2"/>
        <v>10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ht="15.75" x14ac:dyDescent="0.25">
      <c r="A31" s="44" t="s">
        <v>39</v>
      </c>
      <c r="B31" s="45">
        <v>12</v>
      </c>
      <c r="C31" s="45">
        <v>12</v>
      </c>
      <c r="D31" s="198">
        <v>12</v>
      </c>
      <c r="E31" s="198">
        <v>12</v>
      </c>
      <c r="F31" s="198">
        <v>12</v>
      </c>
      <c r="G31" s="198">
        <v>12</v>
      </c>
      <c r="H31" s="198">
        <v>12</v>
      </c>
      <c r="I31" s="198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169">
        <v>12</v>
      </c>
      <c r="Y31" s="169">
        <v>12</v>
      </c>
      <c r="Z31" s="169">
        <v>12</v>
      </c>
      <c r="AA31" s="169">
        <v>12</v>
      </c>
      <c r="AB31" s="203">
        <v>12</v>
      </c>
      <c r="AC31" s="203">
        <v>12</v>
      </c>
      <c r="AD31" s="203">
        <v>12</v>
      </c>
      <c r="AE31" s="203">
        <v>12</v>
      </c>
      <c r="AF31" s="203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ht="15.75" x14ac:dyDescent="0.25">
      <c r="A32" s="44" t="s">
        <v>40</v>
      </c>
      <c r="B32" s="45">
        <v>5</v>
      </c>
      <c r="C32" s="45">
        <v>5</v>
      </c>
      <c r="D32" s="198">
        <v>5</v>
      </c>
      <c r="E32" s="198">
        <v>5</v>
      </c>
      <c r="F32" s="198">
        <v>5</v>
      </c>
      <c r="G32" s="198">
        <v>5</v>
      </c>
      <c r="H32" s="198">
        <v>5</v>
      </c>
      <c r="I32" s="198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169">
        <v>0</v>
      </c>
      <c r="Y32" s="169">
        <v>0</v>
      </c>
      <c r="Z32" s="169">
        <v>0</v>
      </c>
      <c r="AA32" s="169">
        <v>0</v>
      </c>
      <c r="AB32" s="203">
        <v>0</v>
      </c>
      <c r="AC32" s="203">
        <v>0</v>
      </c>
      <c r="AD32" s="203">
        <v>0</v>
      </c>
      <c r="AE32" s="203">
        <v>0</v>
      </c>
      <c r="AF32" s="203">
        <v>0</v>
      </c>
      <c r="AG32" s="51">
        <v>12</v>
      </c>
      <c r="AH32" s="48">
        <f t="shared" si="2"/>
        <v>5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5.2</v>
      </c>
      <c r="C33" s="45">
        <v>5.2</v>
      </c>
      <c r="D33" s="45">
        <v>5.2</v>
      </c>
      <c r="E33" s="45">
        <v>5.2</v>
      </c>
      <c r="F33" s="45">
        <v>5.2</v>
      </c>
      <c r="G33" s="45">
        <v>5.2</v>
      </c>
      <c r="H33" s="45">
        <v>5.2</v>
      </c>
      <c r="I33" s="45">
        <v>5.2</v>
      </c>
      <c r="J33" s="45">
        <v>5.2</v>
      </c>
      <c r="K33" s="45">
        <v>5.2</v>
      </c>
      <c r="L33" s="45">
        <v>5.2</v>
      </c>
      <c r="M33" s="45">
        <v>5.2</v>
      </c>
      <c r="N33" s="45">
        <v>5.2</v>
      </c>
      <c r="O33" s="45">
        <v>5.2</v>
      </c>
      <c r="P33" s="45">
        <v>5.2</v>
      </c>
      <c r="Q33" s="45">
        <v>5.2</v>
      </c>
      <c r="R33" s="45">
        <v>5.2</v>
      </c>
      <c r="S33" s="45">
        <v>5.2</v>
      </c>
      <c r="T33" s="45">
        <v>5.2</v>
      </c>
      <c r="U33" s="45">
        <v>5.2</v>
      </c>
      <c r="V33" s="45">
        <v>5.2</v>
      </c>
      <c r="W33" s="45">
        <v>5.2</v>
      </c>
      <c r="X33" s="169">
        <v>5.2</v>
      </c>
      <c r="Y33" s="169">
        <v>5.2</v>
      </c>
      <c r="Z33" s="169">
        <v>5.2</v>
      </c>
      <c r="AA33" s="169">
        <v>5.2</v>
      </c>
      <c r="AB33" s="203">
        <v>5.2</v>
      </c>
      <c r="AC33" s="203">
        <v>5.2</v>
      </c>
      <c r="AD33" s="203">
        <v>5.2</v>
      </c>
      <c r="AE33" s="203">
        <v>5.2</v>
      </c>
      <c r="AF33" s="203">
        <v>5.2</v>
      </c>
      <c r="AG33" s="53">
        <v>22</v>
      </c>
      <c r="AH33" s="48">
        <f t="shared" si="2"/>
        <v>5.2</v>
      </c>
      <c r="AI33" s="49">
        <f t="shared" si="3"/>
        <v>5.2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169">
        <v>8.5</v>
      </c>
      <c r="Y34" s="169">
        <v>8.5</v>
      </c>
      <c r="Z34" s="169">
        <v>8.5</v>
      </c>
      <c r="AA34" s="169">
        <v>8.5</v>
      </c>
      <c r="AB34" s="203">
        <v>8.5</v>
      </c>
      <c r="AC34" s="203">
        <v>8.5</v>
      </c>
      <c r="AD34" s="203">
        <v>8.5</v>
      </c>
      <c r="AE34" s="203">
        <v>8.5</v>
      </c>
      <c r="AF34" s="203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169">
        <v>8</v>
      </c>
      <c r="Y35" s="169">
        <v>8</v>
      </c>
      <c r="Z35" s="169">
        <v>8</v>
      </c>
      <c r="AA35" s="169">
        <v>8</v>
      </c>
      <c r="AB35" s="203">
        <v>8</v>
      </c>
      <c r="AC35" s="203">
        <v>8</v>
      </c>
      <c r="AD35" s="203">
        <v>8</v>
      </c>
      <c r="AE35" s="203">
        <v>8</v>
      </c>
      <c r="AF35" s="203">
        <v>8</v>
      </c>
      <c r="AG35" s="55">
        <v>11</v>
      </c>
      <c r="AH35" s="48">
        <f t="shared" si="2"/>
        <v>8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169">
        <v>10</v>
      </c>
      <c r="Y36" s="169">
        <v>10</v>
      </c>
      <c r="Z36" s="169">
        <v>10</v>
      </c>
      <c r="AA36" s="169">
        <v>0</v>
      </c>
      <c r="AB36" s="203">
        <v>0</v>
      </c>
      <c r="AC36" s="203">
        <v>0</v>
      </c>
      <c r="AD36" s="203">
        <v>0</v>
      </c>
      <c r="AE36" s="203">
        <v>0</v>
      </c>
      <c r="AF36" s="203">
        <v>0</v>
      </c>
      <c r="AG36" s="55">
        <v>10</v>
      </c>
      <c r="AH36" s="48">
        <f t="shared" si="2"/>
        <v>10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5.75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169">
        <v>2</v>
      </c>
      <c r="Y37" s="169">
        <v>2</v>
      </c>
      <c r="Z37" s="169">
        <v>2</v>
      </c>
      <c r="AA37" s="169">
        <v>2</v>
      </c>
      <c r="AB37" s="203">
        <v>0</v>
      </c>
      <c r="AC37" s="203">
        <v>0</v>
      </c>
      <c r="AD37" s="203">
        <v>0</v>
      </c>
      <c r="AE37" s="203">
        <v>0</v>
      </c>
      <c r="AF37" s="203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196">
        <v>270</v>
      </c>
      <c r="AC38" s="196">
        <v>270</v>
      </c>
      <c r="AD38" s="196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v>104.3</v>
      </c>
      <c r="C39" s="59">
        <f>46.6+60.8</f>
        <v>107.4</v>
      </c>
      <c r="D39" s="59">
        <f>46+59.6</f>
        <v>105.6</v>
      </c>
      <c r="E39" s="59">
        <v>107</v>
      </c>
      <c r="F39" s="59">
        <v>107</v>
      </c>
      <c r="G39" s="59">
        <v>106</v>
      </c>
      <c r="H39" s="59">
        <v>106</v>
      </c>
      <c r="I39" s="59">
        <v>103</v>
      </c>
      <c r="J39" s="59">
        <v>103</v>
      </c>
      <c r="K39" s="59">
        <v>103</v>
      </c>
      <c r="L39" s="59">
        <v>103</v>
      </c>
      <c r="M39" s="57">
        <f>45.6+57.8</f>
        <v>103.4</v>
      </c>
      <c r="N39" s="57">
        <f>45.8+56.8</f>
        <v>102.6</v>
      </c>
      <c r="O39" s="57">
        <f>46+58.4</f>
        <v>104.4</v>
      </c>
      <c r="P39" s="57">
        <f>46.4+58.6</f>
        <v>105</v>
      </c>
      <c r="Q39" s="57">
        <f>45.6+58.2</f>
        <v>103.80000000000001</v>
      </c>
      <c r="R39" s="57">
        <f>45.4+59.6</f>
        <v>105</v>
      </c>
      <c r="S39" s="57">
        <f>46+59.4</f>
        <v>105.4</v>
      </c>
      <c r="T39" s="57">
        <f>45.8+58.5</f>
        <v>104.3</v>
      </c>
      <c r="U39" s="57">
        <f>45.8+58.5</f>
        <v>104.3</v>
      </c>
      <c r="V39" s="57">
        <f>45.8+58.5</f>
        <v>104.3</v>
      </c>
      <c r="W39" s="57">
        <f>44.3+54.1</f>
        <v>98.4</v>
      </c>
      <c r="X39" s="57">
        <v>98.4</v>
      </c>
      <c r="Y39" s="57">
        <v>98.4</v>
      </c>
      <c r="Z39" s="57">
        <f>44.1+53.9</f>
        <v>98</v>
      </c>
      <c r="AA39" s="57">
        <f>43.8+54.8</f>
        <v>98.6</v>
      </c>
      <c r="AB39" s="198">
        <f>55+44.1</f>
        <v>99.1</v>
      </c>
      <c r="AC39" s="198">
        <v>99</v>
      </c>
      <c r="AD39" s="198">
        <f>56.1+44.3</f>
        <v>100.4</v>
      </c>
      <c r="AE39" s="59">
        <f>56.3+44</f>
        <v>100.3</v>
      </c>
      <c r="AF39" s="59">
        <f>56.8+44.5</f>
        <v>101.3</v>
      </c>
      <c r="AG39" s="55">
        <v>240</v>
      </c>
      <c r="AH39" s="48">
        <f t="shared" si="2"/>
        <v>107.4</v>
      </c>
      <c r="AI39" s="49">
        <f t="shared" si="3"/>
        <v>98</v>
      </c>
      <c r="AK39" s="50"/>
    </row>
    <row r="40" spans="1:88" ht="16.5" thickBot="1" x14ac:dyDescent="0.3">
      <c r="A40" s="60" t="s">
        <v>48</v>
      </c>
      <c r="B40" s="61">
        <f t="shared" ref="B40:W40" si="4">SUM(B11:B38)</f>
        <v>596.9</v>
      </c>
      <c r="C40" s="61">
        <f t="shared" si="4"/>
        <v>596.9</v>
      </c>
      <c r="D40" s="61">
        <f t="shared" si="4"/>
        <v>596.9</v>
      </c>
      <c r="E40" s="61">
        <f t="shared" si="4"/>
        <v>596.9</v>
      </c>
      <c r="F40" s="61">
        <f t="shared" si="4"/>
        <v>596.9</v>
      </c>
      <c r="G40" s="61">
        <f t="shared" si="4"/>
        <v>600.9</v>
      </c>
      <c r="H40" s="61">
        <f t="shared" si="4"/>
        <v>600.9</v>
      </c>
      <c r="I40" s="61">
        <f t="shared" si="4"/>
        <v>610.9</v>
      </c>
      <c r="J40" s="61">
        <f t="shared" si="4"/>
        <v>642.4</v>
      </c>
      <c r="K40" s="61">
        <f t="shared" si="4"/>
        <v>608.79999999999995</v>
      </c>
      <c r="L40" s="61">
        <f t="shared" si="4"/>
        <v>610.79999999999995</v>
      </c>
      <c r="M40" s="61">
        <f t="shared" si="4"/>
        <v>617.79999999999995</v>
      </c>
      <c r="N40" s="61">
        <f t="shared" si="4"/>
        <v>622.9</v>
      </c>
      <c r="O40" s="61">
        <f t="shared" si="4"/>
        <v>622.9</v>
      </c>
      <c r="P40" s="61">
        <f t="shared" si="4"/>
        <v>613.29999999999995</v>
      </c>
      <c r="Q40" s="61">
        <f t="shared" si="4"/>
        <v>593.4</v>
      </c>
      <c r="R40" s="61">
        <f t="shared" si="4"/>
        <v>586.9</v>
      </c>
      <c r="S40" s="61">
        <f t="shared" si="4"/>
        <v>589</v>
      </c>
      <c r="T40" s="61">
        <f t="shared" si="4"/>
        <v>596.6</v>
      </c>
      <c r="U40" s="61">
        <f t="shared" si="4"/>
        <v>596.6</v>
      </c>
      <c r="V40" s="61">
        <f t="shared" si="4"/>
        <v>596.6</v>
      </c>
      <c r="W40" s="61">
        <f t="shared" si="4"/>
        <v>623.79999999999995</v>
      </c>
      <c r="X40" s="172">
        <f>SUM(X11:X38)</f>
        <v>655.5</v>
      </c>
      <c r="Y40" s="61">
        <f t="shared" ref="Y40:AG40" si="5">SUM(Y11:Y38)</f>
        <v>655.5</v>
      </c>
      <c r="Z40" s="61">
        <f t="shared" si="5"/>
        <v>655.5</v>
      </c>
      <c r="AA40" s="61">
        <f t="shared" si="5"/>
        <v>629.20000000000005</v>
      </c>
      <c r="AB40" s="200">
        <f t="shared" si="5"/>
        <v>627.40000000000009</v>
      </c>
      <c r="AC40" s="200">
        <f t="shared" si="5"/>
        <v>611.40000000000009</v>
      </c>
      <c r="AD40" s="200">
        <f t="shared" si="5"/>
        <v>581.4</v>
      </c>
      <c r="AE40" s="61">
        <f t="shared" si="5"/>
        <v>575.29999999999995</v>
      </c>
      <c r="AF40" s="61">
        <f t="shared" si="5"/>
        <v>575.79999999999995</v>
      </c>
      <c r="AG40" s="62">
        <f t="shared" si="5"/>
        <v>707.78000000000009</v>
      </c>
      <c r="AH40" s="48">
        <f t="shared" si="2"/>
        <v>655.5</v>
      </c>
      <c r="AI40" s="49">
        <f t="shared" si="3"/>
        <v>575.29999999999995</v>
      </c>
      <c r="AK40" s="50"/>
    </row>
    <row r="41" spans="1:88" ht="15.75" x14ac:dyDescent="0.25">
      <c r="A41" s="63" t="s">
        <v>49</v>
      </c>
      <c r="B41" s="45">
        <v>140</v>
      </c>
      <c r="C41" s="45">
        <v>270</v>
      </c>
      <c r="D41" s="45">
        <v>270</v>
      </c>
      <c r="E41" s="45">
        <v>240</v>
      </c>
      <c r="F41" s="45">
        <v>260</v>
      </c>
      <c r="G41" s="45">
        <v>240</v>
      </c>
      <c r="H41" s="45">
        <v>240</v>
      </c>
      <c r="I41" s="45">
        <v>240</v>
      </c>
      <c r="J41" s="45">
        <v>180</v>
      </c>
      <c r="K41" s="45">
        <v>280</v>
      </c>
      <c r="L41" s="45">
        <v>304</v>
      </c>
      <c r="M41" s="45">
        <v>280</v>
      </c>
      <c r="N41" s="45">
        <v>190</v>
      </c>
      <c r="O41" s="45">
        <v>180</v>
      </c>
      <c r="P41" s="45">
        <v>190</v>
      </c>
      <c r="Q41" s="45">
        <v>170</v>
      </c>
      <c r="R41" s="45">
        <v>180</v>
      </c>
      <c r="S41" s="45">
        <v>100</v>
      </c>
      <c r="T41" s="45">
        <v>100</v>
      </c>
      <c r="U41" s="45">
        <v>100</v>
      </c>
      <c r="V41" s="45">
        <v>210</v>
      </c>
      <c r="W41" s="45">
        <v>340</v>
      </c>
      <c r="X41" s="173">
        <v>380</v>
      </c>
      <c r="Y41" s="173">
        <v>380</v>
      </c>
      <c r="Z41" s="173">
        <v>230</v>
      </c>
      <c r="AA41" s="45">
        <v>210</v>
      </c>
      <c r="AB41" s="198">
        <v>200</v>
      </c>
      <c r="AC41" s="198">
        <v>200</v>
      </c>
      <c r="AD41" s="198">
        <v>200</v>
      </c>
      <c r="AE41" s="198">
        <v>200</v>
      </c>
      <c r="AF41" s="45">
        <v>180</v>
      </c>
      <c r="AG41" s="52">
        <v>456</v>
      </c>
      <c r="AH41" s="48">
        <f t="shared" si="2"/>
        <v>380</v>
      </c>
      <c r="AI41" s="49">
        <f t="shared" si="3"/>
        <v>100</v>
      </c>
      <c r="AK41" s="50"/>
    </row>
    <row r="42" spans="1:88" ht="15.75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60</v>
      </c>
      <c r="V42" s="65">
        <v>60</v>
      </c>
      <c r="W42" s="65">
        <v>60</v>
      </c>
      <c r="X42" s="168">
        <v>51</v>
      </c>
      <c r="Y42" s="168">
        <v>51</v>
      </c>
      <c r="Z42" s="168">
        <v>51</v>
      </c>
      <c r="AA42" s="65">
        <v>60</v>
      </c>
      <c r="AB42" s="196">
        <v>60</v>
      </c>
      <c r="AC42" s="196">
        <v>60</v>
      </c>
      <c r="AD42" s="196">
        <v>60</v>
      </c>
      <c r="AE42" s="196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51</v>
      </c>
      <c r="AK42" s="50"/>
    </row>
    <row r="43" spans="1:88" ht="16.5" thickBot="1" x14ac:dyDescent="0.3">
      <c r="A43" s="66" t="s">
        <v>51</v>
      </c>
      <c r="B43" s="67">
        <v>21.5</v>
      </c>
      <c r="C43" s="67">
        <v>22</v>
      </c>
      <c r="D43" s="67">
        <v>22</v>
      </c>
      <c r="E43" s="67">
        <v>22</v>
      </c>
      <c r="F43" s="67">
        <v>22</v>
      </c>
      <c r="G43" s="67">
        <v>22</v>
      </c>
      <c r="H43" s="67">
        <v>22</v>
      </c>
      <c r="I43" s="67">
        <v>22</v>
      </c>
      <c r="J43" s="67">
        <v>22</v>
      </c>
      <c r="K43" s="67">
        <v>22</v>
      </c>
      <c r="L43" s="67">
        <v>22</v>
      </c>
      <c r="M43" s="67">
        <v>22</v>
      </c>
      <c r="N43" s="67">
        <v>22</v>
      </c>
      <c r="O43" s="67">
        <v>22</v>
      </c>
      <c r="P43" s="67">
        <v>22</v>
      </c>
      <c r="Q43" s="67">
        <v>21.4</v>
      </c>
      <c r="R43" s="67">
        <v>21.4</v>
      </c>
      <c r="S43" s="67">
        <v>21.4</v>
      </c>
      <c r="T43" s="67">
        <v>21.4</v>
      </c>
      <c r="U43" s="67">
        <v>21.4</v>
      </c>
      <c r="V43" s="67">
        <v>21.4</v>
      </c>
      <c r="W43" s="67">
        <v>21.4</v>
      </c>
      <c r="X43" s="174">
        <v>21.4</v>
      </c>
      <c r="Y43" s="174">
        <v>21.4</v>
      </c>
      <c r="Z43" s="174">
        <v>21.4</v>
      </c>
      <c r="AA43" s="67">
        <v>21.4</v>
      </c>
      <c r="AB43" s="212">
        <v>21.5</v>
      </c>
      <c r="AC43" s="212">
        <v>21.5</v>
      </c>
      <c r="AD43" s="212">
        <v>21.5</v>
      </c>
      <c r="AE43" s="212">
        <v>21.5</v>
      </c>
      <c r="AF43" s="67">
        <v>21.5</v>
      </c>
      <c r="AG43" s="68">
        <v>22.1</v>
      </c>
      <c r="AH43" s="48">
        <f t="shared" si="2"/>
        <v>22</v>
      </c>
      <c r="AI43" s="49">
        <f t="shared" si="3"/>
        <v>21.4</v>
      </c>
      <c r="AK43" s="50"/>
    </row>
    <row r="44" spans="1:88" ht="16.5" thickBot="1" x14ac:dyDescent="0.3">
      <c r="A44" s="69" t="s">
        <v>52</v>
      </c>
      <c r="B44" s="61">
        <f t="shared" ref="B44:AG44" si="6">SUM(B41:B43)</f>
        <v>221.5</v>
      </c>
      <c r="C44" s="61">
        <f t="shared" si="6"/>
        <v>352</v>
      </c>
      <c r="D44" s="61">
        <f t="shared" si="6"/>
        <v>352</v>
      </c>
      <c r="E44" s="61">
        <f t="shared" si="6"/>
        <v>322</v>
      </c>
      <c r="F44" s="61">
        <f t="shared" si="6"/>
        <v>342</v>
      </c>
      <c r="G44" s="61">
        <f t="shared" si="6"/>
        <v>322</v>
      </c>
      <c r="H44" s="61">
        <f t="shared" si="6"/>
        <v>322</v>
      </c>
      <c r="I44" s="61">
        <f t="shared" si="6"/>
        <v>322</v>
      </c>
      <c r="J44" s="61">
        <f t="shared" si="6"/>
        <v>262</v>
      </c>
      <c r="K44" s="61">
        <f t="shared" si="6"/>
        <v>362</v>
      </c>
      <c r="L44" s="61">
        <f t="shared" si="6"/>
        <v>386</v>
      </c>
      <c r="M44" s="61">
        <f t="shared" si="6"/>
        <v>362</v>
      </c>
      <c r="N44" s="61">
        <f t="shared" si="6"/>
        <v>272</v>
      </c>
      <c r="O44" s="61">
        <f t="shared" si="6"/>
        <v>262</v>
      </c>
      <c r="P44" s="61">
        <f t="shared" si="6"/>
        <v>272</v>
      </c>
      <c r="Q44" s="61">
        <f t="shared" si="6"/>
        <v>251.4</v>
      </c>
      <c r="R44" s="61">
        <f t="shared" si="6"/>
        <v>261.39999999999998</v>
      </c>
      <c r="S44" s="61">
        <f t="shared" si="6"/>
        <v>181.4</v>
      </c>
      <c r="T44" s="61">
        <f t="shared" si="6"/>
        <v>181.4</v>
      </c>
      <c r="U44" s="61">
        <f t="shared" si="6"/>
        <v>181.4</v>
      </c>
      <c r="V44" s="61">
        <f t="shared" si="6"/>
        <v>291.39999999999998</v>
      </c>
      <c r="W44" s="61">
        <f t="shared" si="6"/>
        <v>421.4</v>
      </c>
      <c r="X44" s="172">
        <f>SUM(X41:X43)</f>
        <v>452.4</v>
      </c>
      <c r="Y44" s="61">
        <f t="shared" si="6"/>
        <v>452.4</v>
      </c>
      <c r="Z44" s="61">
        <f t="shared" si="6"/>
        <v>302.39999999999998</v>
      </c>
      <c r="AA44" s="61">
        <f t="shared" si="6"/>
        <v>291.39999999999998</v>
      </c>
      <c r="AB44" s="200">
        <f t="shared" si="6"/>
        <v>281.5</v>
      </c>
      <c r="AC44" s="200">
        <f t="shared" si="6"/>
        <v>281.5</v>
      </c>
      <c r="AD44" s="200">
        <f t="shared" si="6"/>
        <v>281.5</v>
      </c>
      <c r="AE44" s="61">
        <f t="shared" si="6"/>
        <v>281.5</v>
      </c>
      <c r="AF44" s="61">
        <f t="shared" si="6"/>
        <v>261.5</v>
      </c>
      <c r="AG44" s="62">
        <f t="shared" si="6"/>
        <v>538.1</v>
      </c>
      <c r="AH44" s="48">
        <f t="shared" si="2"/>
        <v>452.4</v>
      </c>
      <c r="AI44" s="49">
        <f t="shared" si="3"/>
        <v>181.4</v>
      </c>
      <c r="AK44" s="50"/>
    </row>
    <row r="45" spans="1:88" ht="15.75" x14ac:dyDescent="0.25">
      <c r="A45" s="44" t="s">
        <v>53</v>
      </c>
      <c r="B45" s="45">
        <v>130.5</v>
      </c>
      <c r="C45" s="45">
        <v>130.5</v>
      </c>
      <c r="D45" s="45">
        <v>121</v>
      </c>
      <c r="E45" s="45">
        <v>112.6</v>
      </c>
      <c r="F45" s="45">
        <v>116</v>
      </c>
      <c r="G45" s="45">
        <v>117</v>
      </c>
      <c r="H45" s="45">
        <v>132.69999999999999</v>
      </c>
      <c r="I45" s="45">
        <v>142.19999999999999</v>
      </c>
      <c r="J45" s="45">
        <v>143.6</v>
      </c>
      <c r="K45" s="45">
        <v>130</v>
      </c>
      <c r="L45" s="45">
        <v>139.5</v>
      </c>
      <c r="M45" s="45">
        <v>139.5</v>
      </c>
      <c r="N45" s="45">
        <v>143.69999999999999</v>
      </c>
      <c r="O45" s="45">
        <v>143.69999999999999</v>
      </c>
      <c r="P45" s="45">
        <v>143</v>
      </c>
      <c r="Q45" s="45">
        <v>143.19999999999999</v>
      </c>
      <c r="R45" s="45">
        <v>123.6</v>
      </c>
      <c r="S45" s="45">
        <v>123.5</v>
      </c>
      <c r="T45" s="45">
        <v>128.1</v>
      </c>
      <c r="U45" s="45">
        <v>128.1</v>
      </c>
      <c r="V45" s="45">
        <v>125</v>
      </c>
      <c r="W45" s="45">
        <v>140</v>
      </c>
      <c r="X45" s="175">
        <v>143.6</v>
      </c>
      <c r="Y45" s="175">
        <v>143.6</v>
      </c>
      <c r="Z45" s="175">
        <v>143.6</v>
      </c>
      <c r="AA45" s="175">
        <v>143.1</v>
      </c>
      <c r="AB45" s="206">
        <v>143.1</v>
      </c>
      <c r="AC45" s="206">
        <v>143.1</v>
      </c>
      <c r="AD45" s="206">
        <v>143.1</v>
      </c>
      <c r="AE45" s="206">
        <v>143.1</v>
      </c>
      <c r="AF45" s="45">
        <v>115.6</v>
      </c>
      <c r="AG45" s="52">
        <v>144</v>
      </c>
      <c r="AH45" s="48">
        <f t="shared" si="2"/>
        <v>143.69999999999999</v>
      </c>
      <c r="AI45" s="49">
        <f t="shared" si="3"/>
        <v>112.6</v>
      </c>
      <c r="AK45" s="50"/>
    </row>
    <row r="46" spans="1:88" ht="15.75" x14ac:dyDescent="0.25">
      <c r="A46" s="54" t="s">
        <v>54</v>
      </c>
      <c r="B46" s="65">
        <v>51.6</v>
      </c>
      <c r="C46" s="65">
        <v>47.2</v>
      </c>
      <c r="D46" s="65">
        <v>47.2</v>
      </c>
      <c r="E46" s="65">
        <v>36</v>
      </c>
      <c r="F46" s="65">
        <v>36</v>
      </c>
      <c r="G46" s="65">
        <v>48.2</v>
      </c>
      <c r="H46" s="65">
        <v>65.3</v>
      </c>
      <c r="I46" s="65">
        <v>71.900000000000006</v>
      </c>
      <c r="J46" s="65">
        <v>71.7</v>
      </c>
      <c r="K46" s="65">
        <v>65</v>
      </c>
      <c r="L46" s="65">
        <v>72.5</v>
      </c>
      <c r="M46" s="65">
        <v>72.5</v>
      </c>
      <c r="N46" s="45">
        <v>72.400000000000006</v>
      </c>
      <c r="O46" s="45">
        <v>72.2</v>
      </c>
      <c r="P46" s="45">
        <v>67</v>
      </c>
      <c r="Q46" s="45">
        <v>71.900000000000006</v>
      </c>
      <c r="R46" s="45">
        <v>65.5</v>
      </c>
      <c r="S46" s="45">
        <v>71.900000000000006</v>
      </c>
      <c r="T46" s="45">
        <v>70.900000000000006</v>
      </c>
      <c r="U46" s="45">
        <v>70.900000000000006</v>
      </c>
      <c r="V46" s="45">
        <v>70.900000000000006</v>
      </c>
      <c r="W46" s="45">
        <v>71.599999999999994</v>
      </c>
      <c r="X46" s="175">
        <v>71.599999999999994</v>
      </c>
      <c r="Y46" s="175">
        <v>71.599999999999994</v>
      </c>
      <c r="Z46" s="175">
        <v>71.599999999999994</v>
      </c>
      <c r="AA46" s="175">
        <v>72.8</v>
      </c>
      <c r="AB46" s="206">
        <v>72.8</v>
      </c>
      <c r="AC46" s="206">
        <v>72.8</v>
      </c>
      <c r="AD46" s="206">
        <v>72.8</v>
      </c>
      <c r="AE46" s="206">
        <v>72.8</v>
      </c>
      <c r="AF46" s="65">
        <v>61.3</v>
      </c>
      <c r="AG46" s="55">
        <v>70</v>
      </c>
      <c r="AH46" s="48">
        <f t="shared" si="2"/>
        <v>72.8</v>
      </c>
      <c r="AI46" s="49">
        <f t="shared" si="3"/>
        <v>36</v>
      </c>
      <c r="AK46" s="50"/>
    </row>
    <row r="47" spans="1:88" ht="15.75" x14ac:dyDescent="0.25">
      <c r="A47" s="54" t="s">
        <v>55</v>
      </c>
      <c r="B47" s="65">
        <v>60.5</v>
      </c>
      <c r="C47" s="65">
        <v>55.4</v>
      </c>
      <c r="D47" s="65">
        <v>55.4</v>
      </c>
      <c r="E47" s="65">
        <v>61.2</v>
      </c>
      <c r="F47" s="65">
        <v>66.5</v>
      </c>
      <c r="G47" s="65">
        <v>62.5</v>
      </c>
      <c r="H47" s="65">
        <v>69</v>
      </c>
      <c r="I47" s="65">
        <v>70.5</v>
      </c>
      <c r="J47" s="65">
        <v>69.900000000000006</v>
      </c>
      <c r="K47" s="65">
        <v>70.3</v>
      </c>
      <c r="L47" s="65">
        <v>70.3</v>
      </c>
      <c r="M47" s="65">
        <v>70.3</v>
      </c>
      <c r="N47" s="45">
        <v>69.900000000000006</v>
      </c>
      <c r="O47" s="45">
        <v>69.900000000000006</v>
      </c>
      <c r="P47" s="45">
        <v>70.2</v>
      </c>
      <c r="Q47" s="45">
        <v>70.3</v>
      </c>
      <c r="R47" s="45">
        <v>70.599999999999994</v>
      </c>
      <c r="S47" s="45">
        <v>71.099999999999994</v>
      </c>
      <c r="T47" s="45">
        <v>71</v>
      </c>
      <c r="U47" s="45">
        <v>71</v>
      </c>
      <c r="V47" s="45">
        <v>71</v>
      </c>
      <c r="W47" s="45">
        <v>70.599999999999994</v>
      </c>
      <c r="X47" s="175">
        <v>70.599999999999994</v>
      </c>
      <c r="Y47" s="175">
        <v>70.599999999999994</v>
      </c>
      <c r="Z47" s="175">
        <v>70.599999999999994</v>
      </c>
      <c r="AA47" s="175">
        <v>69.7</v>
      </c>
      <c r="AB47" s="206">
        <v>69.7</v>
      </c>
      <c r="AC47" s="206">
        <v>69.7</v>
      </c>
      <c r="AD47" s="206">
        <v>69.7</v>
      </c>
      <c r="AE47" s="206">
        <v>69.7</v>
      </c>
      <c r="AF47" s="65">
        <v>60.7</v>
      </c>
      <c r="AG47" s="55">
        <v>69</v>
      </c>
      <c r="AH47" s="48">
        <f t="shared" si="2"/>
        <v>71.099999999999994</v>
      </c>
      <c r="AI47" s="49">
        <f t="shared" si="3"/>
        <v>55.4</v>
      </c>
      <c r="AK47" s="50"/>
    </row>
    <row r="48" spans="1:88" ht="15.75" x14ac:dyDescent="0.25">
      <c r="A48" s="54" t="s">
        <v>56</v>
      </c>
      <c r="B48" s="57">
        <v>30.7</v>
      </c>
      <c r="C48" s="57">
        <v>30.7</v>
      </c>
      <c r="D48" s="57">
        <v>30.7</v>
      </c>
      <c r="E48" s="57">
        <v>30.7</v>
      </c>
      <c r="F48" s="57">
        <v>30.7</v>
      </c>
      <c r="G48" s="57">
        <v>50.2</v>
      </c>
      <c r="H48" s="57">
        <v>50.2</v>
      </c>
      <c r="I48" s="57">
        <v>60.7</v>
      </c>
      <c r="J48" s="57">
        <v>60.2</v>
      </c>
      <c r="K48" s="57">
        <v>60.4</v>
      </c>
      <c r="L48" s="57">
        <v>60.4</v>
      </c>
      <c r="M48" s="57">
        <v>60.4</v>
      </c>
      <c r="N48" s="45">
        <v>60.4</v>
      </c>
      <c r="O48" s="45">
        <v>60.4</v>
      </c>
      <c r="P48" s="45">
        <v>60.4</v>
      </c>
      <c r="Q48" s="45">
        <v>60.4</v>
      </c>
      <c r="R48" s="45">
        <v>51.1</v>
      </c>
      <c r="S48" s="45">
        <v>50.9</v>
      </c>
      <c r="T48" s="45">
        <v>60.9</v>
      </c>
      <c r="U48" s="45">
        <v>60.9</v>
      </c>
      <c r="V48" s="45">
        <v>60.9</v>
      </c>
      <c r="W48" s="45">
        <v>60.9</v>
      </c>
      <c r="X48" s="175">
        <v>60.9</v>
      </c>
      <c r="Y48" s="175">
        <v>60.9</v>
      </c>
      <c r="Z48" s="175">
        <v>60.9</v>
      </c>
      <c r="AA48" s="175">
        <v>61.2</v>
      </c>
      <c r="AB48" s="206">
        <v>61.2</v>
      </c>
      <c r="AC48" s="206">
        <v>61.2</v>
      </c>
      <c r="AD48" s="206">
        <v>61.2</v>
      </c>
      <c r="AE48" s="206">
        <v>52.4</v>
      </c>
      <c r="AF48" s="57">
        <v>40</v>
      </c>
      <c r="AG48" s="55">
        <v>60</v>
      </c>
      <c r="AH48" s="48">
        <f t="shared" si="2"/>
        <v>61.2</v>
      </c>
      <c r="AI48" s="49">
        <f t="shared" si="3"/>
        <v>30.7</v>
      </c>
      <c r="AK48" s="50"/>
    </row>
    <row r="49" spans="1:41" ht="15.75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13.3</v>
      </c>
      <c r="F49" s="57">
        <v>13.3</v>
      </c>
      <c r="G49" s="57">
        <v>13.3</v>
      </c>
      <c r="H49" s="57">
        <v>13.3</v>
      </c>
      <c r="I49" s="57">
        <v>15</v>
      </c>
      <c r="J49" s="57">
        <v>30</v>
      </c>
      <c r="K49" s="57">
        <v>25.7</v>
      </c>
      <c r="L49" s="57">
        <v>25.7</v>
      </c>
      <c r="M49" s="57">
        <v>25.7</v>
      </c>
      <c r="N49" s="45">
        <v>13.6</v>
      </c>
      <c r="O49" s="45">
        <v>13.6</v>
      </c>
      <c r="P49" s="45">
        <v>13.6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45">
        <v>15</v>
      </c>
      <c r="W49" s="45">
        <v>30.3</v>
      </c>
      <c r="X49" s="176">
        <v>30.3</v>
      </c>
      <c r="Y49" s="176">
        <v>30.3</v>
      </c>
      <c r="Z49" s="176">
        <v>30.3</v>
      </c>
      <c r="AA49" s="176">
        <v>15</v>
      </c>
      <c r="AB49" s="207">
        <v>15</v>
      </c>
      <c r="AC49" s="207">
        <v>15</v>
      </c>
      <c r="AD49" s="207">
        <v>13</v>
      </c>
      <c r="AE49" s="207">
        <v>0</v>
      </c>
      <c r="AF49" s="207">
        <v>0</v>
      </c>
      <c r="AG49" s="55">
        <v>30</v>
      </c>
      <c r="AH49" s="48">
        <f t="shared" si="2"/>
        <v>30.3</v>
      </c>
      <c r="AI49" s="49">
        <f t="shared" si="3"/>
        <v>0</v>
      </c>
      <c r="AK49" s="50"/>
    </row>
    <row r="50" spans="1:41" ht="15.75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197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8</v>
      </c>
      <c r="O50" s="65">
        <v>8</v>
      </c>
      <c r="P50" s="65">
        <v>10</v>
      </c>
      <c r="Q50" s="65">
        <v>15</v>
      </c>
      <c r="R50" s="45">
        <v>15</v>
      </c>
      <c r="S50" s="45">
        <v>15</v>
      </c>
      <c r="T50" s="45">
        <v>15</v>
      </c>
      <c r="U50" s="45">
        <v>15</v>
      </c>
      <c r="V50" s="45">
        <v>15</v>
      </c>
      <c r="W50" s="45">
        <v>15</v>
      </c>
      <c r="X50" s="176">
        <v>0</v>
      </c>
      <c r="Y50" s="176">
        <v>0</v>
      </c>
      <c r="Z50" s="176">
        <v>0</v>
      </c>
      <c r="AA50" s="176">
        <v>0</v>
      </c>
      <c r="AB50" s="207">
        <v>0</v>
      </c>
      <c r="AC50" s="207">
        <v>0</v>
      </c>
      <c r="AD50" s="207">
        <v>0</v>
      </c>
      <c r="AE50" s="207">
        <v>0</v>
      </c>
      <c r="AF50" s="207">
        <v>0</v>
      </c>
      <c r="AG50" s="55">
        <v>25</v>
      </c>
      <c r="AH50" s="48">
        <f t="shared" si="2"/>
        <v>15</v>
      </c>
      <c r="AI50" s="49">
        <f t="shared" si="3"/>
        <v>0</v>
      </c>
      <c r="AK50" s="50"/>
    </row>
    <row r="51" spans="1:41" ht="15.75" x14ac:dyDescent="0.25">
      <c r="A51" s="54" t="s">
        <v>59</v>
      </c>
      <c r="B51" s="65">
        <v>13</v>
      </c>
      <c r="C51" s="65">
        <v>13</v>
      </c>
      <c r="D51" s="65">
        <v>13</v>
      </c>
      <c r="E51" s="65">
        <v>17.600000000000001</v>
      </c>
      <c r="F51" s="65">
        <v>17.600000000000001</v>
      </c>
      <c r="G51" s="65">
        <v>17.600000000000001</v>
      </c>
      <c r="H51" s="65">
        <v>17.600000000000001</v>
      </c>
      <c r="I51" s="65">
        <v>17.600000000000001</v>
      </c>
      <c r="J51" s="65">
        <v>17.600000000000001</v>
      </c>
      <c r="K51" s="65">
        <v>17.600000000000001</v>
      </c>
      <c r="L51" s="65">
        <v>17.600000000000001</v>
      </c>
      <c r="M51" s="65">
        <v>17.600000000000001</v>
      </c>
      <c r="N51" s="65">
        <v>17.600000000000001</v>
      </c>
      <c r="O51" s="65">
        <v>17.600000000000001</v>
      </c>
      <c r="P51" s="65">
        <v>17.600000000000001</v>
      </c>
      <c r="Q51" s="65">
        <v>17.600000000000001</v>
      </c>
      <c r="R51" s="45">
        <v>17.600000000000001</v>
      </c>
      <c r="S51" s="45">
        <v>17.600000000000001</v>
      </c>
      <c r="T51" s="45">
        <v>17.600000000000001</v>
      </c>
      <c r="U51" s="45">
        <v>17.600000000000001</v>
      </c>
      <c r="V51" s="45">
        <v>17.600000000000001</v>
      </c>
      <c r="W51" s="45">
        <v>17.600000000000001</v>
      </c>
      <c r="X51" s="176">
        <v>17.600000000000001</v>
      </c>
      <c r="Y51" s="176">
        <v>17.600000000000001</v>
      </c>
      <c r="Z51" s="176">
        <v>17.600000000000001</v>
      </c>
      <c r="AA51" s="176">
        <v>17.600000000000001</v>
      </c>
      <c r="AB51" s="207">
        <v>17.600000000000001</v>
      </c>
      <c r="AC51" s="207">
        <v>17.600000000000001</v>
      </c>
      <c r="AD51" s="207">
        <v>17.600000000000001</v>
      </c>
      <c r="AE51" s="207">
        <v>17.600000000000001</v>
      </c>
      <c r="AF51" s="207">
        <v>17.600000000000001</v>
      </c>
      <c r="AG51" s="55">
        <v>24</v>
      </c>
      <c r="AH51" s="48">
        <f t="shared" si="2"/>
        <v>17.600000000000001</v>
      </c>
      <c r="AI51" s="49">
        <f t="shared" si="3"/>
        <v>13</v>
      </c>
      <c r="AK51" s="50"/>
    </row>
    <row r="52" spans="1:41" ht="15.75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177">
        <v>0</v>
      </c>
      <c r="Y52" s="177">
        <v>0</v>
      </c>
      <c r="Z52" s="177">
        <v>0</v>
      </c>
      <c r="AA52" s="177">
        <v>0</v>
      </c>
      <c r="AB52" s="208">
        <v>0</v>
      </c>
      <c r="AC52" s="208">
        <v>0</v>
      </c>
      <c r="AD52" s="208">
        <v>0</v>
      </c>
      <c r="AE52" s="208">
        <v>0</v>
      </c>
      <c r="AF52" s="208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ht="15.75" x14ac:dyDescent="0.25">
      <c r="A53" s="54" t="s">
        <v>61</v>
      </c>
      <c r="B53" s="65">
        <v>15.1</v>
      </c>
      <c r="C53" s="65">
        <v>14.8</v>
      </c>
      <c r="D53" s="65">
        <v>14.8</v>
      </c>
      <c r="E53" s="65">
        <v>14.9</v>
      </c>
      <c r="F53" s="65">
        <v>14.9</v>
      </c>
      <c r="G53" s="65">
        <v>14.9</v>
      </c>
      <c r="H53" s="65">
        <v>14.7</v>
      </c>
      <c r="I53" s="65">
        <v>14.7</v>
      </c>
      <c r="J53" s="65">
        <v>14.7</v>
      </c>
      <c r="K53" s="65">
        <v>14.7</v>
      </c>
      <c r="L53" s="65">
        <v>14.7</v>
      </c>
      <c r="M53" s="65">
        <v>14.7</v>
      </c>
      <c r="N53" s="65">
        <v>14.1</v>
      </c>
      <c r="O53" s="65">
        <v>14.1</v>
      </c>
      <c r="P53" s="65">
        <v>14.1</v>
      </c>
      <c r="Q53" s="65">
        <v>14.9</v>
      </c>
      <c r="R53" s="65">
        <v>14.9</v>
      </c>
      <c r="S53" s="65">
        <v>14.9</v>
      </c>
      <c r="T53" s="65">
        <v>14.9</v>
      </c>
      <c r="U53" s="65">
        <v>14.9</v>
      </c>
      <c r="V53" s="65">
        <v>14.9</v>
      </c>
      <c r="W53" s="65">
        <v>14.9</v>
      </c>
      <c r="X53" s="177">
        <v>14.9</v>
      </c>
      <c r="Y53" s="177">
        <v>14.9</v>
      </c>
      <c r="Z53" s="177">
        <v>14.9</v>
      </c>
      <c r="AA53" s="177">
        <v>14.9</v>
      </c>
      <c r="AB53" s="208">
        <v>14.9</v>
      </c>
      <c r="AC53" s="208">
        <v>14.9</v>
      </c>
      <c r="AD53" s="208">
        <v>14.9</v>
      </c>
      <c r="AE53" s="208">
        <v>15.3</v>
      </c>
      <c r="AF53" s="208">
        <v>15.5</v>
      </c>
      <c r="AG53" s="55">
        <v>14.1</v>
      </c>
      <c r="AH53" s="48">
        <f t="shared" si="2"/>
        <v>15.5</v>
      </c>
      <c r="AI53" s="49">
        <f t="shared" si="3"/>
        <v>14.1</v>
      </c>
      <c r="AJ53" s="1"/>
      <c r="AK53" s="50"/>
      <c r="AL53" s="1"/>
      <c r="AM53" s="1"/>
      <c r="AN53" s="1"/>
      <c r="AO53" s="1"/>
    </row>
    <row r="54" spans="1:41" ht="15.75" x14ac:dyDescent="0.25">
      <c r="A54" s="71" t="s">
        <v>62</v>
      </c>
      <c r="B54" s="65">
        <v>10.199999999999999</v>
      </c>
      <c r="C54" s="65">
        <v>10.199999999999999</v>
      </c>
      <c r="D54" s="65">
        <v>10.199999999999999</v>
      </c>
      <c r="E54" s="65">
        <v>10.199999999999999</v>
      </c>
      <c r="F54" s="65">
        <v>10.199999999999999</v>
      </c>
      <c r="G54" s="65">
        <v>10.199999999999999</v>
      </c>
      <c r="H54" s="65">
        <v>10.199999999999999</v>
      </c>
      <c r="I54" s="65">
        <v>10.199999999999999</v>
      </c>
      <c r="J54" s="65">
        <v>10.199999999999999</v>
      </c>
      <c r="K54" s="65">
        <v>10.199999999999999</v>
      </c>
      <c r="L54" s="65">
        <v>10</v>
      </c>
      <c r="M54" s="65">
        <v>10</v>
      </c>
      <c r="N54" s="65">
        <v>9.6</v>
      </c>
      <c r="O54" s="65">
        <v>9.6</v>
      </c>
      <c r="P54" s="65">
        <v>9.3000000000000007</v>
      </c>
      <c r="Q54" s="65">
        <v>9.6</v>
      </c>
      <c r="R54" s="65">
        <v>9.3000000000000007</v>
      </c>
      <c r="S54" s="65">
        <v>9.3000000000000007</v>
      </c>
      <c r="T54" s="65">
        <v>9.3000000000000007</v>
      </c>
      <c r="U54" s="65">
        <v>9.3000000000000007</v>
      </c>
      <c r="V54" s="65">
        <v>9.3000000000000007</v>
      </c>
      <c r="W54" s="65">
        <v>9.3000000000000007</v>
      </c>
      <c r="X54" s="177">
        <v>9.3000000000000007</v>
      </c>
      <c r="Y54" s="177">
        <v>9.3000000000000007</v>
      </c>
      <c r="Z54" s="177">
        <v>9.3000000000000007</v>
      </c>
      <c r="AA54" s="177">
        <v>9.3000000000000007</v>
      </c>
      <c r="AB54" s="208">
        <v>9.3000000000000007</v>
      </c>
      <c r="AC54" s="208">
        <v>9.3000000000000007</v>
      </c>
      <c r="AD54" s="208">
        <v>9.3000000000000007</v>
      </c>
      <c r="AE54" s="208">
        <v>9.6</v>
      </c>
      <c r="AF54" s="208">
        <v>9.6</v>
      </c>
      <c r="AG54" s="55">
        <v>14</v>
      </c>
      <c r="AH54" s="48">
        <f t="shared" si="2"/>
        <v>10.199999999999999</v>
      </c>
      <c r="AI54" s="49">
        <f t="shared" si="3"/>
        <v>9.3000000000000007</v>
      </c>
      <c r="AK54" s="50"/>
    </row>
    <row r="55" spans="1:41" ht="15.75" x14ac:dyDescent="0.25">
      <c r="A55" s="54" t="s">
        <v>63</v>
      </c>
      <c r="B55" s="65">
        <v>6.8</v>
      </c>
      <c r="C55" s="65">
        <v>6.8</v>
      </c>
      <c r="D55" s="65">
        <v>6.8</v>
      </c>
      <c r="E55" s="65">
        <v>6.8</v>
      </c>
      <c r="F55" s="65">
        <v>6.8</v>
      </c>
      <c r="G55" s="65">
        <v>6.8</v>
      </c>
      <c r="H55" s="65">
        <v>6.8</v>
      </c>
      <c r="I55" s="65">
        <v>6.8</v>
      </c>
      <c r="J55" s="65">
        <v>6.8</v>
      </c>
      <c r="K55" s="65">
        <v>6.8</v>
      </c>
      <c r="L55" s="65">
        <v>6.8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177">
        <v>9</v>
      </c>
      <c r="Y55" s="177">
        <v>9</v>
      </c>
      <c r="Z55" s="177">
        <v>9</v>
      </c>
      <c r="AA55" s="177">
        <v>9</v>
      </c>
      <c r="AB55" s="208">
        <v>9</v>
      </c>
      <c r="AC55" s="208">
        <v>9</v>
      </c>
      <c r="AD55" s="208">
        <v>9</v>
      </c>
      <c r="AE55" s="208">
        <v>9</v>
      </c>
      <c r="AF55" s="208">
        <v>9</v>
      </c>
      <c r="AG55" s="55">
        <v>10.050000000000001</v>
      </c>
      <c r="AH55" s="48">
        <f t="shared" si="2"/>
        <v>9</v>
      </c>
      <c r="AI55" s="49">
        <f t="shared" si="3"/>
        <v>6.8</v>
      </c>
      <c r="AK55" s="50"/>
    </row>
    <row r="56" spans="1:41" ht="15.75" x14ac:dyDescent="0.25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65">
        <v>4.5999999999999996</v>
      </c>
      <c r="U56" s="65">
        <v>4.5999999999999996</v>
      </c>
      <c r="V56" s="65">
        <v>4.5999999999999996</v>
      </c>
      <c r="W56" s="65">
        <v>4.5999999999999996</v>
      </c>
      <c r="X56" s="177">
        <v>4.5999999999999996</v>
      </c>
      <c r="Y56" s="177">
        <v>4.5999999999999996</v>
      </c>
      <c r="Z56" s="177">
        <v>4.5999999999999996</v>
      </c>
      <c r="AA56" s="177">
        <v>4.5999999999999996</v>
      </c>
      <c r="AB56" s="208">
        <v>4.5999999999999996</v>
      </c>
      <c r="AC56" s="208">
        <v>4.5999999999999996</v>
      </c>
      <c r="AD56" s="208">
        <v>4.5999999999999996</v>
      </c>
      <c r="AE56" s="208">
        <v>4.5999999999999996</v>
      </c>
      <c r="AF56" s="208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6.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178">
        <v>3.54</v>
      </c>
      <c r="Y57" s="72">
        <v>3.54</v>
      </c>
      <c r="Z57" s="72">
        <v>3.54</v>
      </c>
      <c r="AA57" s="72">
        <v>3.54</v>
      </c>
      <c r="AB57" s="213">
        <v>3.54</v>
      </c>
      <c r="AC57" s="213">
        <v>3.54</v>
      </c>
      <c r="AD57" s="213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6.5" thickBot="1" x14ac:dyDescent="0.3">
      <c r="A58" s="74" t="s">
        <v>66</v>
      </c>
      <c r="B58" s="61">
        <f t="shared" ref="B58:AG58" si="7">SUM(B45:B57)</f>
        <v>326.54000000000008</v>
      </c>
      <c r="C58" s="61">
        <f t="shared" si="7"/>
        <v>316.74000000000007</v>
      </c>
      <c r="D58" s="61">
        <f t="shared" si="7"/>
        <v>307.24</v>
      </c>
      <c r="E58" s="61">
        <f t="shared" si="7"/>
        <v>311.44000000000005</v>
      </c>
      <c r="F58" s="61">
        <f t="shared" si="7"/>
        <v>320.14000000000004</v>
      </c>
      <c r="G58" s="61">
        <f t="shared" si="7"/>
        <v>348.84000000000003</v>
      </c>
      <c r="H58" s="61">
        <f t="shared" si="7"/>
        <v>387.94000000000005</v>
      </c>
      <c r="I58" s="61">
        <f t="shared" si="7"/>
        <v>417.74000000000007</v>
      </c>
      <c r="J58" s="61">
        <f t="shared" si="7"/>
        <v>432.84000000000009</v>
      </c>
      <c r="K58" s="61">
        <f t="shared" si="7"/>
        <v>408.84000000000003</v>
      </c>
      <c r="L58" s="61">
        <f t="shared" si="7"/>
        <v>425.64000000000004</v>
      </c>
      <c r="M58" s="61">
        <f t="shared" si="7"/>
        <v>433.84000000000003</v>
      </c>
      <c r="N58" s="61">
        <f t="shared" si="7"/>
        <v>426.44000000000011</v>
      </c>
      <c r="O58" s="61">
        <f t="shared" si="7"/>
        <v>426.24000000000007</v>
      </c>
      <c r="P58" s="61">
        <f t="shared" si="7"/>
        <v>422.34000000000009</v>
      </c>
      <c r="Q58" s="61">
        <f t="shared" si="7"/>
        <v>420.04</v>
      </c>
      <c r="R58" s="61">
        <f t="shared" si="7"/>
        <v>384.74000000000007</v>
      </c>
      <c r="S58" s="61">
        <f t="shared" si="7"/>
        <v>391.34000000000003</v>
      </c>
      <c r="T58" s="61">
        <f t="shared" si="7"/>
        <v>404.84000000000003</v>
      </c>
      <c r="U58" s="61">
        <f t="shared" si="7"/>
        <v>404.84000000000003</v>
      </c>
      <c r="V58" s="61">
        <f t="shared" si="7"/>
        <v>416.74</v>
      </c>
      <c r="W58" s="61">
        <f t="shared" si="7"/>
        <v>447.34000000000003</v>
      </c>
      <c r="X58" s="172">
        <f>SUM(X45:X57)</f>
        <v>435.94</v>
      </c>
      <c r="Y58" s="61">
        <f t="shared" si="7"/>
        <v>435.94</v>
      </c>
      <c r="Z58" s="61">
        <f t="shared" si="7"/>
        <v>435.94</v>
      </c>
      <c r="AA58" s="61">
        <f t="shared" si="7"/>
        <v>420.74</v>
      </c>
      <c r="AB58" s="200">
        <f t="shared" si="7"/>
        <v>420.74</v>
      </c>
      <c r="AC58" s="200">
        <f t="shared" si="7"/>
        <v>420.74</v>
      </c>
      <c r="AD58" s="200">
        <f t="shared" si="7"/>
        <v>418.74</v>
      </c>
      <c r="AE58" s="61">
        <f t="shared" si="7"/>
        <v>397.64000000000004</v>
      </c>
      <c r="AF58" s="61">
        <f t="shared" si="7"/>
        <v>337.44000000000005</v>
      </c>
      <c r="AG58" s="62">
        <f t="shared" si="7"/>
        <v>489.91</v>
      </c>
      <c r="AH58" s="48">
        <f t="shared" si="2"/>
        <v>447.34000000000003</v>
      </c>
      <c r="AI58" s="49">
        <f t="shared" si="3"/>
        <v>307.24</v>
      </c>
      <c r="AK58" s="50"/>
    </row>
    <row r="59" spans="1:41" ht="15.75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173">
        <v>0</v>
      </c>
      <c r="Y59" s="173">
        <v>0</v>
      </c>
      <c r="Z59" s="173">
        <v>0</v>
      </c>
      <c r="AA59" s="173">
        <v>0</v>
      </c>
      <c r="AB59" s="209">
        <v>0</v>
      </c>
      <c r="AC59" s="209">
        <v>0</v>
      </c>
      <c r="AD59" s="209">
        <v>0</v>
      </c>
      <c r="AE59" s="209">
        <v>0</v>
      </c>
      <c r="AF59" s="209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ht="15.75" x14ac:dyDescent="0.25">
      <c r="A60" s="54" t="s">
        <v>68</v>
      </c>
      <c r="B60" s="65"/>
      <c r="C60" s="65"/>
      <c r="D60" s="197"/>
      <c r="E60" s="65"/>
      <c r="F60" s="65"/>
      <c r="G60" s="65"/>
      <c r="H60" s="65"/>
      <c r="I60" s="65"/>
      <c r="J60" s="65"/>
      <c r="K60" s="65"/>
      <c r="L60" s="65"/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168">
        <v>0</v>
      </c>
      <c r="Y60" s="168">
        <v>0</v>
      </c>
      <c r="Z60" s="168">
        <v>0</v>
      </c>
      <c r="AA60" s="168">
        <v>0</v>
      </c>
      <c r="AB60" s="202">
        <v>0</v>
      </c>
      <c r="AC60" s="202">
        <v>0</v>
      </c>
      <c r="AD60" s="202">
        <v>0</v>
      </c>
      <c r="AE60" s="202">
        <v>0</v>
      </c>
      <c r="AF60" s="202">
        <v>0</v>
      </c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6.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174">
        <v>0</v>
      </c>
      <c r="Y61" s="174">
        <v>0</v>
      </c>
      <c r="Z61" s="174">
        <v>0</v>
      </c>
      <c r="AA61" s="174">
        <v>0</v>
      </c>
      <c r="AB61" s="210">
        <v>0</v>
      </c>
      <c r="AC61" s="210">
        <v>0</v>
      </c>
      <c r="AD61" s="210">
        <v>0</v>
      </c>
      <c r="AE61" s="210">
        <v>0</v>
      </c>
      <c r="AF61" s="210">
        <v>0</v>
      </c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6.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0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172">
        <f>SUM(X59:X61)</f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200">
        <f t="shared" si="8"/>
        <v>0</v>
      </c>
      <c r="AC62" s="200">
        <f t="shared" si="8"/>
        <v>0</v>
      </c>
      <c r="AD62" s="200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0</v>
      </c>
      <c r="AI62" s="49">
        <f t="shared" si="3"/>
        <v>0</v>
      </c>
      <c r="AK62" s="50"/>
    </row>
    <row r="63" spans="1:41" ht="15.75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177">
        <v>0</v>
      </c>
      <c r="Y63" s="177">
        <v>0</v>
      </c>
      <c r="Z63" s="177">
        <v>0</v>
      </c>
      <c r="AA63" s="177">
        <v>0</v>
      </c>
      <c r="AB63" s="208">
        <v>0</v>
      </c>
      <c r="AC63" s="208">
        <v>0</v>
      </c>
      <c r="AD63" s="208">
        <v>0</v>
      </c>
      <c r="AE63" s="208">
        <v>0</v>
      </c>
      <c r="AF63" s="208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ht="15.75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177">
        <v>0</v>
      </c>
      <c r="Y64" s="177">
        <v>0</v>
      </c>
      <c r="Z64" s="177">
        <v>0</v>
      </c>
      <c r="AA64" s="177">
        <v>0</v>
      </c>
      <c r="AB64" s="208">
        <v>0</v>
      </c>
      <c r="AC64" s="208">
        <v>0</v>
      </c>
      <c r="AD64" s="208">
        <v>0</v>
      </c>
      <c r="AE64" s="208">
        <v>0</v>
      </c>
      <c r="AF64" s="208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ht="15.75" x14ac:dyDescent="0.25">
      <c r="A65" s="54" t="s">
        <v>73</v>
      </c>
      <c r="B65" s="65">
        <v>-254</v>
      </c>
      <c r="C65" s="65">
        <v>-402</v>
      </c>
      <c r="D65" s="65">
        <v>-383</v>
      </c>
      <c r="E65" s="65">
        <v>-392</v>
      </c>
      <c r="F65" s="65">
        <v>-402</v>
      </c>
      <c r="G65" s="65">
        <v>-394.4</v>
      </c>
      <c r="H65" s="65">
        <v>-384.4</v>
      </c>
      <c r="I65" s="65">
        <v>-378</v>
      </c>
      <c r="J65" s="65">
        <v>-289.7</v>
      </c>
      <c r="K65" s="65">
        <v>-290</v>
      </c>
      <c r="L65" s="65">
        <v>-285.7</v>
      </c>
      <c r="M65" s="65">
        <v>-267.3</v>
      </c>
      <c r="N65" s="65">
        <v>-217.3</v>
      </c>
      <c r="O65" s="65">
        <v>-226.7</v>
      </c>
      <c r="P65" s="65">
        <v>-312</v>
      </c>
      <c r="Q65" s="65">
        <v>-325</v>
      </c>
      <c r="R65" s="65">
        <v>-338.4</v>
      </c>
      <c r="S65" s="65">
        <v>-286.39999999999998</v>
      </c>
      <c r="T65" s="65">
        <v>-278</v>
      </c>
      <c r="U65" s="65">
        <v>-270</v>
      </c>
      <c r="V65" s="65">
        <v>-260</v>
      </c>
      <c r="W65" s="65">
        <v>-286</v>
      </c>
      <c r="X65" s="177">
        <v>-291</v>
      </c>
      <c r="Y65" s="177">
        <v>-320</v>
      </c>
      <c r="Z65" s="177">
        <v>-250</v>
      </c>
      <c r="AA65" s="177">
        <v>-293</v>
      </c>
      <c r="AB65" s="208">
        <v>-316</v>
      </c>
      <c r="AC65" s="208">
        <v>-345</v>
      </c>
      <c r="AD65" s="208">
        <v>-349.5</v>
      </c>
      <c r="AE65" s="208">
        <v>-396.9</v>
      </c>
      <c r="AF65" s="208">
        <v>-385</v>
      </c>
      <c r="AG65" s="75"/>
      <c r="AH65" s="48">
        <f t="shared" si="2"/>
        <v>-217.3</v>
      </c>
      <c r="AI65" s="49">
        <f t="shared" si="3"/>
        <v>-402</v>
      </c>
      <c r="AK65" s="50"/>
    </row>
    <row r="66" spans="1:37" ht="15.75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177">
        <v>0</v>
      </c>
      <c r="Y66" s="177">
        <v>0</v>
      </c>
      <c r="Z66" s="177">
        <v>0</v>
      </c>
      <c r="AA66" s="177">
        <v>0</v>
      </c>
      <c r="AB66" s="208">
        <v>0</v>
      </c>
      <c r="AC66" s="208">
        <v>0</v>
      </c>
      <c r="AD66" s="208">
        <v>0</v>
      </c>
      <c r="AE66" s="208">
        <v>0</v>
      </c>
      <c r="AF66" s="208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ht="15.75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177">
        <v>0</v>
      </c>
      <c r="Y67" s="177">
        <v>0</v>
      </c>
      <c r="Z67" s="177">
        <v>0</v>
      </c>
      <c r="AA67" s="177">
        <v>0</v>
      </c>
      <c r="AB67" s="208">
        <v>0</v>
      </c>
      <c r="AC67" s="208">
        <v>0</v>
      </c>
      <c r="AD67" s="208">
        <v>0</v>
      </c>
      <c r="AE67" s="208">
        <v>0</v>
      </c>
      <c r="AF67" s="208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ht="15.75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177">
        <v>0</v>
      </c>
      <c r="Y68" s="177">
        <v>0</v>
      </c>
      <c r="Z68" s="177">
        <v>0</v>
      </c>
      <c r="AA68" s="177">
        <v>0</v>
      </c>
      <c r="AB68" s="208">
        <v>0</v>
      </c>
      <c r="AC68" s="208">
        <v>0</v>
      </c>
      <c r="AD68" s="208">
        <v>0</v>
      </c>
      <c r="AE68" s="208">
        <v>0</v>
      </c>
      <c r="AF68" s="208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ht="15.75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177">
        <v>0</v>
      </c>
      <c r="Y69" s="177">
        <v>0</v>
      </c>
      <c r="Z69" s="177">
        <v>0</v>
      </c>
      <c r="AA69" s="177">
        <v>0</v>
      </c>
      <c r="AB69" s="208">
        <v>0</v>
      </c>
      <c r="AC69" s="208">
        <v>0</v>
      </c>
      <c r="AD69" s="208">
        <v>0</v>
      </c>
      <c r="AE69" s="208">
        <v>0</v>
      </c>
      <c r="AF69" s="208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ht="15.75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7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177">
        <v>0</v>
      </c>
      <c r="Y70" s="177">
        <v>0</v>
      </c>
      <c r="Z70" s="177">
        <v>0</v>
      </c>
      <c r="AA70" s="177">
        <v>0</v>
      </c>
      <c r="AB70" s="208">
        <v>0</v>
      </c>
      <c r="AC70" s="208">
        <v>0</v>
      </c>
      <c r="AD70" s="208">
        <v>0</v>
      </c>
      <c r="AE70" s="208">
        <v>0</v>
      </c>
      <c r="AF70" s="208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ht="15.75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7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177">
        <v>0</v>
      </c>
      <c r="Y71" s="177">
        <v>0</v>
      </c>
      <c r="Z71" s="177">
        <v>0</v>
      </c>
      <c r="AA71" s="177">
        <v>0</v>
      </c>
      <c r="AB71" s="208">
        <v>0</v>
      </c>
      <c r="AC71" s="208">
        <v>0</v>
      </c>
      <c r="AD71" s="208">
        <v>0</v>
      </c>
      <c r="AE71" s="208">
        <v>0</v>
      </c>
      <c r="AF71" s="208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ht="15.75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7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177">
        <v>0</v>
      </c>
      <c r="Y72" s="177">
        <v>0</v>
      </c>
      <c r="Z72" s="177">
        <v>0</v>
      </c>
      <c r="AA72" s="177">
        <v>0</v>
      </c>
      <c r="AB72" s="208">
        <v>0</v>
      </c>
      <c r="AC72" s="208">
        <v>0</v>
      </c>
      <c r="AD72" s="208">
        <v>0</v>
      </c>
      <c r="AE72" s="208">
        <v>0</v>
      </c>
      <c r="AF72" s="208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6.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7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177">
        <v>0</v>
      </c>
      <c r="Y73" s="177">
        <v>0</v>
      </c>
      <c r="Z73" s="177">
        <v>0</v>
      </c>
      <c r="AA73" s="177">
        <v>0</v>
      </c>
      <c r="AB73" s="208">
        <v>0</v>
      </c>
      <c r="AC73" s="208">
        <v>0</v>
      </c>
      <c r="AD73" s="208">
        <v>0</v>
      </c>
      <c r="AE73" s="208">
        <v>0</v>
      </c>
      <c r="AF73" s="208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6.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179">
        <f t="shared" si="9"/>
        <v>0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200">
        <f t="shared" si="9"/>
        <v>0</v>
      </c>
      <c r="AC74" s="200">
        <f t="shared" si="9"/>
        <v>0</v>
      </c>
      <c r="AD74" s="200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ht="15.75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180">
        <v>0</v>
      </c>
      <c r="Y75" s="180">
        <v>0</v>
      </c>
      <c r="Z75" s="180">
        <v>0</v>
      </c>
      <c r="AA75" s="76">
        <v>0</v>
      </c>
      <c r="AB75" s="214">
        <v>0</v>
      </c>
      <c r="AC75" s="214">
        <v>0</v>
      </c>
      <c r="AD75" s="214">
        <v>0</v>
      </c>
      <c r="AE75" s="214">
        <v>0</v>
      </c>
      <c r="AF75" s="214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ht="15.75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176">
        <v>0</v>
      </c>
      <c r="Y76" s="176">
        <v>0</v>
      </c>
      <c r="Z76" s="176">
        <v>0</v>
      </c>
      <c r="AA76" s="77">
        <v>0</v>
      </c>
      <c r="AB76" s="215">
        <v>0</v>
      </c>
      <c r="AC76" s="215">
        <v>0</v>
      </c>
      <c r="AD76" s="215">
        <v>0</v>
      </c>
      <c r="AE76" s="215">
        <v>0</v>
      </c>
      <c r="AF76" s="215">
        <v>0</v>
      </c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6.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181">
        <v>0</v>
      </c>
      <c r="Y77" s="181">
        <v>0</v>
      </c>
      <c r="Z77" s="181">
        <v>0</v>
      </c>
      <c r="AA77" s="79">
        <v>0</v>
      </c>
      <c r="AB77" s="216">
        <v>0</v>
      </c>
      <c r="AC77" s="216">
        <v>0</v>
      </c>
      <c r="AD77" s="216">
        <v>0</v>
      </c>
      <c r="AE77" s="216">
        <v>0</v>
      </c>
      <c r="AF77" s="216">
        <v>0</v>
      </c>
      <c r="AG77" s="80">
        <v>2</v>
      </c>
      <c r="AH77" s="48">
        <f t="shared" si="10"/>
        <v>0</v>
      </c>
      <c r="AI77" s="49">
        <f t="shared" si="11"/>
        <v>0</v>
      </c>
    </row>
    <row r="78" spans="1:37" ht="16.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179">
        <f>SUM(X75:X77)</f>
        <v>0</v>
      </c>
      <c r="Y78" s="61">
        <v>0</v>
      </c>
      <c r="Z78" s="61">
        <v>0</v>
      </c>
      <c r="AA78" s="61">
        <v>0</v>
      </c>
      <c r="AB78" s="200">
        <v>0</v>
      </c>
      <c r="AC78" s="200">
        <v>0</v>
      </c>
      <c r="AD78" s="200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6.5" thickBot="1" x14ac:dyDescent="0.3">
      <c r="A79" s="74" t="s">
        <v>87</v>
      </c>
      <c r="B79" s="83">
        <f t="shared" ref="B79:AG79" si="12">B40+B44+B62+B58+B74+B78</f>
        <v>1144.94</v>
      </c>
      <c r="C79" s="83">
        <f t="shared" si="12"/>
        <v>1265.6400000000001</v>
      </c>
      <c r="D79" s="83">
        <f t="shared" si="12"/>
        <v>1256.1399999999999</v>
      </c>
      <c r="E79" s="83">
        <f t="shared" si="12"/>
        <v>1230.3400000000001</v>
      </c>
      <c r="F79" s="83">
        <f t="shared" si="12"/>
        <v>1259.04</v>
      </c>
      <c r="G79" s="83">
        <f t="shared" si="12"/>
        <v>1271.74</v>
      </c>
      <c r="H79" s="83">
        <f t="shared" si="12"/>
        <v>1310.8400000000001</v>
      </c>
      <c r="I79" s="83">
        <f t="shared" si="12"/>
        <v>1350.64</v>
      </c>
      <c r="J79" s="83">
        <f t="shared" si="12"/>
        <v>1337.24</v>
      </c>
      <c r="K79" s="83">
        <f t="shared" si="12"/>
        <v>1379.6399999999999</v>
      </c>
      <c r="L79" s="83">
        <f t="shared" si="12"/>
        <v>1422.44</v>
      </c>
      <c r="M79" s="83">
        <f t="shared" si="12"/>
        <v>1413.6399999999999</v>
      </c>
      <c r="N79" s="83">
        <f t="shared" si="12"/>
        <v>1321.3400000000001</v>
      </c>
      <c r="O79" s="83">
        <f t="shared" si="12"/>
        <v>1311.14</v>
      </c>
      <c r="P79" s="83">
        <f t="shared" si="12"/>
        <v>1307.6400000000001</v>
      </c>
      <c r="Q79" s="83">
        <f t="shared" si="12"/>
        <v>1264.8399999999999</v>
      </c>
      <c r="R79" s="83">
        <f t="shared" si="12"/>
        <v>1233.04</v>
      </c>
      <c r="S79" s="83">
        <f t="shared" si="12"/>
        <v>1161.74</v>
      </c>
      <c r="T79" s="83">
        <f t="shared" si="12"/>
        <v>1182.8400000000001</v>
      </c>
      <c r="U79" s="83">
        <f t="shared" si="12"/>
        <v>1182.8400000000001</v>
      </c>
      <c r="V79" s="83">
        <f t="shared" si="12"/>
        <v>1304.74</v>
      </c>
      <c r="W79" s="83">
        <f t="shared" si="12"/>
        <v>1492.54</v>
      </c>
      <c r="X79" s="182">
        <f>SUM(X40,X44,X58,X62,X74,X78)</f>
        <v>1543.8400000000001</v>
      </c>
      <c r="Y79" s="83">
        <f t="shared" si="12"/>
        <v>1543.8400000000001</v>
      </c>
      <c r="Z79" s="83">
        <f t="shared" si="12"/>
        <v>1393.84</v>
      </c>
      <c r="AA79" s="83">
        <f t="shared" si="12"/>
        <v>1341.3400000000001</v>
      </c>
      <c r="AB79" s="217">
        <f t="shared" si="12"/>
        <v>1329.64</v>
      </c>
      <c r="AC79" s="217">
        <f t="shared" si="12"/>
        <v>1313.64</v>
      </c>
      <c r="AD79" s="217">
        <f t="shared" si="12"/>
        <v>1281.6399999999999</v>
      </c>
      <c r="AE79" s="83">
        <f t="shared" si="12"/>
        <v>1254.44</v>
      </c>
      <c r="AF79" s="83">
        <f t="shared" si="12"/>
        <v>1174.74</v>
      </c>
      <c r="AG79" s="62">
        <f t="shared" si="12"/>
        <v>1897.1900000000003</v>
      </c>
      <c r="AH79" s="48">
        <f t="shared" si="10"/>
        <v>1543.8400000000001</v>
      </c>
      <c r="AI79" s="49">
        <f t="shared" si="11"/>
        <v>1144.94</v>
      </c>
    </row>
    <row r="80" spans="1:37" ht="16.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170"/>
      <c r="Y80" s="85"/>
      <c r="Z80" s="85"/>
      <c r="AA80" s="85"/>
      <c r="AB80" s="218"/>
      <c r="AC80" s="218"/>
      <c r="AD80" s="218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6.5" thickBot="1" x14ac:dyDescent="0.3">
      <c r="A81" s="74" t="s">
        <v>89</v>
      </c>
      <c r="B81" s="83">
        <f t="shared" ref="B81:AF81" si="13">B79+B80</f>
        <v>1144.94</v>
      </c>
      <c r="C81" s="83">
        <f t="shared" si="13"/>
        <v>1265.6400000000001</v>
      </c>
      <c r="D81" s="83">
        <f t="shared" si="13"/>
        <v>1256.1399999999999</v>
      </c>
      <c r="E81" s="83">
        <f t="shared" si="13"/>
        <v>1230.3400000000001</v>
      </c>
      <c r="F81" s="83">
        <f t="shared" si="13"/>
        <v>1259.04</v>
      </c>
      <c r="G81" s="83">
        <f t="shared" si="13"/>
        <v>1271.74</v>
      </c>
      <c r="H81" s="83">
        <f t="shared" si="13"/>
        <v>1310.8400000000001</v>
      </c>
      <c r="I81" s="83">
        <f t="shared" si="13"/>
        <v>1350.64</v>
      </c>
      <c r="J81" s="83">
        <f t="shared" si="13"/>
        <v>1337.24</v>
      </c>
      <c r="K81" s="83">
        <f t="shared" si="13"/>
        <v>1379.6399999999999</v>
      </c>
      <c r="L81" s="83">
        <f t="shared" si="13"/>
        <v>1422.44</v>
      </c>
      <c r="M81" s="83">
        <f t="shared" si="13"/>
        <v>1413.6399999999999</v>
      </c>
      <c r="N81" s="83">
        <f t="shared" si="13"/>
        <v>1321.3400000000001</v>
      </c>
      <c r="O81" s="83">
        <f t="shared" si="13"/>
        <v>1311.14</v>
      </c>
      <c r="P81" s="83">
        <f t="shared" si="13"/>
        <v>1307.6400000000001</v>
      </c>
      <c r="Q81" s="83">
        <f t="shared" si="13"/>
        <v>1264.8399999999999</v>
      </c>
      <c r="R81" s="83">
        <f t="shared" si="13"/>
        <v>1233.04</v>
      </c>
      <c r="S81" s="83">
        <f t="shared" si="13"/>
        <v>1161.74</v>
      </c>
      <c r="T81" s="83">
        <f t="shared" si="13"/>
        <v>1182.8400000000001</v>
      </c>
      <c r="U81" s="83">
        <f t="shared" si="13"/>
        <v>1182.8400000000001</v>
      </c>
      <c r="V81" s="83">
        <f t="shared" si="13"/>
        <v>1304.74</v>
      </c>
      <c r="W81" s="83">
        <f t="shared" si="13"/>
        <v>1492.54</v>
      </c>
      <c r="X81" s="172">
        <f>SUM(X79+X80)</f>
        <v>1543.8400000000001</v>
      </c>
      <c r="Y81" s="83">
        <f t="shared" si="13"/>
        <v>1543.8400000000001</v>
      </c>
      <c r="Z81" s="83">
        <f t="shared" si="13"/>
        <v>1393.84</v>
      </c>
      <c r="AA81" s="83">
        <f t="shared" si="13"/>
        <v>1341.3400000000001</v>
      </c>
      <c r="AB81" s="217">
        <f t="shared" si="13"/>
        <v>1329.64</v>
      </c>
      <c r="AC81" s="217">
        <f t="shared" si="13"/>
        <v>1313.64</v>
      </c>
      <c r="AD81" s="217">
        <f t="shared" si="13"/>
        <v>1281.6399999999999</v>
      </c>
      <c r="AE81" s="83">
        <f t="shared" si="13"/>
        <v>1254.44</v>
      </c>
      <c r="AF81" s="83">
        <f t="shared" si="13"/>
        <v>1174.74</v>
      </c>
      <c r="AG81" s="81">
        <f>AG78+AG74+AG62+AG58+AG40+AG80</f>
        <v>1359.0900000000001</v>
      </c>
      <c r="AH81" s="48">
        <f t="shared" si="10"/>
        <v>1543.8400000000001</v>
      </c>
      <c r="AI81" s="49">
        <f t="shared" si="11"/>
        <v>1144.94</v>
      </c>
    </row>
    <row r="82" spans="1:37" ht="16.5" thickBot="1" x14ac:dyDescent="0.3">
      <c r="A82" s="74" t="s">
        <v>90</v>
      </c>
      <c r="B82" s="83">
        <f t="shared" ref="B82:AF82" si="14">B81-B89</f>
        <v>890.94</v>
      </c>
      <c r="C82" s="83">
        <f t="shared" si="14"/>
        <v>863.6400000000001</v>
      </c>
      <c r="D82" s="83">
        <f t="shared" si="14"/>
        <v>873.13999999999987</v>
      </c>
      <c r="E82" s="83">
        <f t="shared" si="14"/>
        <v>838.34000000000015</v>
      </c>
      <c r="F82" s="83">
        <f t="shared" si="14"/>
        <v>857.04</v>
      </c>
      <c r="G82" s="83">
        <f t="shared" si="14"/>
        <v>877.34</v>
      </c>
      <c r="H82" s="83">
        <f t="shared" si="14"/>
        <v>926.44000000000017</v>
      </c>
      <c r="I82" s="83">
        <f t="shared" si="14"/>
        <v>972.6400000000001</v>
      </c>
      <c r="J82" s="83">
        <f t="shared" si="14"/>
        <v>1047.54</v>
      </c>
      <c r="K82" s="83">
        <f t="shared" si="14"/>
        <v>1089.6399999999999</v>
      </c>
      <c r="L82" s="83">
        <f t="shared" si="14"/>
        <v>1136.74</v>
      </c>
      <c r="M82" s="83">
        <f t="shared" si="14"/>
        <v>1146.3399999999999</v>
      </c>
      <c r="N82" s="83">
        <f t="shared" si="14"/>
        <v>1104.0400000000002</v>
      </c>
      <c r="O82" s="83">
        <f t="shared" si="14"/>
        <v>1084.44</v>
      </c>
      <c r="P82" s="83">
        <f t="shared" si="14"/>
        <v>995.6400000000001</v>
      </c>
      <c r="Q82" s="83">
        <f t="shared" si="14"/>
        <v>939.83999999999992</v>
      </c>
      <c r="R82" s="83">
        <f t="shared" si="14"/>
        <v>894.64</v>
      </c>
      <c r="S82" s="83">
        <f t="shared" si="14"/>
        <v>875.34</v>
      </c>
      <c r="T82" s="83">
        <f t="shared" si="14"/>
        <v>904.84000000000015</v>
      </c>
      <c r="U82" s="83">
        <f t="shared" si="14"/>
        <v>912.84000000000015</v>
      </c>
      <c r="V82" s="83">
        <f t="shared" si="14"/>
        <v>1044.74</v>
      </c>
      <c r="W82" s="83">
        <f t="shared" si="14"/>
        <v>1206.54</v>
      </c>
      <c r="X82" s="172">
        <f t="shared" si="14"/>
        <v>1252.8400000000001</v>
      </c>
      <c r="Y82" s="83">
        <f t="shared" si="14"/>
        <v>1223.8400000000001</v>
      </c>
      <c r="Z82" s="83">
        <f t="shared" si="14"/>
        <v>1143.8399999999999</v>
      </c>
      <c r="AA82" s="83">
        <f t="shared" si="14"/>
        <v>1048.3400000000001</v>
      </c>
      <c r="AB82" s="217">
        <f t="shared" si="14"/>
        <v>1013.6400000000001</v>
      </c>
      <c r="AC82" s="217">
        <f t="shared" si="14"/>
        <v>968.6400000000001</v>
      </c>
      <c r="AD82" s="217">
        <f t="shared" si="14"/>
        <v>932.13999999999987</v>
      </c>
      <c r="AE82" s="83">
        <f t="shared" si="14"/>
        <v>857.54000000000008</v>
      </c>
      <c r="AF82" s="83">
        <f t="shared" si="14"/>
        <v>789.74</v>
      </c>
      <c r="AG82" s="81"/>
      <c r="AH82" s="48">
        <f t="shared" si="10"/>
        <v>1252.8400000000001</v>
      </c>
      <c r="AI82" s="49">
        <f t="shared" si="11"/>
        <v>789.74</v>
      </c>
    </row>
    <row r="83" spans="1:37" ht="15.75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183">
        <f>IF(X66&lt;0,-X66,0)</f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214">
        <f t="shared" si="15"/>
        <v>0</v>
      </c>
      <c r="AC83" s="214">
        <f t="shared" si="15"/>
        <v>0</v>
      </c>
      <c r="AD83" s="214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ht="15.75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183">
        <f>IF(X64&lt;0,-X64,0)</f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214">
        <f t="shared" si="16"/>
        <v>0</v>
      </c>
      <c r="AC84" s="214">
        <f t="shared" si="16"/>
        <v>0</v>
      </c>
      <c r="AD84" s="214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ht="15.75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183">
        <f>IF(X67&lt;0,-X67,0)</f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214">
        <f t="shared" si="17"/>
        <v>0</v>
      </c>
      <c r="AC85" s="214">
        <f t="shared" si="17"/>
        <v>0</v>
      </c>
      <c r="AD85" s="214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ht="15.75" x14ac:dyDescent="0.25">
      <c r="A86" s="78" t="s">
        <v>92</v>
      </c>
      <c r="B86" s="76">
        <f t="shared" ref="B86:AF86" si="18">IF(B65&lt;0,B65*-1,0)</f>
        <v>254</v>
      </c>
      <c r="C86" s="76">
        <f t="shared" si="18"/>
        <v>402</v>
      </c>
      <c r="D86" s="76">
        <f t="shared" si="18"/>
        <v>383</v>
      </c>
      <c r="E86" s="76">
        <f t="shared" si="18"/>
        <v>392</v>
      </c>
      <c r="F86" s="76">
        <f t="shared" si="18"/>
        <v>402</v>
      </c>
      <c r="G86" s="76">
        <f t="shared" si="18"/>
        <v>394.4</v>
      </c>
      <c r="H86" s="76">
        <f t="shared" si="18"/>
        <v>384.4</v>
      </c>
      <c r="I86" s="76">
        <f t="shared" si="18"/>
        <v>378</v>
      </c>
      <c r="J86" s="76">
        <f t="shared" si="18"/>
        <v>289.7</v>
      </c>
      <c r="K86" s="76">
        <f t="shared" si="18"/>
        <v>290</v>
      </c>
      <c r="L86" s="76">
        <f t="shared" si="18"/>
        <v>285.7</v>
      </c>
      <c r="M86" s="76">
        <f t="shared" si="18"/>
        <v>267.3</v>
      </c>
      <c r="N86" s="76">
        <f t="shared" si="18"/>
        <v>217.3</v>
      </c>
      <c r="O86" s="76">
        <f t="shared" si="18"/>
        <v>226.7</v>
      </c>
      <c r="P86" s="76">
        <f t="shared" si="18"/>
        <v>312</v>
      </c>
      <c r="Q86" s="76">
        <f t="shared" si="18"/>
        <v>325</v>
      </c>
      <c r="R86" s="76">
        <f t="shared" si="18"/>
        <v>338.4</v>
      </c>
      <c r="S86" s="76">
        <f t="shared" si="18"/>
        <v>286.39999999999998</v>
      </c>
      <c r="T86" s="76">
        <f t="shared" si="18"/>
        <v>278</v>
      </c>
      <c r="U86" s="76">
        <f t="shared" si="18"/>
        <v>270</v>
      </c>
      <c r="V86" s="76">
        <f t="shared" si="18"/>
        <v>260</v>
      </c>
      <c r="W86" s="76">
        <f t="shared" si="18"/>
        <v>286</v>
      </c>
      <c r="X86" s="183">
        <f>IF(X65&lt;0,-X65,0)</f>
        <v>291</v>
      </c>
      <c r="Y86" s="76">
        <f t="shared" si="18"/>
        <v>320</v>
      </c>
      <c r="Z86" s="76">
        <f t="shared" si="18"/>
        <v>250</v>
      </c>
      <c r="AA86" s="76">
        <f t="shared" si="18"/>
        <v>293</v>
      </c>
      <c r="AB86" s="214">
        <f t="shared" si="18"/>
        <v>316</v>
      </c>
      <c r="AC86" s="214">
        <f t="shared" si="18"/>
        <v>345</v>
      </c>
      <c r="AD86" s="214">
        <f t="shared" si="18"/>
        <v>349.5</v>
      </c>
      <c r="AE86" s="76">
        <f t="shared" si="18"/>
        <v>396.9</v>
      </c>
      <c r="AF86" s="76">
        <f t="shared" si="18"/>
        <v>385</v>
      </c>
      <c r="AG86" s="86"/>
      <c r="AH86" s="48">
        <f t="shared" si="10"/>
        <v>402</v>
      </c>
      <c r="AI86" s="49">
        <f t="shared" si="11"/>
        <v>217.3</v>
      </c>
    </row>
    <row r="87" spans="1:37" ht="15.75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183">
        <f>IF(X69&lt;0,-X69,0)</f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214">
        <f t="shared" si="19"/>
        <v>0</v>
      </c>
      <c r="AC87" s="214">
        <f t="shared" si="19"/>
        <v>0</v>
      </c>
      <c r="AD87" s="214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6.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184">
        <v>0</v>
      </c>
      <c r="Y88" s="79"/>
      <c r="Z88" s="79">
        <v>0</v>
      </c>
      <c r="AA88" s="79">
        <v>0</v>
      </c>
      <c r="AB88" s="216">
        <v>0</v>
      </c>
      <c r="AC88" s="216"/>
      <c r="AD88" s="216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6.5" thickBot="1" x14ac:dyDescent="0.3">
      <c r="A89" s="87" t="s">
        <v>94</v>
      </c>
      <c r="B89" s="61">
        <f t="shared" ref="B89:AF89" si="20">SUM(B83:B88)</f>
        <v>254</v>
      </c>
      <c r="C89" s="61">
        <f t="shared" si="20"/>
        <v>402</v>
      </c>
      <c r="D89" s="61">
        <f t="shared" si="20"/>
        <v>383</v>
      </c>
      <c r="E89" s="61">
        <f t="shared" si="20"/>
        <v>392</v>
      </c>
      <c r="F89" s="61">
        <f t="shared" si="20"/>
        <v>402</v>
      </c>
      <c r="G89" s="61">
        <f t="shared" si="20"/>
        <v>394.4</v>
      </c>
      <c r="H89" s="61">
        <f t="shared" si="20"/>
        <v>384.4</v>
      </c>
      <c r="I89" s="61">
        <f t="shared" si="20"/>
        <v>378</v>
      </c>
      <c r="J89" s="61">
        <f t="shared" si="20"/>
        <v>289.7</v>
      </c>
      <c r="K89" s="61">
        <f t="shared" si="20"/>
        <v>290</v>
      </c>
      <c r="L89" s="61">
        <f t="shared" si="20"/>
        <v>285.7</v>
      </c>
      <c r="M89" s="61">
        <f t="shared" si="20"/>
        <v>267.3</v>
      </c>
      <c r="N89" s="61">
        <f t="shared" si="20"/>
        <v>217.3</v>
      </c>
      <c r="O89" s="61">
        <f t="shared" si="20"/>
        <v>226.7</v>
      </c>
      <c r="P89" s="61">
        <f t="shared" si="20"/>
        <v>312</v>
      </c>
      <c r="Q89" s="61">
        <f t="shared" si="20"/>
        <v>325</v>
      </c>
      <c r="R89" s="61">
        <f t="shared" si="20"/>
        <v>338.4</v>
      </c>
      <c r="S89" s="61">
        <f t="shared" si="20"/>
        <v>286.39999999999998</v>
      </c>
      <c r="T89" s="61">
        <f t="shared" si="20"/>
        <v>278</v>
      </c>
      <c r="U89" s="61">
        <f t="shared" si="20"/>
        <v>270</v>
      </c>
      <c r="V89" s="61">
        <f t="shared" si="20"/>
        <v>260</v>
      </c>
      <c r="W89" s="61">
        <f t="shared" si="20"/>
        <v>286</v>
      </c>
      <c r="X89" s="172">
        <f>SUM(X83:X88)</f>
        <v>291</v>
      </c>
      <c r="Y89" s="61">
        <f t="shared" si="20"/>
        <v>320</v>
      </c>
      <c r="Z89" s="61">
        <f t="shared" si="20"/>
        <v>250</v>
      </c>
      <c r="AA89" s="61">
        <f t="shared" si="20"/>
        <v>293</v>
      </c>
      <c r="AB89" s="200">
        <f t="shared" si="20"/>
        <v>316</v>
      </c>
      <c r="AC89" s="200">
        <f t="shared" si="20"/>
        <v>345</v>
      </c>
      <c r="AD89" s="200">
        <f t="shared" si="20"/>
        <v>349.5</v>
      </c>
      <c r="AE89" s="61">
        <f t="shared" si="20"/>
        <v>396.9</v>
      </c>
      <c r="AF89" s="61">
        <f t="shared" si="20"/>
        <v>385</v>
      </c>
      <c r="AG89" s="81"/>
      <c r="AH89" s="48">
        <f t="shared" si="10"/>
        <v>402</v>
      </c>
      <c r="AI89" s="49">
        <f t="shared" si="11"/>
        <v>217.3</v>
      </c>
      <c r="AK89" s="50"/>
    </row>
    <row r="90" spans="1:37" ht="16.5" thickBot="1" x14ac:dyDescent="0.3">
      <c r="A90" s="74" t="s">
        <v>95</v>
      </c>
      <c r="B90" s="61">
        <f t="shared" ref="B90:AF90" si="21">B74-B89</f>
        <v>-254</v>
      </c>
      <c r="C90" s="61">
        <f t="shared" si="21"/>
        <v>-402</v>
      </c>
      <c r="D90" s="61">
        <f t="shared" si="21"/>
        <v>-383</v>
      </c>
      <c r="E90" s="61">
        <f t="shared" si="21"/>
        <v>-392</v>
      </c>
      <c r="F90" s="61">
        <f t="shared" si="21"/>
        <v>-402</v>
      </c>
      <c r="G90" s="61">
        <f t="shared" si="21"/>
        <v>-394.4</v>
      </c>
      <c r="H90" s="61">
        <f t="shared" si="21"/>
        <v>-384.4</v>
      </c>
      <c r="I90" s="61">
        <f t="shared" si="21"/>
        <v>-378</v>
      </c>
      <c r="J90" s="61">
        <f t="shared" si="21"/>
        <v>-289.7</v>
      </c>
      <c r="K90" s="61">
        <f t="shared" si="21"/>
        <v>-290</v>
      </c>
      <c r="L90" s="61">
        <f t="shared" si="21"/>
        <v>-285.7</v>
      </c>
      <c r="M90" s="61">
        <f t="shared" si="21"/>
        <v>-267.3</v>
      </c>
      <c r="N90" s="61">
        <f t="shared" si="21"/>
        <v>-217.3</v>
      </c>
      <c r="O90" s="61">
        <f t="shared" si="21"/>
        <v>-226.7</v>
      </c>
      <c r="P90" s="61">
        <f t="shared" si="21"/>
        <v>-312</v>
      </c>
      <c r="Q90" s="61">
        <f t="shared" si="21"/>
        <v>-325</v>
      </c>
      <c r="R90" s="61">
        <f t="shared" si="21"/>
        <v>-338.4</v>
      </c>
      <c r="S90" s="61">
        <f t="shared" si="21"/>
        <v>-286.39999999999998</v>
      </c>
      <c r="T90" s="61">
        <f t="shared" si="21"/>
        <v>-278</v>
      </c>
      <c r="U90" s="61">
        <f t="shared" si="21"/>
        <v>-270</v>
      </c>
      <c r="V90" s="61">
        <f t="shared" si="21"/>
        <v>-260</v>
      </c>
      <c r="W90" s="61">
        <f t="shared" si="21"/>
        <v>-286</v>
      </c>
      <c r="X90" s="185">
        <f t="shared" si="21"/>
        <v>-291</v>
      </c>
      <c r="Y90" s="61">
        <f t="shared" si="21"/>
        <v>-320</v>
      </c>
      <c r="Z90" s="61">
        <f t="shared" si="21"/>
        <v>-250</v>
      </c>
      <c r="AA90" s="61">
        <f t="shared" si="21"/>
        <v>-293</v>
      </c>
      <c r="AB90" s="200">
        <f t="shared" si="21"/>
        <v>-316</v>
      </c>
      <c r="AC90" s="200">
        <f t="shared" si="21"/>
        <v>-345</v>
      </c>
      <c r="AD90" s="200">
        <f t="shared" si="21"/>
        <v>-349.5</v>
      </c>
      <c r="AE90" s="61">
        <f t="shared" si="21"/>
        <v>-396.9</v>
      </c>
      <c r="AF90" s="61">
        <f t="shared" si="21"/>
        <v>-385</v>
      </c>
      <c r="AG90" s="81"/>
      <c r="AH90" s="48">
        <f t="shared" si="10"/>
        <v>-217.3</v>
      </c>
      <c r="AI90" s="49">
        <f t="shared" si="11"/>
        <v>-402</v>
      </c>
    </row>
    <row r="91" spans="1:37" ht="15.75" x14ac:dyDescent="0.25">
      <c r="A91" s="88" t="s">
        <v>96</v>
      </c>
      <c r="B91" s="89">
        <v>49.996000000000002</v>
      </c>
      <c r="C91" s="89">
        <v>49.956000000000003</v>
      </c>
      <c r="D91" s="89">
        <v>49.920999999999999</v>
      </c>
      <c r="E91" s="89">
        <v>49.988</v>
      </c>
      <c r="F91" s="89">
        <v>49.988</v>
      </c>
      <c r="G91" s="89">
        <v>49.988</v>
      </c>
      <c r="H91" s="89">
        <v>50.07</v>
      </c>
      <c r="I91" s="89">
        <v>50.07</v>
      </c>
      <c r="J91" s="89">
        <v>50.018999999999998</v>
      </c>
      <c r="K91" s="89">
        <v>50</v>
      </c>
      <c r="L91" s="89">
        <v>50.026000000000003</v>
      </c>
      <c r="M91" s="89">
        <v>50.093000000000004</v>
      </c>
      <c r="N91" s="89">
        <v>50.012999999999998</v>
      </c>
      <c r="O91" s="89">
        <v>50.009</v>
      </c>
      <c r="P91" s="89">
        <v>49.975000000000001</v>
      </c>
      <c r="Q91" s="89">
        <v>50.01</v>
      </c>
      <c r="R91" s="89">
        <v>50.02</v>
      </c>
      <c r="S91" s="89">
        <v>49.98</v>
      </c>
      <c r="T91" s="89">
        <v>50.03</v>
      </c>
      <c r="U91" s="89">
        <v>50.02</v>
      </c>
      <c r="V91" s="89">
        <v>50</v>
      </c>
      <c r="W91" s="89">
        <v>49.88</v>
      </c>
      <c r="X91" s="186">
        <v>49.99</v>
      </c>
      <c r="Y91" s="89">
        <v>50.02</v>
      </c>
      <c r="Z91" s="89">
        <v>50.02</v>
      </c>
      <c r="AA91" s="89">
        <v>50.02</v>
      </c>
      <c r="AB91" s="219">
        <v>50.021000000000001</v>
      </c>
      <c r="AC91" s="219">
        <v>50.045000000000002</v>
      </c>
      <c r="AD91" s="219">
        <v>50.07</v>
      </c>
      <c r="AE91" s="219">
        <v>50.09</v>
      </c>
      <c r="AF91" s="89">
        <v>50.06</v>
      </c>
      <c r="AG91" s="90"/>
      <c r="AH91" s="48">
        <f t="shared" si="10"/>
        <v>50.093000000000004</v>
      </c>
      <c r="AI91" s="49">
        <f t="shared" si="11"/>
        <v>49.88</v>
      </c>
    </row>
    <row r="92" spans="1:37" ht="15.75" x14ac:dyDescent="0.25">
      <c r="A92" s="91" t="s">
        <v>97</v>
      </c>
      <c r="B92" s="65">
        <v>127.1</v>
      </c>
      <c r="C92" s="65">
        <v>127</v>
      </c>
      <c r="D92" s="65">
        <v>127</v>
      </c>
      <c r="E92" s="65">
        <v>127</v>
      </c>
      <c r="F92" s="65">
        <v>127</v>
      </c>
      <c r="G92" s="65">
        <v>127.8</v>
      </c>
      <c r="H92" s="65">
        <v>128</v>
      </c>
      <c r="I92" s="65">
        <v>128</v>
      </c>
      <c r="J92" s="65">
        <v>126.6</v>
      </c>
      <c r="K92" s="65">
        <v>126.6</v>
      </c>
      <c r="L92" s="65">
        <v>126.6</v>
      </c>
      <c r="M92" s="65">
        <v>125.8</v>
      </c>
      <c r="N92" s="65">
        <v>125.7</v>
      </c>
      <c r="O92" s="65">
        <v>126.8</v>
      </c>
      <c r="P92" s="65">
        <v>126.2</v>
      </c>
      <c r="Q92" s="65">
        <v>127.1</v>
      </c>
      <c r="R92" s="65">
        <v>127.3</v>
      </c>
      <c r="S92" s="65">
        <v>127.1</v>
      </c>
      <c r="T92" s="65">
        <v>126.7</v>
      </c>
      <c r="U92" s="65">
        <v>126.7</v>
      </c>
      <c r="V92" s="65">
        <v>127.1</v>
      </c>
      <c r="W92" s="65">
        <v>127.2</v>
      </c>
      <c r="X92" s="187">
        <v>127</v>
      </c>
      <c r="Y92" s="65">
        <v>128.5</v>
      </c>
      <c r="Z92" s="65">
        <v>129</v>
      </c>
      <c r="AA92" s="65">
        <v>129.80000000000001</v>
      </c>
      <c r="AB92" s="196">
        <v>129.4</v>
      </c>
      <c r="AC92" s="196">
        <v>129.30000000000001</v>
      </c>
      <c r="AD92" s="196">
        <v>129.30000000000001</v>
      </c>
      <c r="AE92" s="196">
        <v>129.6</v>
      </c>
      <c r="AF92" s="65">
        <v>130.5</v>
      </c>
      <c r="AG92" s="92"/>
      <c r="AH92" s="48">
        <f t="shared" si="10"/>
        <v>130.5</v>
      </c>
      <c r="AI92" s="49">
        <f t="shared" si="11"/>
        <v>125.7</v>
      </c>
    </row>
    <row r="93" spans="1:37" ht="15.75" x14ac:dyDescent="0.25">
      <c r="A93" s="91" t="s">
        <v>98</v>
      </c>
      <c r="B93" s="65">
        <v>131.30000000000001</v>
      </c>
      <c r="C93" s="65">
        <v>131.19999999999999</v>
      </c>
      <c r="D93" s="65">
        <v>131.19999999999999</v>
      </c>
      <c r="E93" s="65">
        <v>131.19999999999999</v>
      </c>
      <c r="F93" s="65">
        <v>131.19999999999999</v>
      </c>
      <c r="G93" s="65">
        <v>131.69999999999999</v>
      </c>
      <c r="H93" s="65">
        <v>131.80000000000001</v>
      </c>
      <c r="I93" s="65">
        <v>131.80000000000001</v>
      </c>
      <c r="J93" s="65">
        <v>130</v>
      </c>
      <c r="K93" s="65">
        <v>130</v>
      </c>
      <c r="L93" s="65">
        <v>130</v>
      </c>
      <c r="M93" s="65">
        <v>128.6</v>
      </c>
      <c r="N93" s="65">
        <v>128.6</v>
      </c>
      <c r="O93" s="65">
        <v>129.4</v>
      </c>
      <c r="P93" s="65">
        <v>129.69999999999999</v>
      </c>
      <c r="Q93" s="65">
        <v>130.6</v>
      </c>
      <c r="R93" s="65">
        <v>130.6</v>
      </c>
      <c r="S93" s="65">
        <v>130.19999999999999</v>
      </c>
      <c r="T93" s="65">
        <v>130</v>
      </c>
      <c r="U93" s="65">
        <v>130</v>
      </c>
      <c r="V93" s="65">
        <v>129.4</v>
      </c>
      <c r="W93" s="65">
        <v>129.4</v>
      </c>
      <c r="X93" s="187">
        <v>129.1</v>
      </c>
      <c r="Y93" s="65">
        <v>130.4</v>
      </c>
      <c r="Z93" s="65">
        <v>131</v>
      </c>
      <c r="AA93" s="65">
        <v>131.80000000000001</v>
      </c>
      <c r="AB93" s="196">
        <v>131.6</v>
      </c>
      <c r="AC93" s="196">
        <v>131.9</v>
      </c>
      <c r="AD93" s="196">
        <v>131.80000000000001</v>
      </c>
      <c r="AE93" s="196">
        <v>132.69999999999999</v>
      </c>
      <c r="AF93" s="65">
        <v>133.4</v>
      </c>
      <c r="AG93" s="92"/>
      <c r="AH93" s="48">
        <f t="shared" si="10"/>
        <v>133.4</v>
      </c>
      <c r="AI93" s="49">
        <f t="shared" si="11"/>
        <v>128.6</v>
      </c>
    </row>
    <row r="94" spans="1:37" ht="15.75" x14ac:dyDescent="0.25">
      <c r="A94" s="91" t="s">
        <v>99</v>
      </c>
      <c r="B94" s="65">
        <v>131.6</v>
      </c>
      <c r="C94" s="65">
        <v>132.4</v>
      </c>
      <c r="D94" s="65">
        <v>132.4</v>
      </c>
      <c r="E94" s="65">
        <v>132.4</v>
      </c>
      <c r="F94" s="65">
        <v>131.9</v>
      </c>
      <c r="G94" s="65">
        <v>131.9</v>
      </c>
      <c r="H94" s="65">
        <v>132</v>
      </c>
      <c r="I94" s="65">
        <v>132</v>
      </c>
      <c r="J94" s="65">
        <v>129.6</v>
      </c>
      <c r="K94" s="65">
        <v>129.6</v>
      </c>
      <c r="L94" s="65">
        <v>129.6</v>
      </c>
      <c r="M94" s="65">
        <v>129.19999999999999</v>
      </c>
      <c r="N94" s="65">
        <v>130.19999999999999</v>
      </c>
      <c r="O94" s="65">
        <v>130.80000000000001</v>
      </c>
      <c r="P94" s="65">
        <v>130.69999999999999</v>
      </c>
      <c r="Q94" s="65">
        <v>131.9</v>
      </c>
      <c r="R94" s="65">
        <v>132.4</v>
      </c>
      <c r="S94" s="65">
        <v>131.30000000000001</v>
      </c>
      <c r="T94" s="65">
        <v>130.1</v>
      </c>
      <c r="U94" s="65">
        <v>130.1</v>
      </c>
      <c r="V94" s="65">
        <v>129.30000000000001</v>
      </c>
      <c r="W94" s="65">
        <v>129.30000000000001</v>
      </c>
      <c r="X94" s="187">
        <v>132.80000000000001</v>
      </c>
      <c r="Y94" s="65">
        <v>132.69999999999999</v>
      </c>
      <c r="Z94" s="65">
        <v>132</v>
      </c>
      <c r="AA94" s="65">
        <v>132.6</v>
      </c>
      <c r="AB94" s="196">
        <v>132.19999999999999</v>
      </c>
      <c r="AC94" s="196">
        <v>135.30000000000001</v>
      </c>
      <c r="AD94" s="196">
        <v>135.6</v>
      </c>
      <c r="AE94" s="196">
        <v>135.1</v>
      </c>
      <c r="AF94" s="65">
        <v>135.19999999999999</v>
      </c>
      <c r="AG94" s="92"/>
      <c r="AH94" s="48">
        <f t="shared" si="10"/>
        <v>135.6</v>
      </c>
      <c r="AI94" s="49">
        <f t="shared" si="11"/>
        <v>129.19999999999999</v>
      </c>
    </row>
    <row r="95" spans="1:37" ht="15.75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187"/>
      <c r="Y95" s="65"/>
      <c r="Z95" s="65"/>
      <c r="AA95" s="65"/>
      <c r="AB95" s="196"/>
      <c r="AC95" s="196"/>
      <c r="AD95" s="196"/>
      <c r="AE95" s="196"/>
      <c r="AF95" s="65"/>
      <c r="AG95" s="92"/>
      <c r="AH95" s="48">
        <f t="shared" si="10"/>
        <v>0</v>
      </c>
      <c r="AI95" s="49">
        <f t="shared" si="11"/>
        <v>0</v>
      </c>
    </row>
    <row r="96" spans="1:37" ht="15.75" x14ac:dyDescent="0.25">
      <c r="A96" s="93" t="s">
        <v>101</v>
      </c>
      <c r="B96" s="94">
        <v>132.80000000000001</v>
      </c>
      <c r="C96" s="94">
        <v>133.6</v>
      </c>
      <c r="D96" s="94">
        <v>133.6</v>
      </c>
      <c r="E96" s="94">
        <v>133.6</v>
      </c>
      <c r="F96" s="94">
        <v>133.6</v>
      </c>
      <c r="G96" s="94">
        <v>134.5</v>
      </c>
      <c r="H96" s="94">
        <v>133.80000000000001</v>
      </c>
      <c r="I96" s="94">
        <v>133.80000000000001</v>
      </c>
      <c r="J96" s="94">
        <v>134.80000000000001</v>
      </c>
      <c r="K96" s="94">
        <v>134.80000000000001</v>
      </c>
      <c r="L96" s="94">
        <v>134.80000000000001</v>
      </c>
      <c r="M96" s="94">
        <v>128.6</v>
      </c>
      <c r="N96" s="94">
        <v>133.30000000000001</v>
      </c>
      <c r="O96" s="94">
        <v>131.69999999999999</v>
      </c>
      <c r="P96" s="94">
        <v>134</v>
      </c>
      <c r="Q96" s="94">
        <v>136</v>
      </c>
      <c r="R96" s="94">
        <v>134.4</v>
      </c>
      <c r="S96" s="94">
        <v>133.5</v>
      </c>
      <c r="T96" s="94">
        <v>136.30000000000001</v>
      </c>
      <c r="U96" s="94">
        <v>136.30000000000001</v>
      </c>
      <c r="V96" s="94">
        <v>132.4</v>
      </c>
      <c r="W96" s="94">
        <v>131.30000000000001</v>
      </c>
      <c r="X96" s="187">
        <v>129.69999999999999</v>
      </c>
      <c r="Y96" s="94">
        <v>134.69999999999999</v>
      </c>
      <c r="Z96" s="94">
        <v>132.4</v>
      </c>
      <c r="AA96" s="94">
        <v>132.1</v>
      </c>
      <c r="AB96" s="220">
        <v>133.19999999999999</v>
      </c>
      <c r="AC96" s="220">
        <v>134.30000000000001</v>
      </c>
      <c r="AD96" s="220">
        <v>134.19999999999999</v>
      </c>
      <c r="AE96" s="220">
        <v>134.19999999999999</v>
      </c>
      <c r="AF96" s="94">
        <v>136.80000000000001</v>
      </c>
      <c r="AG96" s="95"/>
      <c r="AH96" s="48">
        <f t="shared" si="10"/>
        <v>136.80000000000001</v>
      </c>
      <c r="AI96" s="49">
        <f t="shared" si="11"/>
        <v>128.6</v>
      </c>
    </row>
    <row r="97" spans="1:37" ht="15.75" x14ac:dyDescent="0.25">
      <c r="A97" s="91" t="s">
        <v>102</v>
      </c>
      <c r="B97" s="65">
        <v>133</v>
      </c>
      <c r="C97" s="65">
        <v>134.4</v>
      </c>
      <c r="D97" s="65">
        <v>134.4</v>
      </c>
      <c r="E97" s="65">
        <v>134.4</v>
      </c>
      <c r="F97" s="65">
        <v>134.4</v>
      </c>
      <c r="G97" s="65">
        <v>133.6</v>
      </c>
      <c r="H97" s="65">
        <v>132</v>
      </c>
      <c r="I97" s="65">
        <v>132</v>
      </c>
      <c r="J97" s="65">
        <v>132.9</v>
      </c>
      <c r="K97" s="65">
        <v>132.9</v>
      </c>
      <c r="L97" s="65">
        <v>132.9</v>
      </c>
      <c r="M97" s="65">
        <v>126.2</v>
      </c>
      <c r="N97" s="65">
        <v>130.1</v>
      </c>
      <c r="O97" s="65">
        <v>128.9</v>
      </c>
      <c r="P97" s="65">
        <v>133.9</v>
      </c>
      <c r="Q97" s="65">
        <v>136.5</v>
      </c>
      <c r="R97" s="65">
        <v>133.69999999999999</v>
      </c>
      <c r="S97" s="65">
        <v>129.19999999999999</v>
      </c>
      <c r="T97" s="65">
        <v>132.69999999999999</v>
      </c>
      <c r="U97" s="65">
        <v>132.69999999999999</v>
      </c>
      <c r="V97" s="65">
        <v>132.69999999999999</v>
      </c>
      <c r="W97" s="65">
        <v>132.69999999999999</v>
      </c>
      <c r="X97" s="187">
        <v>130</v>
      </c>
      <c r="Y97" s="65">
        <v>131.4</v>
      </c>
      <c r="Z97" s="65">
        <v>130.6</v>
      </c>
      <c r="AA97" s="65">
        <v>132.69999999999999</v>
      </c>
      <c r="AB97" s="196">
        <v>131.69999999999999</v>
      </c>
      <c r="AC97" s="196">
        <v>133.19999999999999</v>
      </c>
      <c r="AD97" s="196">
        <v>133.19999999999999</v>
      </c>
      <c r="AE97" s="196">
        <v>134</v>
      </c>
      <c r="AF97" s="65">
        <v>135.4</v>
      </c>
      <c r="AG97" s="92"/>
      <c r="AH97" s="48">
        <f t="shared" si="10"/>
        <v>136.5</v>
      </c>
      <c r="AI97" s="49">
        <f t="shared" si="11"/>
        <v>126.2</v>
      </c>
    </row>
    <row r="98" spans="1:37" ht="16.5" thickBot="1" x14ac:dyDescent="0.3">
      <c r="A98" s="91" t="s">
        <v>104</v>
      </c>
      <c r="B98" s="96">
        <v>66.2</v>
      </c>
      <c r="C98" s="96">
        <v>66.2</v>
      </c>
      <c r="D98" s="96">
        <v>66.2</v>
      </c>
      <c r="E98" s="96">
        <v>66.2</v>
      </c>
      <c r="F98" s="96">
        <v>66.2</v>
      </c>
      <c r="G98" s="96">
        <v>66.400000000000006</v>
      </c>
      <c r="H98" s="96">
        <v>66.400000000000006</v>
      </c>
      <c r="I98" s="96">
        <v>66.400000000000006</v>
      </c>
      <c r="J98" s="96">
        <v>65.3</v>
      </c>
      <c r="K98" s="96">
        <v>65.3</v>
      </c>
      <c r="L98" s="96">
        <v>65.3</v>
      </c>
      <c r="M98" s="96">
        <v>64.400000000000006</v>
      </c>
      <c r="N98" s="96">
        <v>64.3</v>
      </c>
      <c r="O98" s="96">
        <v>64.8</v>
      </c>
      <c r="P98" s="96">
        <v>65.3</v>
      </c>
      <c r="Q98" s="96">
        <v>65.7</v>
      </c>
      <c r="R98" s="96">
        <v>65.5</v>
      </c>
      <c r="S98" s="96">
        <v>65.400000000000006</v>
      </c>
      <c r="T98" s="96">
        <v>65.400000000000006</v>
      </c>
      <c r="U98" s="96">
        <v>65.400000000000006</v>
      </c>
      <c r="V98" s="96">
        <v>65.400000000000006</v>
      </c>
      <c r="W98" s="96">
        <v>65.099999999999994</v>
      </c>
      <c r="X98" s="188">
        <v>65</v>
      </c>
      <c r="Y98" s="96">
        <v>65.7</v>
      </c>
      <c r="Z98" s="96">
        <v>66</v>
      </c>
      <c r="AA98" s="96">
        <v>66.400000000000006</v>
      </c>
      <c r="AB98" s="221">
        <v>66</v>
      </c>
      <c r="AC98" s="221">
        <v>66.3</v>
      </c>
      <c r="AD98" s="221">
        <v>66.2</v>
      </c>
      <c r="AE98" s="221">
        <v>66.8</v>
      </c>
      <c r="AF98" s="96">
        <v>66.900000000000006</v>
      </c>
      <c r="AG98" s="97"/>
      <c r="AH98" s="48">
        <f t="shared" si="10"/>
        <v>66.900000000000006</v>
      </c>
      <c r="AI98" s="49">
        <f t="shared" si="11"/>
        <v>64.3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189" t="str">
        <f>IF(X82=MAX($B$83:$G$83),"PN","")</f>
        <v/>
      </c>
      <c r="Y99" s="96"/>
      <c r="Z99" s="96"/>
      <c r="AA99" s="96"/>
      <c r="AB99" s="221"/>
      <c r="AC99" s="221"/>
      <c r="AD99" s="221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6.5" thickBot="1" x14ac:dyDescent="0.3">
      <c r="A100" s="99" t="s">
        <v>105</v>
      </c>
      <c r="B100" s="100">
        <f t="shared" ref="B100:W100" si="22">SUM(B15,B20,B22:B23,B48,B50:B51,B53,B55,B101:B105,B127,B133,B139,B148,B150,B162,B169,B172:B173,B180,B182,B184,B188:B190,B192:B194,B199,B205:B206,B208:B210,B218,B223)</f>
        <v>46.600000000000009</v>
      </c>
      <c r="C100" s="100">
        <f t="shared" si="22"/>
        <v>34.539999999999992</v>
      </c>
      <c r="D100" s="100">
        <f t="shared" si="22"/>
        <v>30.339999999999989</v>
      </c>
      <c r="E100" s="100">
        <f t="shared" si="22"/>
        <v>33.840000000000011</v>
      </c>
      <c r="F100" s="100">
        <f t="shared" si="22"/>
        <v>45.039999999999985</v>
      </c>
      <c r="G100" s="100">
        <f t="shared" si="22"/>
        <v>55.739999999999995</v>
      </c>
      <c r="H100" s="100">
        <f t="shared" si="22"/>
        <v>81.440000000000026</v>
      </c>
      <c r="I100" s="100">
        <f t="shared" si="22"/>
        <v>110.34</v>
      </c>
      <c r="J100" s="100">
        <f t="shared" si="22"/>
        <v>137.24</v>
      </c>
      <c r="K100" s="100">
        <f t="shared" si="22"/>
        <v>145.04</v>
      </c>
      <c r="L100" s="100">
        <f t="shared" si="22"/>
        <v>180.54</v>
      </c>
      <c r="M100" s="100">
        <f t="shared" si="22"/>
        <v>200.03999999999996</v>
      </c>
      <c r="N100" s="100">
        <f t="shared" si="22"/>
        <v>209.74</v>
      </c>
      <c r="O100" s="100">
        <f t="shared" si="22"/>
        <v>188.04</v>
      </c>
      <c r="P100" s="100">
        <f t="shared" si="22"/>
        <v>146.63999999999999</v>
      </c>
      <c r="Q100" s="100">
        <f t="shared" si="22"/>
        <v>136.30000000000001</v>
      </c>
      <c r="R100" s="100">
        <f t="shared" si="22"/>
        <v>127.20000000000003</v>
      </c>
      <c r="S100" s="100">
        <f t="shared" si="22"/>
        <v>111.60000000000002</v>
      </c>
      <c r="T100" s="100">
        <f t="shared" si="22"/>
        <v>-21.300000000000015</v>
      </c>
      <c r="U100" s="100">
        <f t="shared" si="22"/>
        <v>120.8</v>
      </c>
      <c r="V100" s="100">
        <f t="shared" si="22"/>
        <v>120.8</v>
      </c>
      <c r="W100" s="100">
        <f t="shared" si="22"/>
        <v>215.06</v>
      </c>
      <c r="X100" s="190">
        <f>SUM(X145,X101:X105,X12,X18,X23,X29,X31,X48,X50:X51,X53,X55)</f>
        <v>297.89999999999998</v>
      </c>
      <c r="Y100" s="100">
        <f t="shared" ref="Y100:AF100" si="23">SUM(Y15,Y20,Y22:Y23,Y48,Y50:Y51,Y53,Y55,Y101:Y105,Y127,Y133,Y139,Y148,Y150,Y162,Y169,Y172:Y173,Y180,Y182,Y184,Y188:Y190,Y192:Y194,Y199,Y205:Y206,Y208:Y210,Y218,Y223)</f>
        <v>227.6</v>
      </c>
      <c r="Z100" s="100">
        <f t="shared" si="23"/>
        <v>222.8</v>
      </c>
      <c r="AA100" s="100">
        <f t="shared" si="23"/>
        <v>194.49999999999997</v>
      </c>
      <c r="AB100" s="222">
        <f t="shared" si="23"/>
        <v>183.10000000000002</v>
      </c>
      <c r="AC100" s="222">
        <f t="shared" si="23"/>
        <v>142.00000000000003</v>
      </c>
      <c r="AD100" s="222">
        <f t="shared" si="23"/>
        <v>128.1</v>
      </c>
      <c r="AE100" s="100">
        <f t="shared" si="23"/>
        <v>105.49999999999999</v>
      </c>
      <c r="AF100" s="100">
        <f t="shared" si="23"/>
        <v>80.7</v>
      </c>
      <c r="AG100" s="101"/>
      <c r="AH100" s="48">
        <f t="shared" si="10"/>
        <v>297.89999999999998</v>
      </c>
      <c r="AI100" s="49">
        <f t="shared" si="11"/>
        <v>-21.300000000000015</v>
      </c>
    </row>
    <row r="101" spans="1:37" x14ac:dyDescent="0.25">
      <c r="A101" s="88" t="s">
        <v>106</v>
      </c>
      <c r="B101" s="102">
        <v>38.9</v>
      </c>
      <c r="C101" s="102">
        <v>37.1</v>
      </c>
      <c r="D101" s="102">
        <v>37.1</v>
      </c>
      <c r="E101" s="102">
        <v>38</v>
      </c>
      <c r="F101" s="102">
        <v>38.9</v>
      </c>
      <c r="G101" s="102">
        <v>41.2</v>
      </c>
      <c r="H101" s="102">
        <v>44.2</v>
      </c>
      <c r="I101" s="102">
        <v>48</v>
      </c>
      <c r="J101" s="102">
        <v>52.1</v>
      </c>
      <c r="K101" s="102">
        <v>39</v>
      </c>
      <c r="L101" s="102">
        <v>41.9</v>
      </c>
      <c r="M101" s="102">
        <v>45.8</v>
      </c>
      <c r="N101" s="102">
        <v>50</v>
      </c>
      <c r="O101" s="102">
        <v>44.9</v>
      </c>
      <c r="P101" s="102">
        <v>48.5</v>
      </c>
      <c r="Q101" s="102">
        <v>47.1</v>
      </c>
      <c r="R101" s="102">
        <v>44.4</v>
      </c>
      <c r="S101" s="102">
        <v>43.3</v>
      </c>
      <c r="T101" s="102">
        <v>44.1</v>
      </c>
      <c r="U101" s="102">
        <v>40</v>
      </c>
      <c r="V101" s="102">
        <v>40</v>
      </c>
      <c r="W101" s="102">
        <v>45.3</v>
      </c>
      <c r="X101" s="191">
        <v>47.6</v>
      </c>
      <c r="Y101" s="102">
        <v>55.6</v>
      </c>
      <c r="Z101" s="102">
        <v>51.3</v>
      </c>
      <c r="AA101" s="102">
        <v>51.8</v>
      </c>
      <c r="AB101" s="223">
        <v>53.2</v>
      </c>
      <c r="AC101" s="223">
        <v>46.8</v>
      </c>
      <c r="AD101" s="223">
        <v>47.5</v>
      </c>
      <c r="AE101" s="102">
        <v>49.4</v>
      </c>
      <c r="AF101" s="102">
        <v>43.2</v>
      </c>
      <c r="AG101" s="103">
        <v>75</v>
      </c>
      <c r="AH101" s="48">
        <f t="shared" si="10"/>
        <v>55.6</v>
      </c>
      <c r="AI101" s="49">
        <f t="shared" si="11"/>
        <v>37.1</v>
      </c>
    </row>
    <row r="102" spans="1:37" x14ac:dyDescent="0.25">
      <c r="A102" s="91" t="s">
        <v>107</v>
      </c>
      <c r="B102" s="104">
        <v>60.2</v>
      </c>
      <c r="C102" s="104">
        <v>58.6</v>
      </c>
      <c r="D102" s="104">
        <v>57.7</v>
      </c>
      <c r="E102" s="104">
        <v>58.7</v>
      </c>
      <c r="F102" s="104">
        <v>59.2</v>
      </c>
      <c r="G102" s="104">
        <v>63.7</v>
      </c>
      <c r="H102" s="104">
        <v>68</v>
      </c>
      <c r="I102" s="104">
        <v>72</v>
      </c>
      <c r="J102" s="104">
        <v>79.5</v>
      </c>
      <c r="K102" s="104">
        <v>62</v>
      </c>
      <c r="L102" s="104">
        <v>65.599999999999994</v>
      </c>
      <c r="M102" s="104">
        <v>70.5</v>
      </c>
      <c r="N102" s="104">
        <v>76.7</v>
      </c>
      <c r="O102" s="104">
        <v>69.3</v>
      </c>
      <c r="P102" s="104">
        <v>77</v>
      </c>
      <c r="Q102" s="104">
        <v>74.400000000000006</v>
      </c>
      <c r="R102" s="104">
        <v>70.3</v>
      </c>
      <c r="S102" s="104">
        <v>69.599999999999994</v>
      </c>
      <c r="T102" s="104">
        <v>-73.2</v>
      </c>
      <c r="U102" s="104">
        <v>65</v>
      </c>
      <c r="V102" s="104">
        <v>65</v>
      </c>
      <c r="W102" s="104">
        <f>25.1+27.06</f>
        <v>52.16</v>
      </c>
      <c r="X102" s="192">
        <v>67.099999999999994</v>
      </c>
      <c r="Y102" s="104">
        <v>81.400000000000006</v>
      </c>
      <c r="Z102" s="104">
        <v>75</v>
      </c>
      <c r="AA102" s="104">
        <v>77.7</v>
      </c>
      <c r="AB102" s="224">
        <v>78.599999999999994</v>
      </c>
      <c r="AC102" s="224">
        <v>67.099999999999994</v>
      </c>
      <c r="AD102" s="224">
        <v>67.599999999999994</v>
      </c>
      <c r="AE102" s="104">
        <v>70</v>
      </c>
      <c r="AF102" s="104">
        <v>62.5</v>
      </c>
      <c r="AG102" s="103">
        <v>240</v>
      </c>
      <c r="AH102" s="48">
        <f t="shared" si="10"/>
        <v>81.400000000000006</v>
      </c>
      <c r="AI102" s="49">
        <f t="shared" si="11"/>
        <v>-73.2</v>
      </c>
    </row>
    <row r="103" spans="1:37" x14ac:dyDescent="0.25">
      <c r="A103" s="91" t="s">
        <v>108</v>
      </c>
      <c r="B103" s="104">
        <f>-65-69</f>
        <v>-134</v>
      </c>
      <c r="C103" s="104">
        <f>-68-72</f>
        <v>-140</v>
      </c>
      <c r="D103" s="104">
        <f>-68-73</f>
        <v>-141</v>
      </c>
      <c r="E103" s="104">
        <v>-144</v>
      </c>
      <c r="F103" s="104">
        <v>-135</v>
      </c>
      <c r="G103" s="104">
        <v>-153</v>
      </c>
      <c r="H103" s="104">
        <v>-138</v>
      </c>
      <c r="I103" s="104">
        <v>-134</v>
      </c>
      <c r="J103" s="104">
        <v>-129</v>
      </c>
      <c r="K103" s="104">
        <v>-90</v>
      </c>
      <c r="L103" s="104">
        <v>-65</v>
      </c>
      <c r="M103" s="104">
        <v>-60</v>
      </c>
      <c r="N103" s="104">
        <v>-70</v>
      </c>
      <c r="O103" s="104">
        <v>-76.599999999999994</v>
      </c>
      <c r="P103" s="104">
        <v>-121</v>
      </c>
      <c r="Q103" s="104">
        <f>-60.7-64.5</f>
        <v>-125.2</v>
      </c>
      <c r="R103" s="104">
        <f>-57.6-62.1</f>
        <v>-119.7</v>
      </c>
      <c r="S103" s="104">
        <f>-65.9-64.3</f>
        <v>-130.19999999999999</v>
      </c>
      <c r="T103" s="104">
        <f>-64.2-68.7</f>
        <v>-132.9</v>
      </c>
      <c r="U103" s="104">
        <v>-125</v>
      </c>
      <c r="V103" s="104">
        <v>-125</v>
      </c>
      <c r="W103" s="104">
        <f>-25.1-27.6</f>
        <v>-52.7</v>
      </c>
      <c r="X103" s="193">
        <f>-17.8-19</f>
        <v>-36.799999999999997</v>
      </c>
      <c r="Y103" s="104">
        <f>-39.7-34.7</f>
        <v>-74.400000000000006</v>
      </c>
      <c r="Z103" s="104">
        <f>-33.1-35.3</f>
        <v>-68.400000000000006</v>
      </c>
      <c r="AA103" s="104">
        <f>-47.2-50.9</f>
        <v>-98.1</v>
      </c>
      <c r="AB103" s="224">
        <f>-54-58</f>
        <v>-112</v>
      </c>
      <c r="AC103" s="224">
        <f>-56-61</f>
        <v>-117</v>
      </c>
      <c r="AD103" s="224">
        <f>-58-63</f>
        <v>-121</v>
      </c>
      <c r="AE103" s="104">
        <f>-65-69</f>
        <v>-134</v>
      </c>
      <c r="AF103" s="104">
        <f>-62-67</f>
        <v>-129</v>
      </c>
      <c r="AG103" s="103">
        <v>240</v>
      </c>
      <c r="AH103" s="48">
        <f t="shared" si="10"/>
        <v>-36.799999999999997</v>
      </c>
      <c r="AI103" s="49">
        <f t="shared" si="11"/>
        <v>-153</v>
      </c>
    </row>
    <row r="104" spans="1:37" x14ac:dyDescent="0.25">
      <c r="A104" s="91" t="s">
        <v>109</v>
      </c>
      <c r="B104" s="104">
        <v>-8.6999999999999993</v>
      </c>
      <c r="C104" s="104">
        <v>-12</v>
      </c>
      <c r="D104" s="104">
        <v>-14.3</v>
      </c>
      <c r="E104" s="104">
        <v>-14.4</v>
      </c>
      <c r="F104" s="104">
        <v>-13.6</v>
      </c>
      <c r="G104" s="104">
        <v>-11.2</v>
      </c>
      <c r="H104" s="104">
        <v>-7.6</v>
      </c>
      <c r="I104" s="104">
        <v>-6</v>
      </c>
      <c r="J104" s="104">
        <v>-5.2</v>
      </c>
      <c r="K104" s="104">
        <v>2</v>
      </c>
      <c r="L104" s="104">
        <v>6</v>
      </c>
      <c r="M104" s="104">
        <v>5.5</v>
      </c>
      <c r="N104" s="104">
        <v>8.3000000000000007</v>
      </c>
      <c r="O104" s="104">
        <v>5.7</v>
      </c>
      <c r="P104" s="104">
        <v>0</v>
      </c>
      <c r="Q104" s="104">
        <v>-1.5</v>
      </c>
      <c r="R104" s="104">
        <v>0</v>
      </c>
      <c r="S104" s="104">
        <v>-3.1</v>
      </c>
      <c r="T104" s="104">
        <v>-1.3</v>
      </c>
      <c r="U104" s="104">
        <v>-1.2</v>
      </c>
      <c r="V104" s="104">
        <v>-1.2</v>
      </c>
      <c r="W104" s="104">
        <v>13.3</v>
      </c>
      <c r="X104" s="193">
        <v>17</v>
      </c>
      <c r="Y104" s="104">
        <v>15</v>
      </c>
      <c r="Z104" s="104">
        <v>14.9</v>
      </c>
      <c r="AA104" s="104">
        <v>13.5</v>
      </c>
      <c r="AB104" s="224">
        <v>14</v>
      </c>
      <c r="AC104" s="224">
        <v>7.8</v>
      </c>
      <c r="AD104" s="224">
        <v>6.7</v>
      </c>
      <c r="AE104" s="104">
        <v>1.2</v>
      </c>
      <c r="AF104" s="104">
        <v>1.3</v>
      </c>
      <c r="AG104" s="103">
        <v>60</v>
      </c>
      <c r="AH104" s="48">
        <f t="shared" si="10"/>
        <v>17</v>
      </c>
      <c r="AI104" s="49">
        <f t="shared" si="11"/>
        <v>-14.4</v>
      </c>
    </row>
    <row r="105" spans="1:37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93">
        <v>0</v>
      </c>
      <c r="Y105" s="106">
        <v>0</v>
      </c>
      <c r="Z105" s="106">
        <v>0</v>
      </c>
      <c r="AA105" s="106">
        <v>0</v>
      </c>
      <c r="AB105" s="225">
        <v>0</v>
      </c>
      <c r="AC105" s="225">
        <v>0</v>
      </c>
      <c r="AD105" s="225">
        <v>0</v>
      </c>
      <c r="AE105" s="106">
        <v>0</v>
      </c>
      <c r="AF105" s="106">
        <v>0</v>
      </c>
      <c r="AG105" s="107">
        <v>120</v>
      </c>
      <c r="AH105" s="48">
        <f t="shared" si="10"/>
        <v>0</v>
      </c>
      <c r="AI105" s="49">
        <f t="shared" si="11"/>
        <v>0</v>
      </c>
    </row>
    <row r="106" spans="1:37" x14ac:dyDescent="0.25">
      <c r="A106" s="105" t="s">
        <v>111</v>
      </c>
      <c r="B106" s="106">
        <v>-18.100000000000001</v>
      </c>
      <c r="C106" s="106">
        <v>-22.9</v>
      </c>
      <c r="D106" s="106">
        <v>-22</v>
      </c>
      <c r="E106" s="106">
        <v>-31.4</v>
      </c>
      <c r="F106" s="106">
        <v>-28.7</v>
      </c>
      <c r="G106" s="106">
        <v>-39.5</v>
      </c>
      <c r="H106" s="106">
        <v>-36.6</v>
      </c>
      <c r="I106" s="106">
        <v>-32</v>
      </c>
      <c r="J106" s="106">
        <v>-27</v>
      </c>
      <c r="K106" s="106">
        <v>17</v>
      </c>
      <c r="L106" s="106">
        <v>24.9</v>
      </c>
      <c r="M106" s="106">
        <v>20.5</v>
      </c>
      <c r="N106" s="106">
        <v>7.6</v>
      </c>
      <c r="O106" s="106">
        <v>2.5</v>
      </c>
      <c r="P106" s="106">
        <v>-30.5</v>
      </c>
      <c r="Q106" s="106">
        <v>-35.799999999999997</v>
      </c>
      <c r="R106" s="106">
        <v>-34.5</v>
      </c>
      <c r="S106" s="106">
        <v>-39.1</v>
      </c>
      <c r="T106" s="106">
        <v>-41.9</v>
      </c>
      <c r="U106" s="106">
        <v>-34</v>
      </c>
      <c r="V106" s="106">
        <v>-34</v>
      </c>
      <c r="W106" s="106">
        <v>-22.2</v>
      </c>
      <c r="X106" s="194">
        <v>32.6</v>
      </c>
      <c r="Y106" s="106">
        <v>0.1</v>
      </c>
      <c r="Z106" s="106">
        <v>-0.9</v>
      </c>
      <c r="AA106" s="106">
        <v>-24.4</v>
      </c>
      <c r="AB106" s="225">
        <v>-29.8</v>
      </c>
      <c r="AC106" s="225">
        <v>-34.200000000000003</v>
      </c>
      <c r="AD106" s="225">
        <v>-36.4</v>
      </c>
      <c r="AE106" s="106">
        <v>-51.8</v>
      </c>
      <c r="AF106" s="106">
        <v>-46.9</v>
      </c>
      <c r="AG106" s="107"/>
      <c r="AH106" s="48">
        <f t="shared" si="10"/>
        <v>32.6</v>
      </c>
      <c r="AI106" s="49">
        <f t="shared" si="11"/>
        <v>-51.8</v>
      </c>
    </row>
    <row r="107" spans="1:37" x14ac:dyDescent="0.25">
      <c r="A107" s="105" t="s">
        <v>112</v>
      </c>
      <c r="B107" s="106">
        <v>-11.6</v>
      </c>
      <c r="C107" s="106">
        <v>-17</v>
      </c>
      <c r="D107" s="106">
        <v>-15.3</v>
      </c>
      <c r="E107" s="106">
        <v>-21.6</v>
      </c>
      <c r="F107" s="106">
        <v>-19.2</v>
      </c>
      <c r="G107" s="106">
        <v>-22.9</v>
      </c>
      <c r="H107" s="106">
        <v>-14.6</v>
      </c>
      <c r="I107" s="106">
        <v>-13</v>
      </c>
      <c r="J107" s="106">
        <v>-12.4</v>
      </c>
      <c r="K107" s="106">
        <v>22.5</v>
      </c>
      <c r="L107" s="106">
        <v>23.3</v>
      </c>
      <c r="M107" s="106">
        <v>20.100000000000001</v>
      </c>
      <c r="N107" s="106">
        <v>18.5</v>
      </c>
      <c r="O107" s="106">
        <v>19.7</v>
      </c>
      <c r="P107" s="106">
        <v>17.899999999999999</v>
      </c>
      <c r="Q107" s="106">
        <v>15.7</v>
      </c>
      <c r="R107" s="106">
        <v>16.5</v>
      </c>
      <c r="S107" s="106">
        <v>-16.7</v>
      </c>
      <c r="T107" s="106">
        <v>-21.5</v>
      </c>
      <c r="U107" s="106">
        <v>-16</v>
      </c>
      <c r="V107" s="106">
        <v>-16</v>
      </c>
      <c r="W107" s="106">
        <v>-21.7</v>
      </c>
      <c r="X107" s="194">
        <v>20.5</v>
      </c>
      <c r="Y107" s="106">
        <v>18.399999999999999</v>
      </c>
      <c r="Z107" s="106">
        <v>22.2</v>
      </c>
      <c r="AA107" s="106">
        <v>17.399999999999999</v>
      </c>
      <c r="AB107" s="225">
        <v>15.8</v>
      </c>
      <c r="AC107" s="225">
        <v>14</v>
      </c>
      <c r="AD107" s="225">
        <v>-8.5</v>
      </c>
      <c r="AE107" s="106">
        <v>-10.7</v>
      </c>
      <c r="AF107" s="106">
        <v>-11.1</v>
      </c>
      <c r="AG107" s="108"/>
      <c r="AH107" s="48">
        <f t="shared" si="10"/>
        <v>23.3</v>
      </c>
      <c r="AI107" s="49">
        <f t="shared" si="11"/>
        <v>-22.9</v>
      </c>
    </row>
    <row r="108" spans="1:37" x14ac:dyDescent="0.25">
      <c r="A108" s="109" t="s">
        <v>113</v>
      </c>
      <c r="B108" s="94">
        <v>75.099999999999994</v>
      </c>
      <c r="C108" s="94">
        <v>75</v>
      </c>
      <c r="D108" s="94">
        <v>74.599999999999994</v>
      </c>
      <c r="E108" s="94">
        <v>77.099999999999994</v>
      </c>
      <c r="F108" s="94">
        <v>77.099999999999994</v>
      </c>
      <c r="G108" s="94">
        <v>73.400000000000006</v>
      </c>
      <c r="H108" s="94">
        <v>69.900000000000006</v>
      </c>
      <c r="I108" s="94">
        <v>68</v>
      </c>
      <c r="J108" s="94">
        <v>62.2</v>
      </c>
      <c r="K108" s="94">
        <v>58</v>
      </c>
      <c r="L108" s="94">
        <v>52.8</v>
      </c>
      <c r="M108" s="94">
        <v>52.6</v>
      </c>
      <c r="N108" s="94">
        <v>51.9</v>
      </c>
      <c r="O108" s="94">
        <v>59.1</v>
      </c>
      <c r="P108" s="94">
        <v>64.099999999999994</v>
      </c>
      <c r="Q108" s="94">
        <v>66</v>
      </c>
      <c r="R108" s="94">
        <v>66.8</v>
      </c>
      <c r="S108" s="94">
        <v>69.099999999999994</v>
      </c>
      <c r="T108" s="94">
        <v>67.5</v>
      </c>
      <c r="U108" s="94">
        <v>64.5</v>
      </c>
      <c r="V108" s="94">
        <v>64.5</v>
      </c>
      <c r="W108" s="94">
        <v>37.4</v>
      </c>
      <c r="X108" s="195">
        <v>37</v>
      </c>
      <c r="Y108" s="94">
        <v>49.4</v>
      </c>
      <c r="Z108" s="94">
        <v>51.8</v>
      </c>
      <c r="AA108" s="94">
        <v>55.9</v>
      </c>
      <c r="AB108" s="220">
        <v>59.3</v>
      </c>
      <c r="AC108" s="220">
        <v>65.8</v>
      </c>
      <c r="AD108" s="220">
        <v>65.599999999999994</v>
      </c>
      <c r="AE108" s="94">
        <v>70.900000000000006</v>
      </c>
      <c r="AF108" s="94">
        <v>72.7</v>
      </c>
      <c r="AG108" s="108"/>
      <c r="AH108" s="48">
        <f t="shared" si="10"/>
        <v>77.099999999999994</v>
      </c>
      <c r="AI108" s="49">
        <f t="shared" si="11"/>
        <v>37</v>
      </c>
    </row>
    <row r="109" spans="1:37" ht="15.75" thickBot="1" x14ac:dyDescent="0.3">
      <c r="A109" s="109" t="s">
        <v>114</v>
      </c>
      <c r="B109" s="94">
        <v>99.6</v>
      </c>
      <c r="C109" s="94">
        <v>103</v>
      </c>
      <c r="D109" s="94">
        <v>103</v>
      </c>
      <c r="E109" s="94">
        <v>106.7</v>
      </c>
      <c r="F109" s="94">
        <v>102</v>
      </c>
      <c r="G109" s="94">
        <v>109.5</v>
      </c>
      <c r="H109" s="94">
        <v>102.2</v>
      </c>
      <c r="I109" s="94">
        <v>106</v>
      </c>
      <c r="J109" s="94">
        <v>95.6</v>
      </c>
      <c r="K109" s="94">
        <v>45</v>
      </c>
      <c r="L109" s="94">
        <v>43.6</v>
      </c>
      <c r="M109" s="94">
        <v>42.9</v>
      </c>
      <c r="N109" s="94">
        <v>53.6</v>
      </c>
      <c r="O109" s="94">
        <v>54.6</v>
      </c>
      <c r="P109" s="94">
        <v>85</v>
      </c>
      <c r="Q109" s="94">
        <v>91.2</v>
      </c>
      <c r="R109" s="94">
        <v>83.7</v>
      </c>
      <c r="S109" s="94">
        <v>87.8</v>
      </c>
      <c r="T109" s="94">
        <v>92</v>
      </c>
      <c r="U109" s="94">
        <v>90</v>
      </c>
      <c r="V109" s="94">
        <v>90</v>
      </c>
      <c r="W109" s="94">
        <v>38.9</v>
      </c>
      <c r="X109" s="94">
        <v>17</v>
      </c>
      <c r="Y109" s="94">
        <v>55.2</v>
      </c>
      <c r="Z109" s="94">
        <v>51.4</v>
      </c>
      <c r="AA109" s="94">
        <v>73.2</v>
      </c>
      <c r="AB109" s="220">
        <v>80.900000000000006</v>
      </c>
      <c r="AC109" s="220">
        <v>99</v>
      </c>
      <c r="AD109" s="220">
        <v>95</v>
      </c>
      <c r="AE109" s="94">
        <v>103.5</v>
      </c>
      <c r="AF109" s="94">
        <v>99.9</v>
      </c>
      <c r="AG109" s="108"/>
      <c r="AH109" s="48">
        <f t="shared" si="10"/>
        <v>109.5</v>
      </c>
      <c r="AI109" s="49">
        <f t="shared" si="11"/>
        <v>17</v>
      </c>
    </row>
    <row r="110" spans="1:37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211"/>
      <c r="AC110" s="211"/>
      <c r="AD110" s="2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4">SUM(B111:B215)</f>
        <v>0</v>
      </c>
      <c r="C216" s="125">
        <f t="shared" si="24"/>
        <v>0</v>
      </c>
      <c r="D216" s="125">
        <f t="shared" si="24"/>
        <v>0</v>
      </c>
      <c r="E216" s="125">
        <f t="shared" si="24"/>
        <v>0</v>
      </c>
      <c r="F216" s="125">
        <f t="shared" si="24"/>
        <v>0</v>
      </c>
      <c r="G216" s="125">
        <f t="shared" si="24"/>
        <v>0</v>
      </c>
      <c r="H216" s="125">
        <f t="shared" si="24"/>
        <v>0</v>
      </c>
      <c r="I216" s="125">
        <f t="shared" si="24"/>
        <v>0</v>
      </c>
      <c r="J216" s="125">
        <f t="shared" si="24"/>
        <v>0</v>
      </c>
      <c r="K216" s="125">
        <f t="shared" si="24"/>
        <v>0</v>
      </c>
      <c r="L216" s="125">
        <f t="shared" si="24"/>
        <v>0</v>
      </c>
      <c r="M216" s="125">
        <f t="shared" si="24"/>
        <v>0</v>
      </c>
      <c r="N216" s="125">
        <f t="shared" si="24"/>
        <v>0</v>
      </c>
      <c r="O216" s="125">
        <f t="shared" si="24"/>
        <v>0</v>
      </c>
      <c r="P216" s="125">
        <f t="shared" si="24"/>
        <v>0</v>
      </c>
      <c r="Q216" s="125">
        <f t="shared" si="24"/>
        <v>0</v>
      </c>
      <c r="R216" s="125">
        <f t="shared" si="24"/>
        <v>0</v>
      </c>
      <c r="S216" s="125">
        <f t="shared" si="24"/>
        <v>0</v>
      </c>
      <c r="T216" s="125">
        <f t="shared" si="24"/>
        <v>0</v>
      </c>
      <c r="U216" s="125">
        <f t="shared" si="24"/>
        <v>0</v>
      </c>
      <c r="V216" s="125">
        <f t="shared" si="24"/>
        <v>0</v>
      </c>
      <c r="W216" s="125">
        <f t="shared" si="24"/>
        <v>0</v>
      </c>
      <c r="X216" s="125">
        <f t="shared" si="24"/>
        <v>0</v>
      </c>
      <c r="Y216" s="125">
        <f t="shared" si="24"/>
        <v>0</v>
      </c>
      <c r="Z216" s="125">
        <f t="shared" si="24"/>
        <v>0</v>
      </c>
      <c r="AA216" s="125">
        <f t="shared" si="24"/>
        <v>0</v>
      </c>
      <c r="AB216" s="125">
        <f t="shared" si="24"/>
        <v>0</v>
      </c>
      <c r="AC216" s="125">
        <f t="shared" si="24"/>
        <v>0</v>
      </c>
      <c r="AD216" s="125">
        <f t="shared" si="24"/>
        <v>0</v>
      </c>
      <c r="AE216" s="125">
        <f t="shared" si="24"/>
        <v>0</v>
      </c>
      <c r="AF216" s="126">
        <f t="shared" si="24"/>
        <v>0</v>
      </c>
      <c r="AG216" s="127">
        <f t="shared" si="24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5">AF218</f>
        <v>0</v>
      </c>
      <c r="C218" s="129">
        <v>0.3</v>
      </c>
      <c r="D218" s="129">
        <f t="shared" ref="D218:P223" si="26">C218</f>
        <v>0.3</v>
      </c>
      <c r="E218" s="129">
        <f t="shared" si="26"/>
        <v>0.3</v>
      </c>
      <c r="F218" s="129">
        <f t="shared" si="26"/>
        <v>0.3</v>
      </c>
      <c r="G218" s="129">
        <f t="shared" si="26"/>
        <v>0.3</v>
      </c>
      <c r="H218" s="129">
        <f t="shared" si="26"/>
        <v>0.3</v>
      </c>
      <c r="I218" s="129">
        <f t="shared" si="26"/>
        <v>0.3</v>
      </c>
      <c r="J218" s="129">
        <f t="shared" si="26"/>
        <v>0.3</v>
      </c>
      <c r="K218" s="129">
        <f t="shared" si="26"/>
        <v>0.3</v>
      </c>
      <c r="L218" s="129">
        <f t="shared" si="26"/>
        <v>0.3</v>
      </c>
      <c r="M218" s="129">
        <f t="shared" si="26"/>
        <v>0.3</v>
      </c>
      <c r="N218" s="129">
        <f t="shared" si="26"/>
        <v>0.3</v>
      </c>
      <c r="O218" s="129">
        <f t="shared" si="26"/>
        <v>0.3</v>
      </c>
      <c r="P218" s="129">
        <f t="shared" si="26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5"/>
        <v>0</v>
      </c>
      <c r="C219" s="117">
        <v>0.4</v>
      </c>
      <c r="D219" s="117">
        <f t="shared" si="26"/>
        <v>0.4</v>
      </c>
      <c r="E219" s="117">
        <f t="shared" si="26"/>
        <v>0.4</v>
      </c>
      <c r="F219" s="117">
        <f t="shared" si="26"/>
        <v>0.4</v>
      </c>
      <c r="G219" s="117">
        <f t="shared" si="26"/>
        <v>0.4</v>
      </c>
      <c r="H219" s="117">
        <f t="shared" si="26"/>
        <v>0.4</v>
      </c>
      <c r="I219" s="117">
        <f t="shared" si="26"/>
        <v>0.4</v>
      </c>
      <c r="J219" s="117">
        <f t="shared" si="26"/>
        <v>0.4</v>
      </c>
      <c r="K219" s="117">
        <f t="shared" si="26"/>
        <v>0.4</v>
      </c>
      <c r="L219" s="117">
        <f t="shared" si="26"/>
        <v>0.4</v>
      </c>
      <c r="M219" s="117">
        <f t="shared" si="26"/>
        <v>0.4</v>
      </c>
      <c r="N219" s="117">
        <f t="shared" si="26"/>
        <v>0.4</v>
      </c>
      <c r="O219" s="117">
        <f t="shared" si="26"/>
        <v>0.4</v>
      </c>
      <c r="P219" s="117">
        <f t="shared" si="26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5"/>
        <v>0</v>
      </c>
      <c r="C220" s="117">
        <v>1.5</v>
      </c>
      <c r="D220" s="117">
        <f t="shared" si="26"/>
        <v>1.5</v>
      </c>
      <c r="E220" s="117">
        <f t="shared" si="26"/>
        <v>1.5</v>
      </c>
      <c r="F220" s="117">
        <f t="shared" si="26"/>
        <v>1.5</v>
      </c>
      <c r="G220" s="117">
        <f t="shared" si="26"/>
        <v>1.5</v>
      </c>
      <c r="H220" s="117">
        <f t="shared" si="26"/>
        <v>1.5</v>
      </c>
      <c r="I220" s="117">
        <f t="shared" si="26"/>
        <v>1.5</v>
      </c>
      <c r="J220" s="117">
        <f t="shared" si="26"/>
        <v>1.5</v>
      </c>
      <c r="K220" s="117">
        <f t="shared" si="26"/>
        <v>1.5</v>
      </c>
      <c r="L220" s="117">
        <f t="shared" si="26"/>
        <v>1.5</v>
      </c>
      <c r="M220" s="117">
        <f t="shared" si="26"/>
        <v>1.5</v>
      </c>
      <c r="N220" s="117">
        <f t="shared" si="26"/>
        <v>1.5</v>
      </c>
      <c r="O220" s="117">
        <f t="shared" si="26"/>
        <v>1.5</v>
      </c>
      <c r="P220" s="117">
        <f t="shared" si="26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5"/>
        <v>0</v>
      </c>
      <c r="C221" s="117">
        <v>0.3</v>
      </c>
      <c r="D221" s="117">
        <f t="shared" si="26"/>
        <v>0.3</v>
      </c>
      <c r="E221" s="117">
        <f t="shared" si="26"/>
        <v>0.3</v>
      </c>
      <c r="F221" s="117">
        <f t="shared" si="26"/>
        <v>0.3</v>
      </c>
      <c r="G221" s="117">
        <f t="shared" si="26"/>
        <v>0.3</v>
      </c>
      <c r="H221" s="117">
        <f t="shared" si="26"/>
        <v>0.3</v>
      </c>
      <c r="I221" s="117">
        <f t="shared" si="26"/>
        <v>0.3</v>
      </c>
      <c r="J221" s="117">
        <f t="shared" si="26"/>
        <v>0.3</v>
      </c>
      <c r="K221" s="117">
        <f t="shared" si="26"/>
        <v>0.3</v>
      </c>
      <c r="L221" s="117">
        <f t="shared" si="26"/>
        <v>0.3</v>
      </c>
      <c r="M221" s="117">
        <f t="shared" si="26"/>
        <v>0.3</v>
      </c>
      <c r="N221" s="117">
        <f t="shared" si="26"/>
        <v>0.3</v>
      </c>
      <c r="O221" s="117">
        <f t="shared" si="26"/>
        <v>0.3</v>
      </c>
      <c r="P221" s="117">
        <f t="shared" si="26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5"/>
        <v>0</v>
      </c>
      <c r="C222" s="117">
        <v>0.4</v>
      </c>
      <c r="D222" s="117">
        <f t="shared" si="26"/>
        <v>0.4</v>
      </c>
      <c r="E222" s="117">
        <f t="shared" si="26"/>
        <v>0.4</v>
      </c>
      <c r="F222" s="117">
        <f t="shared" si="26"/>
        <v>0.4</v>
      </c>
      <c r="G222" s="117">
        <f t="shared" si="26"/>
        <v>0.4</v>
      </c>
      <c r="H222" s="117">
        <f t="shared" si="26"/>
        <v>0.4</v>
      </c>
      <c r="I222" s="117">
        <f t="shared" si="26"/>
        <v>0.4</v>
      </c>
      <c r="J222" s="117">
        <f t="shared" si="26"/>
        <v>0.4</v>
      </c>
      <c r="K222" s="117">
        <f t="shared" si="26"/>
        <v>0.4</v>
      </c>
      <c r="L222" s="117">
        <f t="shared" si="26"/>
        <v>0.4</v>
      </c>
      <c r="M222" s="117">
        <f t="shared" si="26"/>
        <v>0.4</v>
      </c>
      <c r="N222" s="117">
        <f t="shared" si="26"/>
        <v>0.4</v>
      </c>
      <c r="O222" s="117">
        <f t="shared" si="26"/>
        <v>0.4</v>
      </c>
      <c r="P222" s="117">
        <f t="shared" si="26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5"/>
        <v>0</v>
      </c>
      <c r="C223" s="121">
        <v>0.64</v>
      </c>
      <c r="D223" s="121">
        <f t="shared" si="26"/>
        <v>0.64</v>
      </c>
      <c r="E223" s="121">
        <f t="shared" si="26"/>
        <v>0.64</v>
      </c>
      <c r="F223" s="121">
        <f t="shared" si="26"/>
        <v>0.64</v>
      </c>
      <c r="G223" s="121">
        <f t="shared" si="26"/>
        <v>0.64</v>
      </c>
      <c r="H223" s="121">
        <f t="shared" si="26"/>
        <v>0.64</v>
      </c>
      <c r="I223" s="121">
        <f t="shared" si="26"/>
        <v>0.64</v>
      </c>
      <c r="J223" s="121">
        <f t="shared" si="26"/>
        <v>0.64</v>
      </c>
      <c r="K223" s="121">
        <f t="shared" si="26"/>
        <v>0.64</v>
      </c>
      <c r="L223" s="121">
        <f t="shared" si="26"/>
        <v>0.64</v>
      </c>
      <c r="M223" s="121">
        <f t="shared" si="26"/>
        <v>0.64</v>
      </c>
      <c r="N223" s="121">
        <f t="shared" si="26"/>
        <v>0.64</v>
      </c>
      <c r="O223" s="121">
        <f t="shared" si="26"/>
        <v>0.64</v>
      </c>
      <c r="P223" s="121">
        <f t="shared" si="26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7">SUM(B218:B223)</f>
        <v>0</v>
      </c>
      <c r="C224" s="125">
        <f t="shared" si="27"/>
        <v>3.54</v>
      </c>
      <c r="D224" s="125">
        <f t="shared" si="27"/>
        <v>3.54</v>
      </c>
      <c r="E224" s="125">
        <f t="shared" si="27"/>
        <v>3.54</v>
      </c>
      <c r="F224" s="125">
        <f t="shared" si="27"/>
        <v>3.54</v>
      </c>
      <c r="G224" s="125">
        <f t="shared" si="27"/>
        <v>3.54</v>
      </c>
      <c r="H224" s="125">
        <f t="shared" si="27"/>
        <v>3.54</v>
      </c>
      <c r="I224" s="125">
        <f t="shared" si="27"/>
        <v>3.54</v>
      </c>
      <c r="J224" s="125">
        <f t="shared" si="27"/>
        <v>3.54</v>
      </c>
      <c r="K224" s="125">
        <f t="shared" si="27"/>
        <v>3.54</v>
      </c>
      <c r="L224" s="125">
        <f t="shared" si="27"/>
        <v>3.54</v>
      </c>
      <c r="M224" s="125">
        <f t="shared" si="27"/>
        <v>3.54</v>
      </c>
      <c r="N224" s="125">
        <f t="shared" si="27"/>
        <v>3.54</v>
      </c>
      <c r="O224" s="125">
        <f t="shared" si="27"/>
        <v>3.54</v>
      </c>
      <c r="P224" s="125">
        <f t="shared" si="27"/>
        <v>3.54</v>
      </c>
      <c r="Q224" s="125">
        <f t="shared" si="27"/>
        <v>0</v>
      </c>
      <c r="R224" s="125">
        <f t="shared" si="27"/>
        <v>0</v>
      </c>
      <c r="S224" s="125">
        <f t="shared" si="27"/>
        <v>0</v>
      </c>
      <c r="T224" s="125">
        <f t="shared" si="27"/>
        <v>0</v>
      </c>
      <c r="U224" s="125">
        <f t="shared" si="27"/>
        <v>0</v>
      </c>
      <c r="V224" s="125">
        <f t="shared" si="27"/>
        <v>0</v>
      </c>
      <c r="W224" s="125">
        <f t="shared" si="27"/>
        <v>0</v>
      </c>
      <c r="X224" s="125">
        <f t="shared" si="27"/>
        <v>0</v>
      </c>
      <c r="Y224" s="125">
        <f t="shared" si="27"/>
        <v>0</v>
      </c>
      <c r="Z224" s="125">
        <f t="shared" si="27"/>
        <v>0</v>
      </c>
      <c r="AA224" s="125">
        <f t="shared" si="27"/>
        <v>0</v>
      </c>
      <c r="AB224" s="125">
        <f t="shared" si="27"/>
        <v>0</v>
      </c>
      <c r="AC224" s="125">
        <f t="shared" si="27"/>
        <v>0</v>
      </c>
      <c r="AD224" s="125">
        <f t="shared" si="27"/>
        <v>0</v>
      </c>
      <c r="AE224" s="125">
        <f t="shared" si="27"/>
        <v>0</v>
      </c>
      <c r="AF224" s="125">
        <f t="shared" si="27"/>
        <v>0</v>
      </c>
      <c r="AG224" s="134">
        <f t="shared" si="27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1422.44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3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2079/08/3)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2079/08/3)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8">B81</f>
        <v>1144.94</v>
      </c>
      <c r="U238" s="159">
        <f t="shared" si="28"/>
        <v>1265.6400000000001</v>
      </c>
      <c r="V238" s="159">
        <f t="shared" si="28"/>
        <v>1256.1399999999999</v>
      </c>
      <c r="W238" s="159">
        <f t="shared" si="28"/>
        <v>1230.3400000000001</v>
      </c>
      <c r="X238" s="159">
        <f t="shared" si="28"/>
        <v>1259.04</v>
      </c>
      <c r="Y238" s="159">
        <f t="shared" si="28"/>
        <v>1271.74</v>
      </c>
      <c r="Z238" s="159">
        <f t="shared" si="28"/>
        <v>1310.8400000000001</v>
      </c>
      <c r="AA238" s="159">
        <f t="shared" si="28"/>
        <v>1350.64</v>
      </c>
      <c r="AB238" s="159">
        <f t="shared" si="28"/>
        <v>1337.24</v>
      </c>
      <c r="AC238" s="159">
        <f t="shared" si="28"/>
        <v>1379.6399999999999</v>
      </c>
      <c r="AD238" s="159">
        <f t="shared" si="28"/>
        <v>1422.44</v>
      </c>
      <c r="AE238" s="159">
        <f t="shared" si="28"/>
        <v>1413.6399999999999</v>
      </c>
      <c r="AF238" s="159">
        <f t="shared" si="28"/>
        <v>1321.3400000000001</v>
      </c>
      <c r="AG238" s="159">
        <f t="shared" si="28"/>
        <v>1311.14</v>
      </c>
      <c r="AH238" s="159">
        <f t="shared" si="28"/>
        <v>1307.6400000000001</v>
      </c>
      <c r="AI238" s="159">
        <f t="shared" si="28"/>
        <v>1264.8399999999999</v>
      </c>
      <c r="AJ238" s="159">
        <f t="shared" si="28"/>
        <v>1233.04</v>
      </c>
      <c r="AK238" s="159">
        <f t="shared" si="28"/>
        <v>1161.74</v>
      </c>
      <c r="AL238" s="159">
        <f t="shared" si="28"/>
        <v>1182.8400000000001</v>
      </c>
      <c r="AM238" s="159">
        <f t="shared" si="28"/>
        <v>1182.8400000000001</v>
      </c>
      <c r="AN238" s="159">
        <f t="shared" si="28"/>
        <v>1304.74</v>
      </c>
      <c r="AO238" s="159">
        <f t="shared" si="28"/>
        <v>1492.54</v>
      </c>
      <c r="AP238" s="159">
        <f t="shared" si="28"/>
        <v>1543.8400000000001</v>
      </c>
      <c r="AQ238" s="159">
        <f t="shared" si="28"/>
        <v>1543.8400000000001</v>
      </c>
      <c r="AR238" s="159">
        <f t="shared" si="28"/>
        <v>1393.84</v>
      </c>
      <c r="AS238" s="159">
        <f t="shared" si="28"/>
        <v>1341.3400000000001</v>
      </c>
      <c r="AT238" s="159">
        <f t="shared" si="28"/>
        <v>1329.64</v>
      </c>
      <c r="AU238" s="159">
        <f t="shared" si="28"/>
        <v>1313.64</v>
      </c>
      <c r="AV238" s="159">
        <f t="shared" si="28"/>
        <v>1281.6399999999999</v>
      </c>
      <c r="AW238" s="159">
        <f t="shared" si="28"/>
        <v>1254.44</v>
      </c>
      <c r="AX238" s="159">
        <f t="shared" si="28"/>
        <v>1174.74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9">C223</f>
        <v>0.64</v>
      </c>
      <c r="C259" s="162">
        <f t="shared" si="29"/>
        <v>0.64</v>
      </c>
      <c r="D259" s="162">
        <f t="shared" si="29"/>
        <v>0.64</v>
      </c>
      <c r="E259" s="162">
        <f t="shared" si="29"/>
        <v>0.64</v>
      </c>
      <c r="F259" s="162">
        <f t="shared" si="29"/>
        <v>0.64</v>
      </c>
      <c r="G259" s="162">
        <f t="shared" si="29"/>
        <v>0.64</v>
      </c>
      <c r="H259" s="162">
        <f t="shared" si="29"/>
        <v>0.64</v>
      </c>
      <c r="I259" s="162">
        <f t="shared" si="29"/>
        <v>0.64</v>
      </c>
      <c r="J259" s="162">
        <f t="shared" si="29"/>
        <v>0.64</v>
      </c>
      <c r="K259" s="162">
        <f t="shared" si="29"/>
        <v>0.64</v>
      </c>
      <c r="L259" s="162">
        <f t="shared" si="29"/>
        <v>0.64</v>
      </c>
      <c r="M259" s="162">
        <f t="shared" si="29"/>
        <v>0.64</v>
      </c>
      <c r="N259" s="162">
        <f t="shared" si="29"/>
        <v>0.64</v>
      </c>
      <c r="O259" s="162">
        <f t="shared" si="29"/>
        <v>0.64</v>
      </c>
      <c r="P259" s="162">
        <f t="shared" si="29"/>
        <v>0</v>
      </c>
      <c r="Q259" s="162">
        <f t="shared" si="29"/>
        <v>0</v>
      </c>
      <c r="R259" s="162">
        <f t="shared" si="29"/>
        <v>0</v>
      </c>
      <c r="S259" s="162">
        <f t="shared" si="29"/>
        <v>0</v>
      </c>
      <c r="T259" s="162">
        <f t="shared" si="29"/>
        <v>0</v>
      </c>
      <c r="U259" s="162">
        <f t="shared" si="29"/>
        <v>0</v>
      </c>
      <c r="V259" s="162">
        <f t="shared" si="29"/>
        <v>0</v>
      </c>
      <c r="W259" s="162">
        <f t="shared" si="29"/>
        <v>0</v>
      </c>
      <c r="X259" s="162">
        <f t="shared" si="29"/>
        <v>0</v>
      </c>
      <c r="Y259" s="162">
        <f t="shared" si="29"/>
        <v>0</v>
      </c>
      <c r="Z259" s="162">
        <f t="shared" si="29"/>
        <v>0</v>
      </c>
      <c r="AA259" s="162">
        <f t="shared" si="29"/>
        <v>0</v>
      </c>
      <c r="AB259" s="162">
        <f t="shared" si="29"/>
        <v>0</v>
      </c>
      <c r="AC259" s="162">
        <f t="shared" si="29"/>
        <v>0</v>
      </c>
      <c r="AD259" s="162">
        <f t="shared" si="29"/>
        <v>0</v>
      </c>
      <c r="AE259" s="162">
        <f t="shared" si="29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30">IF(B227&lt;100,"",B227-520)</f>
        <v/>
      </c>
      <c r="C260" s="163" t="str">
        <f t="shared" si="30"/>
        <v/>
      </c>
      <c r="D260" s="163" t="str">
        <f t="shared" si="30"/>
        <v/>
      </c>
      <c r="E260" s="163" t="str">
        <f t="shared" si="30"/>
        <v/>
      </c>
      <c r="F260" s="163" t="str">
        <f t="shared" si="30"/>
        <v/>
      </c>
      <c r="G260" s="163" t="str">
        <f t="shared" si="30"/>
        <v/>
      </c>
      <c r="H260" s="163" t="str">
        <f t="shared" si="30"/>
        <v/>
      </c>
      <c r="I260" s="163" t="str">
        <f t="shared" si="30"/>
        <v/>
      </c>
      <c r="J260" s="163" t="str">
        <f t="shared" si="30"/>
        <v/>
      </c>
      <c r="K260" s="163" t="str">
        <f t="shared" si="30"/>
        <v/>
      </c>
      <c r="L260" s="163" t="str">
        <f t="shared" si="30"/>
        <v/>
      </c>
      <c r="M260" s="163" t="str">
        <f t="shared" si="30"/>
        <v/>
      </c>
      <c r="N260" s="163" t="str">
        <f t="shared" si="30"/>
        <v/>
      </c>
      <c r="O260" s="163" t="str">
        <f t="shared" si="30"/>
        <v/>
      </c>
      <c r="P260" s="163" t="str">
        <f t="shared" si="30"/>
        <v/>
      </c>
      <c r="Q260" s="163" t="str">
        <f t="shared" si="30"/>
        <v/>
      </c>
      <c r="R260" s="163" t="str">
        <f t="shared" si="30"/>
        <v/>
      </c>
      <c r="S260" s="163" t="str">
        <f t="shared" si="30"/>
        <v/>
      </c>
      <c r="T260" s="163" t="str">
        <f t="shared" si="30"/>
        <v/>
      </c>
      <c r="U260" s="163" t="str">
        <f t="shared" si="30"/>
        <v/>
      </c>
      <c r="V260" s="163" t="str">
        <f t="shared" si="30"/>
        <v/>
      </c>
      <c r="W260" s="163" t="str">
        <f t="shared" si="30"/>
        <v/>
      </c>
      <c r="X260" s="163" t="str">
        <f t="shared" si="30"/>
        <v/>
      </c>
      <c r="Y260" s="163" t="str">
        <f t="shared" si="30"/>
        <v/>
      </c>
      <c r="Z260" s="163" t="str">
        <f t="shared" si="30"/>
        <v/>
      </c>
      <c r="AA260" s="163" t="str">
        <f t="shared" si="30"/>
        <v/>
      </c>
      <c r="AB260" s="163" t="str">
        <f t="shared" si="30"/>
        <v/>
      </c>
      <c r="AC260" s="163" t="str">
        <f t="shared" si="30"/>
        <v/>
      </c>
      <c r="AD260" s="163" t="str">
        <f t="shared" si="30"/>
        <v/>
      </c>
      <c r="AE260" s="163" t="str">
        <f t="shared" si="30"/>
        <v/>
      </c>
      <c r="AF260" s="163" t="str">
        <f t="shared" si="30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1">IF(B228&lt;100,"",B228-620)</f>
        <v/>
      </c>
      <c r="C261" s="163" t="str">
        <f t="shared" si="31"/>
        <v/>
      </c>
      <c r="D261" s="163" t="str">
        <f t="shared" si="31"/>
        <v/>
      </c>
      <c r="E261" s="163" t="str">
        <f t="shared" si="31"/>
        <v/>
      </c>
      <c r="F261" s="163" t="str">
        <f t="shared" si="31"/>
        <v/>
      </c>
      <c r="G261" s="163" t="str">
        <f t="shared" si="31"/>
        <v/>
      </c>
      <c r="H261" s="163" t="str">
        <f t="shared" si="31"/>
        <v/>
      </c>
      <c r="I261" s="163" t="str">
        <f t="shared" si="31"/>
        <v/>
      </c>
      <c r="J261" s="163" t="str">
        <f t="shared" si="31"/>
        <v/>
      </c>
      <c r="K261" s="163" t="str">
        <f t="shared" si="31"/>
        <v/>
      </c>
      <c r="L261" s="163" t="str">
        <f t="shared" si="31"/>
        <v/>
      </c>
      <c r="M261" s="163" t="str">
        <f t="shared" si="31"/>
        <v/>
      </c>
      <c r="N261" s="163" t="str">
        <f t="shared" si="31"/>
        <v/>
      </c>
      <c r="O261" s="163" t="str">
        <f t="shared" si="31"/>
        <v/>
      </c>
      <c r="P261" s="163" t="str">
        <f t="shared" si="31"/>
        <v/>
      </c>
      <c r="Q261" s="163" t="str">
        <f t="shared" si="31"/>
        <v/>
      </c>
      <c r="R261" s="163" t="str">
        <f t="shared" si="31"/>
        <v/>
      </c>
      <c r="S261" s="163" t="str">
        <f t="shared" si="31"/>
        <v/>
      </c>
      <c r="T261" s="163" t="str">
        <f t="shared" si="31"/>
        <v/>
      </c>
      <c r="U261" s="163" t="str">
        <f t="shared" si="31"/>
        <v/>
      </c>
      <c r="V261" s="163" t="str">
        <f t="shared" si="31"/>
        <v/>
      </c>
      <c r="W261" s="163" t="str">
        <f t="shared" si="31"/>
        <v/>
      </c>
      <c r="X261" s="163" t="str">
        <f t="shared" si="31"/>
        <v/>
      </c>
      <c r="Y261" s="163" t="str">
        <f t="shared" si="31"/>
        <v/>
      </c>
      <c r="Z261" s="163" t="str">
        <f t="shared" si="31"/>
        <v/>
      </c>
      <c r="AA261" s="163" t="str">
        <f t="shared" si="31"/>
        <v/>
      </c>
      <c r="AB261" s="163" t="str">
        <f t="shared" si="31"/>
        <v/>
      </c>
      <c r="AC261" s="163" t="str">
        <f t="shared" si="31"/>
        <v/>
      </c>
      <c r="AD261" s="163" t="str">
        <f t="shared" si="31"/>
        <v/>
      </c>
      <c r="AE261" s="163" t="str">
        <f t="shared" si="31"/>
        <v/>
      </c>
      <c r="AF261" s="163" t="str">
        <f t="shared" si="31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2">IF(B229&lt;100,"",B229-330)</f>
        <v/>
      </c>
      <c r="C262" s="163" t="str">
        <f t="shared" si="32"/>
        <v/>
      </c>
      <c r="D262" s="163" t="str">
        <f t="shared" si="32"/>
        <v/>
      </c>
      <c r="E262" s="163" t="str">
        <f t="shared" si="32"/>
        <v/>
      </c>
      <c r="F262" s="163" t="str">
        <f t="shared" si="32"/>
        <v/>
      </c>
      <c r="G262" s="163" t="str">
        <f t="shared" si="32"/>
        <v/>
      </c>
      <c r="H262" s="163" t="str">
        <f t="shared" si="32"/>
        <v/>
      </c>
      <c r="I262" s="163" t="str">
        <f t="shared" si="32"/>
        <v/>
      </c>
      <c r="J262" s="163" t="str">
        <f t="shared" si="32"/>
        <v/>
      </c>
      <c r="K262" s="163" t="str">
        <f t="shared" si="32"/>
        <v/>
      </c>
      <c r="L262" s="163" t="str">
        <f t="shared" si="32"/>
        <v/>
      </c>
      <c r="M262" s="163" t="str">
        <f t="shared" si="32"/>
        <v/>
      </c>
      <c r="N262" s="163" t="str">
        <f t="shared" si="32"/>
        <v/>
      </c>
      <c r="O262" s="163" t="str">
        <f t="shared" si="32"/>
        <v/>
      </c>
      <c r="P262" s="163" t="str">
        <f t="shared" si="32"/>
        <v/>
      </c>
      <c r="Q262" s="163" t="str">
        <f t="shared" si="32"/>
        <v/>
      </c>
      <c r="R262" s="163" t="str">
        <f t="shared" si="32"/>
        <v/>
      </c>
      <c r="S262" s="163" t="str">
        <f t="shared" si="32"/>
        <v/>
      </c>
      <c r="T262" s="163" t="str">
        <f t="shared" si="32"/>
        <v/>
      </c>
      <c r="U262" s="163" t="str">
        <f t="shared" si="32"/>
        <v/>
      </c>
      <c r="V262" s="163" t="str">
        <f t="shared" si="32"/>
        <v/>
      </c>
      <c r="W262" s="163" t="str">
        <f t="shared" si="32"/>
        <v/>
      </c>
      <c r="X262" s="163" t="str">
        <f t="shared" si="32"/>
        <v/>
      </c>
      <c r="Y262" s="163" t="str">
        <f t="shared" si="32"/>
        <v/>
      </c>
      <c r="Z262" s="163" t="str">
        <f t="shared" si="32"/>
        <v/>
      </c>
      <c r="AA262" s="163" t="str">
        <f t="shared" si="32"/>
        <v/>
      </c>
      <c r="AB262" s="163" t="str">
        <f t="shared" si="32"/>
        <v/>
      </c>
      <c r="AC262" s="163" t="str">
        <f t="shared" si="32"/>
        <v/>
      </c>
      <c r="AD262" s="163" t="str">
        <f t="shared" si="32"/>
        <v/>
      </c>
      <c r="AE262" s="163" t="str">
        <f t="shared" si="32"/>
        <v/>
      </c>
      <c r="AF262" s="163" t="str">
        <f t="shared" si="32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3">IF(B230&lt;100,"",B230-1500)</f>
        <v/>
      </c>
      <c r="C263" s="163" t="str">
        <f t="shared" si="33"/>
        <v/>
      </c>
      <c r="D263" s="163" t="str">
        <f t="shared" si="33"/>
        <v/>
      </c>
      <c r="E263" s="163" t="str">
        <f t="shared" si="33"/>
        <v/>
      </c>
      <c r="F263" s="163" t="str">
        <f t="shared" si="33"/>
        <v/>
      </c>
      <c r="G263" s="163" t="str">
        <f t="shared" si="33"/>
        <v/>
      </c>
      <c r="H263" s="163" t="str">
        <f t="shared" si="33"/>
        <v/>
      </c>
      <c r="I263" s="163" t="str">
        <f t="shared" si="33"/>
        <v/>
      </c>
      <c r="J263" s="163" t="str">
        <f t="shared" si="33"/>
        <v/>
      </c>
      <c r="K263" s="163" t="str">
        <f t="shared" si="33"/>
        <v/>
      </c>
      <c r="L263" s="163" t="str">
        <f t="shared" si="33"/>
        <v/>
      </c>
      <c r="M263" s="163" t="str">
        <f t="shared" si="33"/>
        <v/>
      </c>
      <c r="N263" s="163" t="str">
        <f t="shared" si="33"/>
        <v/>
      </c>
      <c r="O263" s="163" t="str">
        <f t="shared" si="33"/>
        <v/>
      </c>
      <c r="P263" s="163" t="str">
        <f t="shared" si="33"/>
        <v/>
      </c>
      <c r="Q263" s="163" t="str">
        <f t="shared" si="33"/>
        <v/>
      </c>
      <c r="R263" s="163" t="str">
        <f t="shared" si="33"/>
        <v/>
      </c>
      <c r="S263" s="163" t="str">
        <f t="shared" si="33"/>
        <v/>
      </c>
      <c r="T263" s="163" t="str">
        <f t="shared" si="33"/>
        <v/>
      </c>
      <c r="U263" s="163" t="str">
        <f t="shared" si="33"/>
        <v/>
      </c>
      <c r="V263" s="163" t="str">
        <f t="shared" si="33"/>
        <v/>
      </c>
      <c r="W263" s="163" t="str">
        <f t="shared" si="33"/>
        <v/>
      </c>
      <c r="X263" s="163" t="str">
        <f t="shared" si="33"/>
        <v/>
      </c>
      <c r="Y263" s="163" t="str">
        <f t="shared" si="33"/>
        <v/>
      </c>
      <c r="Z263" s="163" t="str">
        <f t="shared" si="33"/>
        <v/>
      </c>
      <c r="AA263" s="163" t="str">
        <f t="shared" si="33"/>
        <v/>
      </c>
      <c r="AB263" s="163" t="str">
        <f t="shared" si="33"/>
        <v/>
      </c>
      <c r="AC263" s="163" t="str">
        <f t="shared" si="33"/>
        <v/>
      </c>
      <c r="AD263" s="163" t="str">
        <f t="shared" si="33"/>
        <v/>
      </c>
      <c r="AE263" s="163" t="str">
        <f t="shared" si="33"/>
        <v/>
      </c>
      <c r="AF263" s="163" t="str">
        <f t="shared" si="33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768" priority="55">
      <formula>$AH11=0</formula>
    </cfRule>
  </conditionalFormatting>
  <conditionalFormatting sqref="B8 M8 S8 AB8">
    <cfRule type="expression" dxfId="767" priority="285">
      <formula>AND(C$9&gt;=14/24,C$9&lt;20/24)</formula>
    </cfRule>
    <cfRule type="expression" dxfId="766" priority="286">
      <formula>AND(C$9&gt;=8/24,C$9&lt;14/24)</formula>
    </cfRule>
    <cfRule type="expression" dxfId="765" priority="287">
      <formula>C$9&lt;8/24</formula>
    </cfRule>
  </conditionalFormatting>
  <conditionalFormatting sqref="B45:M47">
    <cfRule type="expression" dxfId="764" priority="166">
      <formula>B$9&lt;8/24</formula>
    </cfRule>
    <cfRule type="expression" dxfId="763" priority="165">
      <formula>AND(B$9&gt;=8/24,B$9&lt;14/24)</formula>
    </cfRule>
    <cfRule type="expression" dxfId="762" priority="164">
      <formula>AND(B$9&gt;=14/24,B$9&lt;20/24)</formula>
    </cfRule>
    <cfRule type="expression" dxfId="761" priority="163">
      <formula>B$9&gt;=20/24</formula>
    </cfRule>
  </conditionalFormatting>
  <conditionalFormatting sqref="B50:Q56 R52:W56">
    <cfRule type="expression" dxfId="760" priority="135">
      <formula>B50&gt;$AG50</formula>
    </cfRule>
    <cfRule type="expression" dxfId="759" priority="139">
      <formula>B$9&lt;8/24</formula>
    </cfRule>
    <cfRule type="expression" dxfId="758" priority="136">
      <formula>B$9&gt;=20/24</formula>
    </cfRule>
    <cfRule type="expression" dxfId="757" priority="137">
      <formula>AND(B$9&gt;=14/24,B$9&lt;20/24)</formula>
    </cfRule>
    <cfRule type="expression" dxfId="756" priority="138">
      <formula>AND(B$9&gt;=8/24,B$9&lt;14/24)</formula>
    </cfRule>
  </conditionalFormatting>
  <conditionalFormatting sqref="B11:W11">
    <cfRule type="expression" dxfId="755" priority="181">
      <formula>AND(B$9&gt;=14/24,B$9&lt;20/24)</formula>
    </cfRule>
    <cfRule type="expression" dxfId="754" priority="182">
      <formula>AND(B$9&gt;=8/24,B$9&lt;14/24)</formula>
    </cfRule>
    <cfRule type="expression" dxfId="753" priority="180">
      <formula>B$9&gt;=20/24</formula>
    </cfRule>
    <cfRule type="expression" dxfId="752" priority="183">
      <formula>B$9&lt;8/24</formula>
    </cfRule>
  </conditionalFormatting>
  <conditionalFormatting sqref="B11:W16">
    <cfRule type="expression" dxfId="751" priority="175">
      <formula>B11&gt;$AG11</formula>
    </cfRule>
  </conditionalFormatting>
  <conditionalFormatting sqref="B12:W15">
    <cfRule type="expression" dxfId="750" priority="145">
      <formula>B$9&gt;=20/24</formula>
    </cfRule>
    <cfRule type="expression" dxfId="749" priority="146">
      <formula>AND(B$9&gt;=14/24,B$9&lt;20/24)</formula>
    </cfRule>
    <cfRule type="expression" dxfId="748" priority="148">
      <formula>B$9&lt;8/24</formula>
    </cfRule>
    <cfRule type="expression" dxfId="747" priority="147">
      <formula>AND(B$9&gt;=8/24,B$9&lt;14/24)</formula>
    </cfRule>
  </conditionalFormatting>
  <conditionalFormatting sqref="B16:W16 B9:AF10 B216:AF216 B218:B224 D218:AF224 U237:AF237">
    <cfRule type="expression" dxfId="746" priority="278">
      <formula>B$9&gt;=20/24</formula>
    </cfRule>
  </conditionalFormatting>
  <conditionalFormatting sqref="B17:W17">
    <cfRule type="expression" dxfId="745" priority="60">
      <formula>B$9&lt;8/24</formula>
    </cfRule>
    <cfRule type="expression" dxfId="744" priority="59">
      <formula>AND(B$9&gt;=8/24,B$9&lt;14/24)</formula>
    </cfRule>
    <cfRule type="expression" dxfId="743" priority="58">
      <formula>AND(B$9&gt;=14/24,B$9&lt;20/24)</formula>
    </cfRule>
    <cfRule type="expression" dxfId="742" priority="57">
      <formula>B$9&gt;=20/24</formula>
    </cfRule>
    <cfRule type="expression" dxfId="741" priority="66">
      <formula>B17&gt;$AG17</formula>
    </cfRule>
  </conditionalFormatting>
  <conditionalFormatting sqref="B18:W18">
    <cfRule type="expression" dxfId="740" priority="272">
      <formula>B18&gt;$AG18</formula>
    </cfRule>
  </conditionalFormatting>
  <conditionalFormatting sqref="B18:W24">
    <cfRule type="expression" dxfId="739" priority="128">
      <formula>AND(B$9&gt;=14/24,B$9&lt;20/24)</formula>
    </cfRule>
    <cfRule type="expression" dxfId="738" priority="130">
      <formula>B$9&lt;8/24</formula>
    </cfRule>
    <cfRule type="expression" dxfId="737" priority="129">
      <formula>AND(B$9&gt;=8/24,B$9&lt;14/24)</formula>
    </cfRule>
    <cfRule type="expression" dxfId="736" priority="127">
      <formula>B$9&gt;=20/24</formula>
    </cfRule>
  </conditionalFormatting>
  <conditionalFormatting sqref="B19:W24">
    <cfRule type="expression" dxfId="735" priority="126">
      <formula>B19&gt;$AG19</formula>
    </cfRule>
  </conditionalFormatting>
  <conditionalFormatting sqref="B25:W27 B29:W29 B59:W62 Y62:AG62 Y79:AG79 Y80:AF81">
    <cfRule type="expression" dxfId="734" priority="159">
      <formula>AND(B$9&gt;=14/24,B$9&lt;20/24)</formula>
    </cfRule>
    <cfRule type="expression" dxfId="733" priority="158">
      <formula>B$9&gt;=20/24</formula>
    </cfRule>
    <cfRule type="expression" dxfId="732" priority="161">
      <formula>B$9&lt;8/24</formula>
    </cfRule>
    <cfRule type="expression" dxfId="731" priority="160">
      <formula>AND(B$9&gt;=8/24,B$9&lt;14/24)</formula>
    </cfRule>
  </conditionalFormatting>
  <conditionalFormatting sqref="B25:W29 Y40:AG40 B45:R49 Y57:AG58 B57:W62 Y62:AG62">
    <cfRule type="expression" dxfId="730" priority="153">
      <formula>B25&gt;$AG25</formula>
    </cfRule>
  </conditionalFormatting>
  <conditionalFormatting sqref="B28:W28">
    <cfRule type="expression" dxfId="729" priority="133">
      <formula>AND(B$9&gt;=8/24,B$9&lt;14/24)</formula>
    </cfRule>
    <cfRule type="expression" dxfId="728" priority="132">
      <formula>AND(B$9&gt;=14/24,B$9&lt;20/24)</formula>
    </cfRule>
    <cfRule type="expression" dxfId="727" priority="134">
      <formula>B$9&lt;8/24</formula>
    </cfRule>
    <cfRule type="expression" dxfId="726" priority="131">
      <formula>B$9&gt;=20/24</formula>
    </cfRule>
  </conditionalFormatting>
  <conditionalFormatting sqref="B30:W36">
    <cfRule type="expression" dxfId="725" priority="40">
      <formula>B30&gt;$AG30</formula>
    </cfRule>
  </conditionalFormatting>
  <conditionalFormatting sqref="B30:W37">
    <cfRule type="expression" dxfId="724" priority="41">
      <formula>B$9&gt;=20/24</formula>
    </cfRule>
    <cfRule type="expression" dxfId="723" priority="42">
      <formula>AND(B$9&gt;=14/24,B$9&lt;20/24)</formula>
    </cfRule>
    <cfRule type="expression" dxfId="722" priority="44">
      <formula>B$9&lt;8/24</formula>
    </cfRule>
    <cfRule type="expression" dxfId="721" priority="43">
      <formula>AND(B$9&gt;=8/24,B$9&lt;14/24)</formula>
    </cfRule>
  </conditionalFormatting>
  <conditionalFormatting sqref="B37:W44 Y44:AG44">
    <cfRule type="expression" dxfId="720" priority="107">
      <formula>B37&gt;$AG37</formula>
    </cfRule>
  </conditionalFormatting>
  <conditionalFormatting sqref="B38:W39">
    <cfRule type="expression" dxfId="719" priority="168">
      <formula>AND(B$9&gt;=14/24,B$9&lt;20/24)</formula>
    </cfRule>
    <cfRule type="expression" dxfId="718" priority="167">
      <formula>B$9&gt;=20/24</formula>
    </cfRule>
    <cfRule type="expression" dxfId="717" priority="169">
      <formula>AND(B$9&gt;=8/24,B$9&lt;14/24)</formula>
    </cfRule>
    <cfRule type="expression" dxfId="716" priority="170">
      <formula>B$9&lt;8/24</formula>
    </cfRule>
  </conditionalFormatting>
  <conditionalFormatting sqref="B41:W44 Y44:AG44">
    <cfRule type="expression" dxfId="715" priority="109">
      <formula>AND(B$9&gt;=14/24,B$9&lt;20/24)</formula>
    </cfRule>
    <cfRule type="expression" dxfId="714" priority="108">
      <formula>B$9&gt;=20/24</formula>
    </cfRule>
    <cfRule type="expression" dxfId="713" priority="110">
      <formula>AND(B$9&gt;=8/24,B$9&lt;14/24)</formula>
    </cfRule>
    <cfRule type="expression" dxfId="712" priority="111">
      <formula>B$9&lt;8/24</formula>
    </cfRule>
  </conditionalFormatting>
  <conditionalFormatting sqref="B63:W81">
    <cfRule type="expression" dxfId="711" priority="34">
      <formula>AND(B$9&gt;=8/24,B$9&lt;14/24)</formula>
    </cfRule>
    <cfRule type="expression" dxfId="710" priority="33">
      <formula>AND(B$9&gt;=14/24,B$9&lt;20/24)</formula>
    </cfRule>
    <cfRule type="expression" dxfId="709" priority="32">
      <formula>B$9&gt;=20/24</formula>
    </cfRule>
    <cfRule type="expression" dxfId="708" priority="35">
      <formula>B$9&lt;8/24</formula>
    </cfRule>
  </conditionalFormatting>
  <conditionalFormatting sqref="B83:W99">
    <cfRule type="expression" dxfId="703" priority="99">
      <formula>B$9&gt;=20/24</formula>
    </cfRule>
    <cfRule type="expression" dxfId="702" priority="100">
      <formula>AND(B$9&gt;=14/24,B$9&lt;20/24)</formula>
    </cfRule>
    <cfRule type="expression" dxfId="701" priority="101">
      <formula>AND(B$9&gt;=8/24,B$9&lt;14/24)</formula>
    </cfRule>
    <cfRule type="expression" dxfId="700" priority="102">
      <formula>B$9&lt;8/24</formula>
    </cfRule>
  </conditionalFormatting>
  <conditionalFormatting sqref="B9:AF10 B16:W16 B216:AF216 B218:B224 D218:AF224 U237:AF237">
    <cfRule type="expression" dxfId="699" priority="279">
      <formula>AND(B$9&gt;=14/24,B$9&lt;20/24)</formula>
    </cfRule>
    <cfRule type="expression" dxfId="698" priority="281">
      <formula>B$9&lt;8/24</formula>
    </cfRule>
    <cfRule type="expression" dxfId="697" priority="280">
      <formula>AND(B$9&gt;=8/24,B$9&lt;14/24)</formula>
    </cfRule>
  </conditionalFormatting>
  <conditionalFormatting sqref="B101:AF108">
    <cfRule type="expression" dxfId="696" priority="11">
      <formula>B$9&lt;8/24</formula>
    </cfRule>
    <cfRule type="expression" dxfId="695" priority="10">
      <formula>AND(B$9&gt;=8/24,B$9&lt;14/24)</formula>
    </cfRule>
    <cfRule type="expression" dxfId="694" priority="9">
      <formula>AND(B$9&gt;=14/24,B$9&lt;20/24)</formula>
    </cfRule>
    <cfRule type="expression" dxfId="693" priority="8">
      <formula>B$9&gt;=20/24</formula>
    </cfRule>
  </conditionalFormatting>
  <conditionalFormatting sqref="N45:R49 S45:W51 R50:R51">
    <cfRule type="expression" dxfId="688" priority="210">
      <formula>AND(N$9&gt;=8/24,N$9&lt;14/24)</formula>
    </cfRule>
    <cfRule type="expression" dxfId="687" priority="211">
      <formula>N$9&lt;8/24</formula>
    </cfRule>
    <cfRule type="expression" dxfId="686" priority="209">
      <formula>AND(N$9&gt;=14/24,N$9&lt;20/24)</formula>
    </cfRule>
  </conditionalFormatting>
  <conditionalFormatting sqref="O3:P3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85" priority="284">
      <formula>C$9&gt;=20/24</formula>
    </cfRule>
  </conditionalFormatting>
  <conditionalFormatting sqref="S8">
    <cfRule type="expression" dxfId="684" priority="256">
      <formula>U$9&lt;8/24</formula>
    </cfRule>
    <cfRule type="expression" dxfId="683" priority="253">
      <formula>U$9&gt;=20/24</formula>
    </cfRule>
    <cfRule type="expression" dxfId="682" priority="254">
      <formula>AND(U$9&gt;=14/24,U$9&lt;20/24)</formula>
    </cfRule>
    <cfRule type="expression" dxfId="681" priority="255">
      <formula>AND(U$9&gt;=8/24,U$9&lt;14/24)</formula>
    </cfRule>
  </conditionalFormatting>
  <conditionalFormatting sqref="S45:W51 R50:R51 N45:R49">
    <cfRule type="expression" dxfId="680" priority="208">
      <formula>N$9&gt;=20/24</formula>
    </cfRule>
  </conditionalFormatting>
  <conditionalFormatting sqref="S45:W51 R50:R51">
    <cfRule type="expression" dxfId="679" priority="207">
      <formula>R45&gt;$AG45</formula>
    </cfRule>
  </conditionalFormatting>
  <conditionalFormatting sqref="T237">
    <cfRule type="expression" dxfId="678" priority="297">
      <formula>AX$9&gt;=20/24</formula>
    </cfRule>
    <cfRule type="expression" dxfId="677" priority="298">
      <formula>AND(AX$9&gt;=14/24,AX$9&lt;20/24)</formula>
    </cfRule>
    <cfRule type="expression" dxfId="676" priority="299">
      <formula>AND(AX$9&gt;=8/24,AX$9&lt;14/24)</formula>
    </cfRule>
    <cfRule type="expression" dxfId="675" priority="300">
      <formula>AX$9&lt;8/24</formula>
    </cfRule>
  </conditionalFormatting>
  <conditionalFormatting sqref="V3 AB3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X40">
    <cfRule type="expression" dxfId="674" priority="29">
      <formula>X$9="PEAK"</formula>
    </cfRule>
  </conditionalFormatting>
  <conditionalFormatting sqref="X44:X58">
    <cfRule type="expression" dxfId="673" priority="18">
      <formula>X$9="PEAK"</formula>
    </cfRule>
  </conditionalFormatting>
  <conditionalFormatting sqref="X62">
    <cfRule type="expression" dxfId="672" priority="27">
      <formula>X$9="PEAK"</formula>
    </cfRule>
  </conditionalFormatting>
  <conditionalFormatting sqref="X74">
    <cfRule type="expression" dxfId="671" priority="26">
      <formula>X$9="PEAK"</formula>
    </cfRule>
  </conditionalFormatting>
  <conditionalFormatting sqref="X78:X98">
    <cfRule type="expression" dxfId="670" priority="16">
      <formula>X$9="PEAK"</formula>
    </cfRule>
  </conditionalFormatting>
  <conditionalFormatting sqref="X81:X82">
    <cfRule type="expression" dxfId="669" priority="31">
      <formula>X$82=MAX($C$91:$K$91)</formula>
    </cfRule>
  </conditionalFormatting>
  <conditionalFormatting sqref="X99">
    <cfRule type="expression" dxfId="668" priority="6">
      <formula>X$100="PN"</formula>
    </cfRule>
  </conditionalFormatting>
  <conditionalFormatting sqref="X41:Z43">
    <cfRule type="expression" dxfId="667" priority="19">
      <formula>X$9="PEAK"</formula>
    </cfRule>
  </conditionalFormatting>
  <conditionalFormatting sqref="X11:AF37 Y45:AE56 AF49:AF56 X59:AF61 X75:Z77">
    <cfRule type="expression" dxfId="666" priority="30">
      <formula>X$9="PEAK"</formula>
    </cfRule>
  </conditionalFormatting>
  <conditionalFormatting sqref="X38:AF39">
    <cfRule type="expression" dxfId="665" priority="2">
      <formula>X$9&gt;=20/24</formula>
    </cfRule>
    <cfRule type="expression" dxfId="664" priority="3">
      <formula>AND(X$9&gt;=14/24,X$9&lt;20/24)</formula>
    </cfRule>
    <cfRule type="expression" dxfId="663" priority="4">
      <formula>AND(X$9&gt;=8/24,X$9&lt;14/24)</formula>
    </cfRule>
    <cfRule type="expression" dxfId="662" priority="5">
      <formula>X$9&lt;8/24</formula>
    </cfRule>
    <cfRule type="expression" dxfId="661" priority="1">
      <formula>X38&gt;$AG38</formula>
    </cfRule>
  </conditionalFormatting>
  <conditionalFormatting sqref="X63:AF73">
    <cfRule type="expression" dxfId="660" priority="7">
      <formula>X$9="PEAK"</formula>
    </cfRule>
  </conditionalFormatting>
  <conditionalFormatting sqref="Y74:AF74">
    <cfRule type="expression" dxfId="659" priority="121">
      <formula>Y$9&gt;=20/24</formula>
    </cfRule>
    <cfRule type="expression" dxfId="658" priority="124">
      <formula>Y$9&lt;8/24</formula>
    </cfRule>
    <cfRule type="expression" dxfId="657" priority="123">
      <formula>AND(Y$9&gt;=8/24,Y$9&lt;14/24)</formula>
    </cfRule>
    <cfRule type="expression" dxfId="656" priority="122">
      <formula>AND(Y$9&gt;=14/24,Y$9&lt;20/24)</formula>
    </cfRule>
  </conditionalFormatting>
  <conditionalFormatting sqref="Y83:AF99">
    <cfRule type="expression" dxfId="655" priority="106">
      <formula>Y$9&lt;8/24</formula>
    </cfRule>
    <cfRule type="expression" dxfId="654" priority="105">
      <formula>AND(Y$9&gt;=8/24,Y$9&lt;14/24)</formula>
    </cfRule>
    <cfRule type="expression" dxfId="653" priority="104">
      <formula>AND(Y$9&gt;=14/24,Y$9&lt;20/24)</formula>
    </cfRule>
    <cfRule type="expression" dxfId="652" priority="103">
      <formula>Y$9&gt;=20/24</formula>
    </cfRule>
  </conditionalFormatting>
  <conditionalFormatting sqref="AA41:AF43">
    <cfRule type="expression" dxfId="651" priority="113">
      <formula>AA$9&gt;=20/24</formula>
    </cfRule>
    <cfRule type="expression" dxfId="650" priority="112">
      <formula>AA41&gt;$AG41</formula>
    </cfRule>
    <cfRule type="expression" dxfId="649" priority="116">
      <formula>AA$9&lt;8/24</formula>
    </cfRule>
    <cfRule type="expression" dxfId="648" priority="114">
      <formula>AND(AA$9&gt;=14/24,AA$9&lt;20/24)</formula>
    </cfRule>
    <cfRule type="expression" dxfId="647" priority="115">
      <formula>AND(AA$9&gt;=8/24,AA$9&lt;14/24)</formula>
    </cfRule>
  </conditionalFormatting>
  <conditionalFormatting sqref="AA75:AF77 Y78:AF78">
    <cfRule type="expression" dxfId="646" priority="235">
      <formula>Y$9&gt;=20/24</formula>
    </cfRule>
    <cfRule type="expression" dxfId="645" priority="238">
      <formula>Y$9&lt;8/24</formula>
    </cfRule>
    <cfRule type="expression" dxfId="644" priority="236">
      <formula>AND(Y$9&gt;=14/24,Y$9&lt;20/24)</formula>
    </cfRule>
    <cfRule type="expression" dxfId="643" priority="237">
      <formula>AND(Y$9&gt;=8/24,Y$9&lt;14/24)</formula>
    </cfRule>
  </conditionalFormatting>
  <conditionalFormatting sqref="AB8">
    <cfRule type="expression" dxfId="642" priority="249">
      <formula>AD$9&gt;=20/24</formula>
    </cfRule>
    <cfRule type="expression" dxfId="641" priority="250">
      <formula>AND(AD$9&gt;=14/24,AD$9&lt;20/24)</formula>
    </cfRule>
    <cfRule type="expression" dxfId="640" priority="251">
      <formula>AND(AD$9&gt;=8/24,AD$9&lt;14/24)</formula>
    </cfRule>
    <cfRule type="expression" dxfId="639" priority="252">
      <formula>AD$9&lt;8/24</formula>
    </cfRule>
  </conditionalFormatting>
  <conditionalFormatting sqref="AF45:AF47">
    <cfRule type="expression" dxfId="638" priority="240">
      <formula>AF$9&gt;=20/24</formula>
    </cfRule>
    <cfRule type="expression" dxfId="637" priority="242">
      <formula>AND(AF$9&gt;=8/24,AF$9&lt;14/24)</formula>
    </cfRule>
    <cfRule type="expression" dxfId="636" priority="241">
      <formula>AND(AF$9&gt;=14/24,AF$9&lt;20/24)</formula>
    </cfRule>
    <cfRule type="expression" dxfId="635" priority="243">
      <formula>AF$9&lt;8/24</formula>
    </cfRule>
  </conditionalFormatting>
  <conditionalFormatting sqref="AF45:AF48">
    <cfRule type="expression" dxfId="634" priority="230">
      <formula>AF45&gt;$AG45</formula>
    </cfRule>
  </conditionalFormatting>
  <conditionalFormatting sqref="AG237">
    <cfRule type="expression" dxfId="633" priority="291">
      <formula>AND(B$9&gt;=8/24,B$9&lt;14/24)</formula>
    </cfRule>
    <cfRule type="expression" dxfId="632" priority="289">
      <formula>B$9&gt;=20/24</formula>
    </cfRule>
    <cfRule type="expression" dxfId="631" priority="290">
      <formula>AND(B$9&gt;=14/24,B$9&lt;20/24)</formula>
    </cfRule>
    <cfRule type="expression" dxfId="630" priority="292">
      <formula>B$9&lt;8/24</formula>
    </cfRule>
  </conditionalFormatting>
  <conditionalFormatting sqref="AH237:AX237">
    <cfRule type="expression" dxfId="629" priority="296">
      <formula>AG$9&lt;8/24</formula>
    </cfRule>
    <cfRule type="expression" dxfId="628" priority="293">
      <formula>AG$9&gt;=20/24</formula>
    </cfRule>
    <cfRule type="expression" dxfId="627" priority="294">
      <formula>AND(AG$9&gt;=14/24,AG$9&lt;20/24)</formula>
    </cfRule>
    <cfRule type="expression" dxfId="626" priority="295">
      <formula>AND(AG$9&gt;=8/24,AG$9&lt;14/24)</formula>
    </cfRule>
  </conditionalFormatting>
  <conditionalFormatting sqref="AL4:AL6">
    <cfRule type="iconSet" priority="277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5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98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301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5" id="{8066BF25-E834-456D-9B43-91C9E95BF0C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6" id="{C433A868-C2DF-4A64-9A3E-61D74AA94BD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7" id="{76B228B4-75E7-4582-B994-CB2AFF21D37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94" id="{EA616A7E-0938-4642-ABD5-2521EAA76B7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B82:W82 Y82:AF82</xm:sqref>
        </x14:conditionalFormatting>
        <x14:conditionalFormatting xmlns:xm="http://schemas.microsoft.com/office/excel/2006/main">
          <x14:cfRule type="expression" priority="83" id="{0001A267-E9EB-4D17-8CBF-6595F49F729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4" id="{842B8D08-A504-4797-AD72-5F067E51C0E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5" id="{195FB632-2C05-4938-88CF-1B013325B86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6" id="{0F2A6828-5A8D-4E23-B97A-60738C7E384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70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28" width="7.5703125" style="1" customWidth="1"/>
    <col min="29" max="32" width="6.85546875" style="1" customWidth="1"/>
    <col min="33" max="33" width="14.42578125" style="1" customWidth="1"/>
    <col min="34" max="35" width="8" style="1" customWidth="1"/>
    <col min="36" max="36" width="24.5703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2079/08/4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1349MW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J6" s="22">
        <f>433+643+22+60+170</f>
        <v>1328</v>
      </c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Load=1018</v>
      </c>
      <c r="B7" s="35">
        <f t="shared" ref="B7:AF7" si="1">B81</f>
        <v>1126.6399999999999</v>
      </c>
      <c r="C7" s="35">
        <f t="shared" si="1"/>
        <v>1131.6399999999999</v>
      </c>
      <c r="D7" s="35">
        <f t="shared" si="1"/>
        <v>1128.8399999999999</v>
      </c>
      <c r="E7" s="35">
        <f t="shared" si="1"/>
        <v>1130.8399999999999</v>
      </c>
      <c r="F7" s="35">
        <f t="shared" si="1"/>
        <v>1134.44</v>
      </c>
      <c r="G7" s="35">
        <f t="shared" si="1"/>
        <v>1178.74</v>
      </c>
      <c r="H7" s="35">
        <f t="shared" si="1"/>
        <v>1237.8399999999999</v>
      </c>
      <c r="I7" s="35">
        <f t="shared" si="1"/>
        <v>1275.44</v>
      </c>
      <c r="J7" s="35">
        <f t="shared" si="1"/>
        <v>1291.1400000000001</v>
      </c>
      <c r="K7" s="35">
        <f t="shared" si="1"/>
        <v>1285.94</v>
      </c>
      <c r="L7" s="35">
        <f t="shared" si="1"/>
        <v>1316.94</v>
      </c>
      <c r="M7" s="35">
        <f t="shared" si="1"/>
        <v>1349.14</v>
      </c>
      <c r="N7" s="35">
        <f t="shared" si="1"/>
        <v>1317.54</v>
      </c>
      <c r="O7" s="35">
        <f t="shared" si="1"/>
        <v>1271.74</v>
      </c>
      <c r="P7" s="35">
        <f t="shared" si="1"/>
        <v>1202.24</v>
      </c>
      <c r="Q7" s="35">
        <f t="shared" si="1"/>
        <v>1174.44</v>
      </c>
      <c r="R7" s="35">
        <f t="shared" si="1"/>
        <v>1018.44</v>
      </c>
      <c r="S7" s="35">
        <f t="shared" si="1"/>
        <v>1131.24</v>
      </c>
      <c r="T7" s="35">
        <f t="shared" si="1"/>
        <v>1147.0400000000002</v>
      </c>
      <c r="U7" s="35">
        <f t="shared" si="1"/>
        <v>1142.54</v>
      </c>
      <c r="V7" s="35">
        <f t="shared" si="1"/>
        <v>1246.74</v>
      </c>
      <c r="W7" s="35">
        <f t="shared" si="1"/>
        <v>1425.0400000000002</v>
      </c>
      <c r="X7" s="35">
        <f t="shared" si="1"/>
        <v>1570.44</v>
      </c>
      <c r="Y7" s="35">
        <f t="shared" si="1"/>
        <v>1489.44</v>
      </c>
      <c r="Z7" s="35">
        <f t="shared" si="1"/>
        <v>1422.14</v>
      </c>
      <c r="AA7" s="35">
        <f t="shared" si="1"/>
        <v>1401.24</v>
      </c>
      <c r="AB7" s="35">
        <f t="shared" si="1"/>
        <v>1367.64</v>
      </c>
      <c r="AC7" s="35">
        <f t="shared" si="1"/>
        <v>1313.74</v>
      </c>
      <c r="AD7" s="35">
        <f t="shared" si="1"/>
        <v>1264.1399999999999</v>
      </c>
      <c r="AE7" s="35">
        <f t="shared" si="1"/>
        <v>1161.94</v>
      </c>
      <c r="AF7" s="35">
        <f t="shared" si="1"/>
        <v>1134.44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37</v>
      </c>
      <c r="C11" s="45">
        <v>37</v>
      </c>
      <c r="D11" s="45">
        <v>37</v>
      </c>
      <c r="E11" s="45">
        <v>37</v>
      </c>
      <c r="F11" s="45">
        <v>37</v>
      </c>
      <c r="G11" s="45">
        <v>37</v>
      </c>
      <c r="H11" s="45">
        <v>37</v>
      </c>
      <c r="I11" s="45">
        <v>37</v>
      </c>
      <c r="J11" s="45">
        <v>37</v>
      </c>
      <c r="K11" s="45">
        <v>37</v>
      </c>
      <c r="L11" s="45">
        <v>37</v>
      </c>
      <c r="M11" s="45">
        <v>37</v>
      </c>
      <c r="N11" s="45">
        <v>36.799999999999997</v>
      </c>
      <c r="O11" s="45">
        <v>36.799999999999997</v>
      </c>
      <c r="P11" s="45">
        <v>36.799999999999997</v>
      </c>
      <c r="Q11" s="45">
        <v>35.200000000000003</v>
      </c>
      <c r="R11" s="45">
        <v>36.5</v>
      </c>
      <c r="S11" s="45">
        <v>36.5</v>
      </c>
      <c r="T11" s="46">
        <v>34.700000000000003</v>
      </c>
      <c r="U11" s="46">
        <v>21.5</v>
      </c>
      <c r="V11" s="46">
        <v>52</v>
      </c>
      <c r="W11" s="46">
        <v>52</v>
      </c>
      <c r="X11" s="46">
        <v>41</v>
      </c>
      <c r="Y11" s="46">
        <v>41</v>
      </c>
      <c r="Z11" s="46">
        <v>30.8</v>
      </c>
      <c r="AA11" s="46">
        <v>32.200000000000003</v>
      </c>
      <c r="AB11" s="46">
        <v>32.200000000000003</v>
      </c>
      <c r="AC11" s="46">
        <v>32.200000000000003</v>
      </c>
      <c r="AD11" s="46">
        <v>32.200000000000003</v>
      </c>
      <c r="AE11" s="46">
        <v>32.200000000000003</v>
      </c>
      <c r="AF11" s="46">
        <v>32.200000000000003</v>
      </c>
      <c r="AG11" s="47">
        <v>52.4</v>
      </c>
      <c r="AH11" s="48">
        <f>MAX(B11:AF11)</f>
        <v>52</v>
      </c>
      <c r="AI11" s="49">
        <f>MIN(B11:AF11)</f>
        <v>21.5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50.2</v>
      </c>
      <c r="C12" s="45">
        <v>50.2</v>
      </c>
      <c r="D12" s="45">
        <v>50.2</v>
      </c>
      <c r="E12" s="45">
        <v>50.2</v>
      </c>
      <c r="F12" s="45">
        <v>50.2</v>
      </c>
      <c r="G12" s="45">
        <v>50.2</v>
      </c>
      <c r="H12" s="45">
        <v>50.2</v>
      </c>
      <c r="I12" s="45">
        <v>50.2</v>
      </c>
      <c r="J12" s="45">
        <v>50.2</v>
      </c>
      <c r="K12" s="45">
        <v>50.2</v>
      </c>
      <c r="L12" s="45">
        <v>50.2</v>
      </c>
      <c r="M12" s="45">
        <v>50.2</v>
      </c>
      <c r="N12" s="45">
        <v>50.5</v>
      </c>
      <c r="O12" s="45">
        <v>50.5</v>
      </c>
      <c r="P12" s="45">
        <v>50.5</v>
      </c>
      <c r="Q12" s="45">
        <v>50.3</v>
      </c>
      <c r="R12" s="45">
        <v>50.1</v>
      </c>
      <c r="S12" s="45">
        <v>50.1</v>
      </c>
      <c r="T12" s="45">
        <v>50.4</v>
      </c>
      <c r="U12" s="45">
        <v>50.4</v>
      </c>
      <c r="V12" s="45">
        <v>50.4</v>
      </c>
      <c r="W12" s="45">
        <v>50.4</v>
      </c>
      <c r="X12" s="45">
        <v>50.4</v>
      </c>
      <c r="Y12" s="45">
        <v>50.4</v>
      </c>
      <c r="Z12" s="45">
        <v>50.4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32.5</v>
      </c>
      <c r="C13" s="45">
        <v>32.5</v>
      </c>
      <c r="D13" s="45">
        <v>32.5</v>
      </c>
      <c r="E13" s="45">
        <v>32.5</v>
      </c>
      <c r="F13" s="45">
        <v>32.5</v>
      </c>
      <c r="G13" s="45">
        <v>32.5</v>
      </c>
      <c r="H13" s="45">
        <v>32.5</v>
      </c>
      <c r="I13" s="45">
        <v>32.5</v>
      </c>
      <c r="J13" s="45">
        <v>32.5</v>
      </c>
      <c r="K13" s="45">
        <v>32.5</v>
      </c>
      <c r="L13" s="45">
        <v>32.5</v>
      </c>
      <c r="M13" s="45">
        <v>32.5</v>
      </c>
      <c r="N13" s="45">
        <v>31</v>
      </c>
      <c r="O13" s="45">
        <v>31</v>
      </c>
      <c r="P13" s="45">
        <v>31</v>
      </c>
      <c r="Q13" s="45">
        <v>30.6</v>
      </c>
      <c r="R13" s="45">
        <v>30.2</v>
      </c>
      <c r="S13" s="45">
        <v>30.2</v>
      </c>
      <c r="T13" s="45">
        <v>32.4</v>
      </c>
      <c r="U13" s="45">
        <v>32.4</v>
      </c>
      <c r="V13" s="45">
        <v>32.4</v>
      </c>
      <c r="W13" s="45">
        <v>32.4</v>
      </c>
      <c r="X13" s="45">
        <v>32.4</v>
      </c>
      <c r="Y13" s="45">
        <v>32.4</v>
      </c>
      <c r="Z13" s="45">
        <v>33.1</v>
      </c>
      <c r="AA13" s="45">
        <v>33</v>
      </c>
      <c r="AB13" s="45">
        <v>32.9</v>
      </c>
      <c r="AC13" s="45">
        <v>32.299999999999997</v>
      </c>
      <c r="AD13" s="45">
        <v>32.299999999999997</v>
      </c>
      <c r="AE13" s="45">
        <v>32.299999999999997</v>
      </c>
      <c r="AF13" s="45">
        <v>32.299999999999997</v>
      </c>
      <c r="AG13" s="51">
        <v>45</v>
      </c>
      <c r="AH13" s="48">
        <f t="shared" si="2"/>
        <v>33.1</v>
      </c>
      <c r="AI13" s="49">
        <f t="shared" si="3"/>
        <v>30.2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21</v>
      </c>
      <c r="D14" s="45">
        <v>21</v>
      </c>
      <c r="E14" s="45">
        <v>21</v>
      </c>
      <c r="F14" s="45">
        <v>21</v>
      </c>
      <c r="G14" s="45">
        <v>21</v>
      </c>
      <c r="H14" s="45">
        <v>21</v>
      </c>
      <c r="I14" s="45">
        <v>21</v>
      </c>
      <c r="J14" s="45">
        <v>21</v>
      </c>
      <c r="K14" s="45">
        <v>18.5</v>
      </c>
      <c r="L14" s="45">
        <v>18.5</v>
      </c>
      <c r="M14" s="45">
        <v>18.5</v>
      </c>
      <c r="N14" s="45">
        <v>21</v>
      </c>
      <c r="O14" s="45">
        <v>18</v>
      </c>
      <c r="P14" s="45">
        <v>18</v>
      </c>
      <c r="Q14" s="45">
        <v>19</v>
      </c>
      <c r="R14" s="45">
        <v>19</v>
      </c>
      <c r="S14" s="45">
        <v>19</v>
      </c>
      <c r="T14" s="45">
        <v>19</v>
      </c>
      <c r="U14" s="45">
        <v>19</v>
      </c>
      <c r="V14" s="45">
        <v>19</v>
      </c>
      <c r="W14" s="45">
        <v>22</v>
      </c>
      <c r="X14" s="45">
        <v>22</v>
      </c>
      <c r="Y14" s="45">
        <v>25.5</v>
      </c>
      <c r="Z14" s="45">
        <v>25.5</v>
      </c>
      <c r="AA14" s="45">
        <v>25.5</v>
      </c>
      <c r="AB14" s="45">
        <v>22</v>
      </c>
      <c r="AC14" s="45">
        <v>22</v>
      </c>
      <c r="AD14" s="45">
        <v>22</v>
      </c>
      <c r="AE14" s="45">
        <v>22</v>
      </c>
      <c r="AF14" s="45">
        <v>22</v>
      </c>
      <c r="AG14" s="51">
        <v>42</v>
      </c>
      <c r="AH14" s="48">
        <f t="shared" si="2"/>
        <v>25.5</v>
      </c>
      <c r="AI14" s="49">
        <f t="shared" si="3"/>
        <v>18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0</v>
      </c>
      <c r="N15" s="45">
        <v>0</v>
      </c>
      <c r="O15" s="45">
        <v>0</v>
      </c>
      <c r="P15" s="45">
        <v>0</v>
      </c>
      <c r="Q15" s="45">
        <v>0</v>
      </c>
      <c r="R15" s="45">
        <v>0</v>
      </c>
      <c r="S15" s="45">
        <v>0</v>
      </c>
      <c r="T15" s="45">
        <v>0</v>
      </c>
      <c r="U15" s="45">
        <v>0</v>
      </c>
      <c r="V15" s="45">
        <v>0</v>
      </c>
      <c r="W15" s="45">
        <v>5.2</v>
      </c>
      <c r="X15" s="45">
        <v>20</v>
      </c>
      <c r="Y15" s="45">
        <v>20</v>
      </c>
      <c r="Z15" s="45">
        <v>15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52">
        <v>30</v>
      </c>
      <c r="AH15" s="48">
        <f t="shared" si="2"/>
        <v>20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15.4</v>
      </c>
      <c r="C16" s="45">
        <v>15.4</v>
      </c>
      <c r="D16" s="45">
        <v>15.4</v>
      </c>
      <c r="E16" s="45">
        <v>15.4</v>
      </c>
      <c r="F16" s="45">
        <v>15.4</v>
      </c>
      <c r="G16" s="45">
        <v>15.4</v>
      </c>
      <c r="H16" s="45">
        <v>15.4</v>
      </c>
      <c r="I16" s="45">
        <v>15.4</v>
      </c>
      <c r="J16" s="45">
        <v>15.4</v>
      </c>
      <c r="K16" s="45">
        <v>15.4</v>
      </c>
      <c r="L16" s="45">
        <v>15.4</v>
      </c>
      <c r="M16" s="45">
        <v>15.4</v>
      </c>
      <c r="N16" s="45">
        <v>15.7</v>
      </c>
      <c r="O16" s="45">
        <v>15.7</v>
      </c>
      <c r="P16" s="45">
        <v>15.7</v>
      </c>
      <c r="Q16" s="45">
        <v>15.7</v>
      </c>
      <c r="R16" s="45">
        <v>15.7</v>
      </c>
      <c r="S16" s="45">
        <v>15.7</v>
      </c>
      <c r="T16" s="45">
        <v>24.4</v>
      </c>
      <c r="U16" s="45">
        <v>18.5</v>
      </c>
      <c r="V16" s="45">
        <v>10.3</v>
      </c>
      <c r="W16" s="45">
        <v>13.3</v>
      </c>
      <c r="X16" s="45">
        <v>13.4</v>
      </c>
      <c r="Y16" s="45">
        <v>13.4</v>
      </c>
      <c r="Z16" s="45">
        <v>13.4</v>
      </c>
      <c r="AA16" s="45">
        <v>13.4</v>
      </c>
      <c r="AB16" s="45">
        <v>13.4</v>
      </c>
      <c r="AC16" s="45">
        <v>13.4</v>
      </c>
      <c r="AD16" s="45">
        <v>13.4</v>
      </c>
      <c r="AE16" s="45">
        <v>13.4</v>
      </c>
      <c r="AF16" s="45">
        <v>13.4</v>
      </c>
      <c r="AG16" s="51">
        <v>24.2</v>
      </c>
      <c r="AH16" s="48">
        <f t="shared" si="2"/>
        <v>24.4</v>
      </c>
      <c r="AI16" s="49">
        <f t="shared" si="3"/>
        <v>10.3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0</v>
      </c>
      <c r="M17" s="45">
        <v>0</v>
      </c>
      <c r="N17" s="45">
        <v>0</v>
      </c>
      <c r="O17" s="45">
        <v>0</v>
      </c>
      <c r="P17" s="45">
        <v>0</v>
      </c>
      <c r="Q17" s="45">
        <v>0</v>
      </c>
      <c r="R17" s="45">
        <v>0</v>
      </c>
      <c r="S17" s="45">
        <v>0</v>
      </c>
      <c r="T17" s="45">
        <v>0</v>
      </c>
      <c r="U17" s="45">
        <v>0</v>
      </c>
      <c r="V17" s="45">
        <v>0</v>
      </c>
      <c r="W17" s="45">
        <v>5</v>
      </c>
      <c r="X17" s="45">
        <v>15</v>
      </c>
      <c r="Y17" s="45">
        <v>27</v>
      </c>
      <c r="Z17" s="45">
        <v>18</v>
      </c>
      <c r="AA17" s="45">
        <v>9</v>
      </c>
      <c r="AB17" s="45">
        <v>9</v>
      </c>
      <c r="AC17" s="45">
        <v>0</v>
      </c>
      <c r="AD17" s="45">
        <v>0</v>
      </c>
      <c r="AE17" s="45">
        <v>0</v>
      </c>
      <c r="AF17" s="45">
        <v>0</v>
      </c>
      <c r="AG17" s="52">
        <v>30</v>
      </c>
      <c r="AH17" s="48">
        <f t="shared" si="2"/>
        <v>27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10</v>
      </c>
      <c r="C18" s="45">
        <v>10</v>
      </c>
      <c r="D18" s="45">
        <v>10</v>
      </c>
      <c r="E18" s="45">
        <v>10</v>
      </c>
      <c r="F18" s="45">
        <v>10</v>
      </c>
      <c r="G18" s="45">
        <v>10</v>
      </c>
      <c r="H18" s="45">
        <v>10</v>
      </c>
      <c r="I18" s="45">
        <v>20</v>
      </c>
      <c r="J18" s="45">
        <v>20</v>
      </c>
      <c r="K18" s="45">
        <v>19</v>
      </c>
      <c r="L18" s="45">
        <v>19</v>
      </c>
      <c r="M18" s="45">
        <v>19</v>
      </c>
      <c r="N18" s="45">
        <v>18.399999999999999</v>
      </c>
      <c r="O18" s="45">
        <v>18.399999999999999</v>
      </c>
      <c r="P18" s="45">
        <v>18.399999999999999</v>
      </c>
      <c r="Q18" s="45">
        <v>17</v>
      </c>
      <c r="R18" s="45">
        <v>17</v>
      </c>
      <c r="S18" s="45">
        <v>17</v>
      </c>
      <c r="T18" s="45">
        <v>17</v>
      </c>
      <c r="U18" s="45">
        <v>17</v>
      </c>
      <c r="V18" s="45">
        <v>17.2</v>
      </c>
      <c r="W18" s="45">
        <v>17.2</v>
      </c>
      <c r="X18" s="45">
        <v>20</v>
      </c>
      <c r="Y18" s="45">
        <v>20</v>
      </c>
      <c r="Z18" s="45">
        <v>17.5</v>
      </c>
      <c r="AA18" s="45">
        <v>19.3</v>
      </c>
      <c r="AB18" s="45">
        <v>19.3</v>
      </c>
      <c r="AC18" s="45">
        <v>19</v>
      </c>
      <c r="AD18" s="45">
        <v>19</v>
      </c>
      <c r="AE18" s="45">
        <v>19</v>
      </c>
      <c r="AF18" s="45">
        <v>19</v>
      </c>
      <c r="AG18" s="51">
        <v>25</v>
      </c>
      <c r="AH18" s="48">
        <f t="shared" si="2"/>
        <v>20</v>
      </c>
      <c r="AI18" s="49">
        <f t="shared" si="3"/>
        <v>10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0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45">
        <v>18</v>
      </c>
      <c r="AC19" s="45">
        <v>18</v>
      </c>
      <c r="AD19" s="45">
        <v>18</v>
      </c>
      <c r="AE19" s="45">
        <v>18</v>
      </c>
      <c r="AF19" s="45">
        <v>18</v>
      </c>
      <c r="AG19" s="51">
        <v>25</v>
      </c>
      <c r="AH19" s="48">
        <f t="shared" si="2"/>
        <v>18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15.9</v>
      </c>
      <c r="C21" s="45">
        <v>15.9</v>
      </c>
      <c r="D21" s="45">
        <v>15.9</v>
      </c>
      <c r="E21" s="45">
        <v>15.9</v>
      </c>
      <c r="F21" s="45">
        <v>15.9</v>
      </c>
      <c r="G21" s="45">
        <v>15.9</v>
      </c>
      <c r="H21" s="45">
        <v>15.9</v>
      </c>
      <c r="I21" s="45">
        <v>15.9</v>
      </c>
      <c r="J21" s="45">
        <v>15.9</v>
      </c>
      <c r="K21" s="45">
        <v>15.9</v>
      </c>
      <c r="L21" s="45">
        <v>15.9</v>
      </c>
      <c r="M21" s="45">
        <v>15.9</v>
      </c>
      <c r="N21" s="45">
        <v>15.9</v>
      </c>
      <c r="O21" s="45">
        <v>15.9</v>
      </c>
      <c r="P21" s="45">
        <v>15.9</v>
      </c>
      <c r="Q21" s="45">
        <v>15.8</v>
      </c>
      <c r="R21" s="45">
        <v>15.8</v>
      </c>
      <c r="S21" s="45">
        <v>15.8</v>
      </c>
      <c r="T21" s="45">
        <v>15.8</v>
      </c>
      <c r="U21" s="45">
        <v>15.8</v>
      </c>
      <c r="V21" s="45">
        <v>17.2</v>
      </c>
      <c r="W21" s="45">
        <v>17.2</v>
      </c>
      <c r="X21" s="45">
        <v>17.2</v>
      </c>
      <c r="Y21" s="45">
        <v>17.2</v>
      </c>
      <c r="Z21" s="45">
        <v>15.5</v>
      </c>
      <c r="AA21" s="45">
        <v>15.5</v>
      </c>
      <c r="AB21" s="45">
        <v>15.5</v>
      </c>
      <c r="AC21" s="45">
        <v>15.5</v>
      </c>
      <c r="AD21" s="45">
        <v>15.5</v>
      </c>
      <c r="AE21" s="45">
        <v>15.5</v>
      </c>
      <c r="AF21" s="45">
        <v>15.5</v>
      </c>
      <c r="AG21" s="51">
        <v>23.5</v>
      </c>
      <c r="AH21" s="48">
        <f t="shared" si="2"/>
        <v>17.2</v>
      </c>
      <c r="AI21" s="49">
        <f t="shared" si="3"/>
        <v>15.5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10.6</v>
      </c>
      <c r="C23" s="45">
        <v>10.6</v>
      </c>
      <c r="D23" s="45">
        <v>10.6</v>
      </c>
      <c r="E23" s="45">
        <v>10.6</v>
      </c>
      <c r="F23" s="45">
        <v>10.6</v>
      </c>
      <c r="G23" s="45">
        <v>10.6</v>
      </c>
      <c r="H23" s="45">
        <v>10.6</v>
      </c>
      <c r="I23" s="45">
        <v>10.6</v>
      </c>
      <c r="J23" s="45">
        <v>10.6</v>
      </c>
      <c r="K23" s="45">
        <v>10.6</v>
      </c>
      <c r="L23" s="45">
        <v>10.6</v>
      </c>
      <c r="M23" s="45">
        <v>10.6</v>
      </c>
      <c r="N23" s="45">
        <v>10.6</v>
      </c>
      <c r="O23" s="45">
        <v>10.6</v>
      </c>
      <c r="P23" s="45">
        <v>10.6</v>
      </c>
      <c r="Q23" s="45">
        <v>10.6</v>
      </c>
      <c r="R23" s="45">
        <v>10.6</v>
      </c>
      <c r="S23" s="45">
        <v>10.6</v>
      </c>
      <c r="T23" s="45">
        <v>10.6</v>
      </c>
      <c r="U23" s="45">
        <v>10.6</v>
      </c>
      <c r="V23" s="45">
        <v>10.6</v>
      </c>
      <c r="W23" s="45">
        <v>10.6</v>
      </c>
      <c r="X23" s="45">
        <v>10.6</v>
      </c>
      <c r="Y23" s="45">
        <v>10.6</v>
      </c>
      <c r="Z23" s="45">
        <v>10.6</v>
      </c>
      <c r="AA23" s="45">
        <v>10.6</v>
      </c>
      <c r="AB23" s="45">
        <v>10.6</v>
      </c>
      <c r="AC23" s="45">
        <v>10.6</v>
      </c>
      <c r="AD23" s="45">
        <v>10.6</v>
      </c>
      <c r="AE23" s="45">
        <v>10.6</v>
      </c>
      <c r="AF23" s="45">
        <v>10.6</v>
      </c>
      <c r="AG23" s="51">
        <v>22.1</v>
      </c>
      <c r="AH23" s="48">
        <f t="shared" si="2"/>
        <v>10.6</v>
      </c>
      <c r="AI23" s="49">
        <f t="shared" si="3"/>
        <v>10.6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15</v>
      </c>
      <c r="C24" s="45">
        <v>15</v>
      </c>
      <c r="D24" s="45">
        <v>15</v>
      </c>
      <c r="E24" s="45">
        <v>15</v>
      </c>
      <c r="F24" s="45">
        <v>15</v>
      </c>
      <c r="G24" s="45">
        <v>15</v>
      </c>
      <c r="H24" s="45">
        <v>15</v>
      </c>
      <c r="I24" s="45">
        <v>15</v>
      </c>
      <c r="J24" s="45">
        <v>15</v>
      </c>
      <c r="K24" s="45">
        <v>15</v>
      </c>
      <c r="L24" s="45">
        <v>15</v>
      </c>
      <c r="M24" s="45">
        <v>15</v>
      </c>
      <c r="N24" s="45">
        <v>15</v>
      </c>
      <c r="O24" s="45">
        <v>15</v>
      </c>
      <c r="P24" s="45">
        <v>15</v>
      </c>
      <c r="Q24" s="45">
        <v>15</v>
      </c>
      <c r="R24" s="45">
        <v>15</v>
      </c>
      <c r="S24" s="45">
        <v>15</v>
      </c>
      <c r="T24" s="45">
        <v>15</v>
      </c>
      <c r="U24" s="45">
        <v>15</v>
      </c>
      <c r="V24" s="45">
        <v>15</v>
      </c>
      <c r="W24" s="45">
        <v>15</v>
      </c>
      <c r="X24" s="45">
        <v>15</v>
      </c>
      <c r="Y24" s="45">
        <v>15</v>
      </c>
      <c r="Z24" s="45">
        <v>15</v>
      </c>
      <c r="AA24" s="45">
        <v>15</v>
      </c>
      <c r="AB24" s="45">
        <v>15</v>
      </c>
      <c r="AC24" s="45">
        <v>15</v>
      </c>
      <c r="AD24" s="45">
        <v>15</v>
      </c>
      <c r="AE24" s="45">
        <v>15</v>
      </c>
      <c r="AF24" s="45">
        <v>15</v>
      </c>
      <c r="AG24" s="51">
        <v>22</v>
      </c>
      <c r="AH24" s="48">
        <f t="shared" si="2"/>
        <v>15</v>
      </c>
      <c r="AI24" s="49">
        <f t="shared" si="3"/>
        <v>15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10</v>
      </c>
      <c r="AF25" s="45">
        <v>10</v>
      </c>
      <c r="AG25" s="51">
        <v>22</v>
      </c>
      <c r="AH25" s="48">
        <f t="shared" si="2"/>
        <v>10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5</v>
      </c>
      <c r="W26" s="45">
        <v>5</v>
      </c>
      <c r="X26" s="45">
        <v>10</v>
      </c>
      <c r="Y26" s="45">
        <v>10</v>
      </c>
      <c r="Z26" s="45">
        <v>5</v>
      </c>
      <c r="AA26" s="45">
        <v>5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6.3</v>
      </c>
      <c r="C27" s="45">
        <v>6.3</v>
      </c>
      <c r="D27" s="45">
        <v>6.3</v>
      </c>
      <c r="E27" s="45">
        <v>6.3</v>
      </c>
      <c r="F27" s="45">
        <v>6.3</v>
      </c>
      <c r="G27" s="45">
        <v>6.3</v>
      </c>
      <c r="H27" s="45">
        <v>6.3</v>
      </c>
      <c r="I27" s="45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45">
        <v>6.3</v>
      </c>
      <c r="Y27" s="45">
        <v>6.3</v>
      </c>
      <c r="Z27" s="45">
        <v>6.3</v>
      </c>
      <c r="AA27" s="45">
        <v>6.3</v>
      </c>
      <c r="AB27" s="45">
        <v>6.3</v>
      </c>
      <c r="AC27" s="45">
        <v>6.3</v>
      </c>
      <c r="AD27" s="45">
        <v>6.3</v>
      </c>
      <c r="AE27" s="45">
        <v>6.3</v>
      </c>
      <c r="AF27" s="45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0</v>
      </c>
      <c r="M30" s="45">
        <v>0</v>
      </c>
      <c r="N30" s="45">
        <v>0</v>
      </c>
      <c r="O30" s="45">
        <v>0</v>
      </c>
      <c r="P30" s="45">
        <v>0</v>
      </c>
      <c r="Q30" s="45">
        <v>0</v>
      </c>
      <c r="R30" s="45">
        <v>0</v>
      </c>
      <c r="S30" s="45">
        <v>0</v>
      </c>
      <c r="T30" s="45">
        <v>0</v>
      </c>
      <c r="U30" s="45">
        <v>0</v>
      </c>
      <c r="V30" s="45">
        <v>0</v>
      </c>
      <c r="W30" s="45">
        <v>4</v>
      </c>
      <c r="X30" s="45">
        <v>8</v>
      </c>
      <c r="Y30" s="45">
        <v>8</v>
      </c>
      <c r="Z30" s="45">
        <v>4</v>
      </c>
      <c r="AA30" s="45">
        <v>4</v>
      </c>
      <c r="AB30" s="45">
        <v>4</v>
      </c>
      <c r="AC30" s="45">
        <v>0</v>
      </c>
      <c r="AD30" s="45">
        <v>0</v>
      </c>
      <c r="AE30" s="45">
        <v>0</v>
      </c>
      <c r="AF30" s="45">
        <v>0</v>
      </c>
      <c r="AG30" s="51">
        <v>12</v>
      </c>
      <c r="AH30" s="48">
        <f t="shared" si="2"/>
        <v>8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4</v>
      </c>
      <c r="C31" s="45">
        <v>4</v>
      </c>
      <c r="D31" s="45">
        <v>4</v>
      </c>
      <c r="E31" s="45">
        <v>4</v>
      </c>
      <c r="F31" s="45">
        <v>4</v>
      </c>
      <c r="G31" s="45">
        <v>4</v>
      </c>
      <c r="H31" s="45">
        <v>4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4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3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4</v>
      </c>
      <c r="X32" s="45">
        <v>4</v>
      </c>
      <c r="Y32" s="45">
        <v>4</v>
      </c>
      <c r="Z32" s="45">
        <v>4</v>
      </c>
      <c r="AA32" s="45">
        <v>4</v>
      </c>
      <c r="AB32" s="45">
        <v>4</v>
      </c>
      <c r="AC32" s="45">
        <v>4</v>
      </c>
      <c r="AD32" s="45">
        <v>4</v>
      </c>
      <c r="AE32" s="45">
        <v>4</v>
      </c>
      <c r="AF32" s="45">
        <v>4</v>
      </c>
      <c r="AG32" s="51">
        <v>12</v>
      </c>
      <c r="AH32" s="48">
        <f t="shared" si="2"/>
        <v>4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5.2</v>
      </c>
      <c r="C33" s="45">
        <v>5.2</v>
      </c>
      <c r="D33" s="45">
        <v>5.2</v>
      </c>
      <c r="E33" s="45">
        <v>5.2</v>
      </c>
      <c r="F33" s="45">
        <v>5.2</v>
      </c>
      <c r="G33" s="45">
        <v>5.2</v>
      </c>
      <c r="H33" s="45">
        <v>5.2</v>
      </c>
      <c r="I33" s="45">
        <v>5.2</v>
      </c>
      <c r="J33" s="45">
        <v>5.2</v>
      </c>
      <c r="K33" s="45">
        <v>5.2</v>
      </c>
      <c r="L33" s="45">
        <v>5.2</v>
      </c>
      <c r="M33" s="45">
        <v>5.2</v>
      </c>
      <c r="N33" s="45">
        <v>5.2</v>
      </c>
      <c r="O33" s="45">
        <v>5.2</v>
      </c>
      <c r="P33" s="45">
        <v>5.2</v>
      </c>
      <c r="Q33" s="45">
        <v>5.2</v>
      </c>
      <c r="R33" s="45">
        <v>5.2</v>
      </c>
      <c r="S33" s="45">
        <v>5.2</v>
      </c>
      <c r="T33" s="45">
        <v>5.2</v>
      </c>
      <c r="U33" s="45">
        <v>5.2</v>
      </c>
      <c r="V33" s="45">
        <v>5.2</v>
      </c>
      <c r="W33" s="45">
        <v>5.2</v>
      </c>
      <c r="X33" s="45">
        <v>5.2</v>
      </c>
      <c r="Y33" s="45">
        <v>5.2</v>
      </c>
      <c r="Z33" s="45">
        <v>5.2</v>
      </c>
      <c r="AA33" s="45">
        <v>5.2</v>
      </c>
      <c r="AB33" s="45">
        <v>5.2</v>
      </c>
      <c r="AC33" s="45">
        <v>5.2</v>
      </c>
      <c r="AD33" s="45">
        <v>5.2</v>
      </c>
      <c r="AE33" s="45">
        <v>5.2</v>
      </c>
      <c r="AF33" s="45">
        <v>5.2</v>
      </c>
      <c r="AG33" s="53">
        <v>22</v>
      </c>
      <c r="AH33" s="48">
        <f t="shared" si="2"/>
        <v>5.2</v>
      </c>
      <c r="AI33" s="49">
        <f t="shared" si="3"/>
        <v>5.2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8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0</v>
      </c>
      <c r="C36" s="45">
        <v>0</v>
      </c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6.6</v>
      </c>
      <c r="N36" s="45">
        <v>6.6</v>
      </c>
      <c r="O36" s="45">
        <v>6.6</v>
      </c>
      <c r="P36" s="45">
        <v>6.6</v>
      </c>
      <c r="Q36" s="45">
        <v>6.6</v>
      </c>
      <c r="R36" s="45">
        <v>6.6</v>
      </c>
      <c r="S36" s="45">
        <v>6.6</v>
      </c>
      <c r="T36" s="45">
        <v>6.6</v>
      </c>
      <c r="U36" s="45">
        <v>6.6</v>
      </c>
      <c r="V36" s="45">
        <v>6.6</v>
      </c>
      <c r="W36" s="45">
        <v>6.6</v>
      </c>
      <c r="X36" s="45">
        <v>6.6</v>
      </c>
      <c r="Y36" s="45">
        <v>6.6</v>
      </c>
      <c r="Z36" s="45">
        <v>6.6</v>
      </c>
      <c r="AA36" s="45">
        <v>6.6</v>
      </c>
      <c r="AB36" s="45">
        <v>6.6</v>
      </c>
      <c r="AC36" s="45">
        <v>6.6</v>
      </c>
      <c r="AD36" s="45">
        <v>6.6</v>
      </c>
      <c r="AE36" s="45">
        <v>6.6</v>
      </c>
      <c r="AF36" s="45">
        <v>6.6</v>
      </c>
      <c r="AG36" s="55">
        <v>10</v>
      </c>
      <c r="AH36" s="48">
        <f t="shared" si="2"/>
        <v>6.6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300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300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56+44.9</f>
        <v>100.9</v>
      </c>
      <c r="C39" s="59">
        <f>54.7+45</f>
        <v>99.7</v>
      </c>
      <c r="D39" s="59">
        <f>55.4+44.2</f>
        <v>99.6</v>
      </c>
      <c r="E39" s="59">
        <f>56.8+45.2</f>
        <v>102</v>
      </c>
      <c r="F39" s="59">
        <f>58.6+44.6</f>
        <v>103.2</v>
      </c>
      <c r="G39" s="59">
        <f>54.3+45.4</f>
        <v>99.699999999999989</v>
      </c>
      <c r="H39" s="59">
        <f>51.6+44.1</f>
        <v>95.7</v>
      </c>
      <c r="I39" s="59">
        <f>46.8+43.8</f>
        <v>90.6</v>
      </c>
      <c r="J39" s="59">
        <f>50.8+46.3</f>
        <v>97.1</v>
      </c>
      <c r="K39" s="59">
        <f>52.6+46.3</f>
        <v>98.9</v>
      </c>
      <c r="L39" s="57">
        <f>55.2+45.9</f>
        <v>101.1</v>
      </c>
      <c r="M39" s="57">
        <f>45.8+55</f>
        <v>100.8</v>
      </c>
      <c r="N39" s="57">
        <f>46+54.7</f>
        <v>100.7</v>
      </c>
      <c r="O39" s="57">
        <f>45.5+53.8</f>
        <v>99.3</v>
      </c>
      <c r="P39" s="57">
        <f>45.3+53.8</f>
        <v>99.1</v>
      </c>
      <c r="Q39" s="57">
        <f>44.8+57.4</f>
        <v>102.19999999999999</v>
      </c>
      <c r="R39" s="57">
        <f>25.5+57.1</f>
        <v>82.6</v>
      </c>
      <c r="S39" s="59">
        <f>45.7+57.6</f>
        <v>103.30000000000001</v>
      </c>
      <c r="T39" s="59">
        <f>45.8+58.8</f>
        <v>104.6</v>
      </c>
      <c r="U39" s="59">
        <f>45.3+57.2</f>
        <v>102.5</v>
      </c>
      <c r="V39" s="59">
        <f>45.5+53.6</f>
        <v>99.1</v>
      </c>
      <c r="W39" s="59">
        <f>45+52.3</f>
        <v>97.3</v>
      </c>
      <c r="X39" s="59">
        <v>96.3</v>
      </c>
      <c r="Y39" s="59">
        <f>44.8+51.2</f>
        <v>96</v>
      </c>
      <c r="Z39" s="59">
        <f>43.8+53.2</f>
        <v>97</v>
      </c>
      <c r="AA39" s="59"/>
      <c r="AB39" s="59">
        <f>44.4+54.9</f>
        <v>99.3</v>
      </c>
      <c r="AC39" s="59">
        <f>44.4+54.9</f>
        <v>99.3</v>
      </c>
      <c r="AD39" s="59">
        <f>44.4+54.9</f>
        <v>99.3</v>
      </c>
      <c r="AE39" s="59">
        <v>100</v>
      </c>
      <c r="AF39" s="59">
        <v>100</v>
      </c>
      <c r="AG39" s="55">
        <v>240</v>
      </c>
      <c r="AH39" s="48">
        <f t="shared" si="2"/>
        <v>104.6</v>
      </c>
      <c r="AI39" s="49">
        <f t="shared" si="3"/>
        <v>82.6</v>
      </c>
      <c r="AK39" s="50"/>
    </row>
    <row r="40" spans="1:88" ht="15.75" thickBot="1" x14ac:dyDescent="0.3">
      <c r="A40" s="60" t="s">
        <v>48</v>
      </c>
      <c r="B40" s="61">
        <f>SUM(B11:B38)</f>
        <v>560.09999999999991</v>
      </c>
      <c r="C40" s="61">
        <f t="shared" ref="C40:AG40" si="4">SUM(C11:C38)</f>
        <v>560.09999999999991</v>
      </c>
      <c r="D40" s="61">
        <f t="shared" si="4"/>
        <v>560.09999999999991</v>
      </c>
      <c r="E40" s="61">
        <f t="shared" si="4"/>
        <v>560.09999999999991</v>
      </c>
      <c r="F40" s="61">
        <f t="shared" si="4"/>
        <v>560.09999999999991</v>
      </c>
      <c r="G40" s="61">
        <f t="shared" si="4"/>
        <v>560.09999999999991</v>
      </c>
      <c r="H40" s="61">
        <f t="shared" si="4"/>
        <v>560.09999999999991</v>
      </c>
      <c r="I40" s="61">
        <f t="shared" si="4"/>
        <v>578.09999999999991</v>
      </c>
      <c r="J40" s="61">
        <f t="shared" si="4"/>
        <v>583.1</v>
      </c>
      <c r="K40" s="61">
        <f t="shared" si="4"/>
        <v>579.6</v>
      </c>
      <c r="L40" s="61">
        <f t="shared" si="4"/>
        <v>579.6</v>
      </c>
      <c r="M40" s="61">
        <f t="shared" si="4"/>
        <v>591.20000000000005</v>
      </c>
      <c r="N40" s="61">
        <f t="shared" si="4"/>
        <v>589</v>
      </c>
      <c r="O40" s="61">
        <f t="shared" si="4"/>
        <v>586</v>
      </c>
      <c r="P40" s="61">
        <f t="shared" si="4"/>
        <v>586</v>
      </c>
      <c r="Q40" s="61">
        <f t="shared" si="4"/>
        <v>583.29999999999995</v>
      </c>
      <c r="R40" s="61">
        <f t="shared" si="4"/>
        <v>566</v>
      </c>
      <c r="S40" s="61">
        <f t="shared" si="4"/>
        <v>584</v>
      </c>
      <c r="T40" s="61">
        <f t="shared" si="4"/>
        <v>593.40000000000009</v>
      </c>
      <c r="U40" s="61">
        <f t="shared" si="4"/>
        <v>574.29999999999995</v>
      </c>
      <c r="V40" s="61">
        <f t="shared" si="4"/>
        <v>601.20000000000005</v>
      </c>
      <c r="W40" s="61">
        <f t="shared" si="4"/>
        <v>625.40000000000009</v>
      </c>
      <c r="X40" s="61">
        <f t="shared" si="4"/>
        <v>681.10000000000014</v>
      </c>
      <c r="Y40" s="61">
        <f t="shared" si="4"/>
        <v>666.60000000000014</v>
      </c>
      <c r="Z40" s="61">
        <f t="shared" si="4"/>
        <v>629.90000000000009</v>
      </c>
      <c r="AA40" s="61">
        <f t="shared" si="4"/>
        <v>609</v>
      </c>
      <c r="AB40" s="61">
        <f t="shared" si="4"/>
        <v>600.40000000000009</v>
      </c>
      <c r="AC40" s="61">
        <f t="shared" si="4"/>
        <v>586.5</v>
      </c>
      <c r="AD40" s="61">
        <f t="shared" si="4"/>
        <v>586.5</v>
      </c>
      <c r="AE40" s="61">
        <f t="shared" si="4"/>
        <v>586.5</v>
      </c>
      <c r="AF40" s="61">
        <f t="shared" si="4"/>
        <v>586.5</v>
      </c>
      <c r="AG40" s="62">
        <f t="shared" si="4"/>
        <v>707.78000000000009</v>
      </c>
      <c r="AH40" s="48">
        <f t="shared" si="2"/>
        <v>681.10000000000014</v>
      </c>
      <c r="AI40" s="49">
        <f t="shared" si="3"/>
        <v>560.09999999999991</v>
      </c>
      <c r="AK40" s="50"/>
    </row>
    <row r="41" spans="1:88" x14ac:dyDescent="0.25">
      <c r="A41" s="63" t="s">
        <v>49</v>
      </c>
      <c r="B41" s="45">
        <v>165</v>
      </c>
      <c r="C41" s="45">
        <v>170</v>
      </c>
      <c r="D41" s="45">
        <v>160</v>
      </c>
      <c r="E41" s="45">
        <v>160</v>
      </c>
      <c r="F41" s="45">
        <v>160</v>
      </c>
      <c r="G41" s="45">
        <v>175</v>
      </c>
      <c r="H41" s="45">
        <v>195</v>
      </c>
      <c r="I41" s="45">
        <v>195</v>
      </c>
      <c r="J41" s="45">
        <v>195</v>
      </c>
      <c r="K41" s="45">
        <v>225</v>
      </c>
      <c r="L41" s="45">
        <v>225</v>
      </c>
      <c r="M41" s="45">
        <v>240</v>
      </c>
      <c r="N41" s="45">
        <v>220</v>
      </c>
      <c r="O41" s="45">
        <v>190</v>
      </c>
      <c r="P41" s="45">
        <v>130</v>
      </c>
      <c r="Q41" s="45">
        <v>130</v>
      </c>
      <c r="R41" s="45">
        <v>120</v>
      </c>
      <c r="S41" s="45">
        <v>110</v>
      </c>
      <c r="T41" s="45">
        <v>110</v>
      </c>
      <c r="U41" s="45">
        <v>110</v>
      </c>
      <c r="V41" s="45">
        <v>180</v>
      </c>
      <c r="W41" s="45">
        <v>320</v>
      </c>
      <c r="X41" s="45">
        <v>380</v>
      </c>
      <c r="Y41" s="45">
        <v>310</v>
      </c>
      <c r="Z41" s="45">
        <v>280</v>
      </c>
      <c r="AA41" s="45">
        <v>280</v>
      </c>
      <c r="AB41" s="45">
        <v>255</v>
      </c>
      <c r="AC41" s="45">
        <v>215</v>
      </c>
      <c r="AD41" s="45">
        <v>215</v>
      </c>
      <c r="AE41" s="45">
        <v>195</v>
      </c>
      <c r="AF41" s="45">
        <v>195</v>
      </c>
      <c r="AG41" s="52">
        <v>456</v>
      </c>
      <c r="AH41" s="48">
        <f t="shared" si="2"/>
        <v>380</v>
      </c>
      <c r="AI41" s="49">
        <f t="shared" si="3"/>
        <v>110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60.4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48</v>
      </c>
      <c r="U42" s="65">
        <v>52</v>
      </c>
      <c r="V42" s="65">
        <v>60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60.4</v>
      </c>
      <c r="AI42" s="49">
        <f t="shared" si="3"/>
        <v>48</v>
      </c>
      <c r="AK42" s="50"/>
    </row>
    <row r="43" spans="1:88" ht="15.75" thickBot="1" x14ac:dyDescent="0.3">
      <c r="A43" s="66" t="s">
        <v>51</v>
      </c>
      <c r="B43" s="67">
        <v>21.5</v>
      </c>
      <c r="C43" s="67">
        <v>21.4</v>
      </c>
      <c r="D43" s="67">
        <v>21.4</v>
      </c>
      <c r="E43" s="67">
        <v>21.4</v>
      </c>
      <c r="F43" s="67">
        <v>21.4</v>
      </c>
      <c r="G43" s="67">
        <v>21.5</v>
      </c>
      <c r="H43" s="67">
        <v>21.4</v>
      </c>
      <c r="I43" s="67">
        <v>21.5</v>
      </c>
      <c r="J43" s="67">
        <v>21.4</v>
      </c>
      <c r="K43" s="67">
        <v>21.4</v>
      </c>
      <c r="L43" s="67">
        <v>21.5</v>
      </c>
      <c r="M43" s="67">
        <v>21.5</v>
      </c>
      <c r="N43" s="67">
        <v>21.4</v>
      </c>
      <c r="O43" s="67">
        <v>21.4</v>
      </c>
      <c r="P43" s="67">
        <v>21.5</v>
      </c>
      <c r="Q43" s="67">
        <v>21.4</v>
      </c>
      <c r="R43" s="67">
        <v>21.5</v>
      </c>
      <c r="S43" s="67">
        <v>21.4</v>
      </c>
      <c r="T43" s="67">
        <v>21.5</v>
      </c>
      <c r="U43" s="67">
        <v>21.4</v>
      </c>
      <c r="V43" s="67">
        <v>21.5</v>
      </c>
      <c r="W43" s="67">
        <v>21.5</v>
      </c>
      <c r="X43" s="67">
        <v>21.5</v>
      </c>
      <c r="Y43" s="67">
        <v>21.5</v>
      </c>
      <c r="Z43" s="67">
        <v>20.9</v>
      </c>
      <c r="AA43" s="67">
        <v>20.9</v>
      </c>
      <c r="AB43" s="67">
        <v>20.9</v>
      </c>
      <c r="AC43" s="67">
        <v>20.9</v>
      </c>
      <c r="AD43" s="67">
        <v>20.9</v>
      </c>
      <c r="AE43" s="67">
        <v>20.9</v>
      </c>
      <c r="AF43" s="67">
        <v>20.9</v>
      </c>
      <c r="AG43" s="68">
        <v>22.1</v>
      </c>
      <c r="AH43" s="48">
        <f t="shared" si="2"/>
        <v>21.5</v>
      </c>
      <c r="AI43" s="49">
        <f t="shared" si="3"/>
        <v>20.9</v>
      </c>
      <c r="AK43" s="50"/>
    </row>
    <row r="44" spans="1:88" ht="15.75" thickBot="1" x14ac:dyDescent="0.3">
      <c r="A44" s="69" t="s">
        <v>52</v>
      </c>
      <c r="B44" s="61">
        <f>SUM(B41:B43)</f>
        <v>246.5</v>
      </c>
      <c r="C44" s="61">
        <f t="shared" ref="C44:AG44" si="5">SUM(C41:C43)</f>
        <v>251.4</v>
      </c>
      <c r="D44" s="61">
        <f t="shared" si="5"/>
        <v>241.4</v>
      </c>
      <c r="E44" s="61">
        <f t="shared" si="5"/>
        <v>241.4</v>
      </c>
      <c r="F44" s="61">
        <f t="shared" si="5"/>
        <v>241.4</v>
      </c>
      <c r="G44" s="61">
        <f t="shared" si="5"/>
        <v>256.5</v>
      </c>
      <c r="H44" s="61">
        <f t="shared" si="5"/>
        <v>276.39999999999998</v>
      </c>
      <c r="I44" s="61">
        <f t="shared" si="5"/>
        <v>276.5</v>
      </c>
      <c r="J44" s="61">
        <f t="shared" si="5"/>
        <v>276.39999999999998</v>
      </c>
      <c r="K44" s="61">
        <f t="shared" si="5"/>
        <v>306.39999999999998</v>
      </c>
      <c r="L44" s="61">
        <f t="shared" si="5"/>
        <v>306.89999999999998</v>
      </c>
      <c r="M44" s="61">
        <f t="shared" si="5"/>
        <v>321.5</v>
      </c>
      <c r="N44" s="61">
        <f t="shared" si="5"/>
        <v>301.39999999999998</v>
      </c>
      <c r="O44" s="61">
        <f t="shared" si="5"/>
        <v>271.39999999999998</v>
      </c>
      <c r="P44" s="61">
        <f t="shared" si="5"/>
        <v>211.5</v>
      </c>
      <c r="Q44" s="61">
        <f t="shared" si="5"/>
        <v>211.4</v>
      </c>
      <c r="R44" s="61">
        <f t="shared" si="5"/>
        <v>201.5</v>
      </c>
      <c r="S44" s="61">
        <f t="shared" si="5"/>
        <v>191.4</v>
      </c>
      <c r="T44" s="61">
        <f t="shared" si="5"/>
        <v>179.5</v>
      </c>
      <c r="U44" s="61">
        <f t="shared" si="5"/>
        <v>183.4</v>
      </c>
      <c r="V44" s="61">
        <f t="shared" si="5"/>
        <v>261.5</v>
      </c>
      <c r="W44" s="61">
        <f t="shared" si="5"/>
        <v>401.5</v>
      </c>
      <c r="X44" s="61">
        <f t="shared" si="5"/>
        <v>461.5</v>
      </c>
      <c r="Y44" s="61">
        <f t="shared" si="5"/>
        <v>391.5</v>
      </c>
      <c r="Z44" s="61">
        <f t="shared" si="5"/>
        <v>360.9</v>
      </c>
      <c r="AA44" s="61">
        <f t="shared" si="5"/>
        <v>360.9</v>
      </c>
      <c r="AB44" s="61">
        <f t="shared" si="5"/>
        <v>335.9</v>
      </c>
      <c r="AC44" s="61">
        <f t="shared" si="5"/>
        <v>295.89999999999998</v>
      </c>
      <c r="AD44" s="61">
        <f t="shared" si="5"/>
        <v>295.89999999999998</v>
      </c>
      <c r="AE44" s="61">
        <f t="shared" si="5"/>
        <v>275.89999999999998</v>
      </c>
      <c r="AF44" s="61">
        <f t="shared" si="5"/>
        <v>275.89999999999998</v>
      </c>
      <c r="AG44" s="62">
        <f t="shared" si="5"/>
        <v>538.1</v>
      </c>
      <c r="AH44" s="48">
        <f t="shared" si="2"/>
        <v>461.5</v>
      </c>
      <c r="AI44" s="49">
        <f t="shared" si="3"/>
        <v>179.5</v>
      </c>
      <c r="AK44" s="50"/>
    </row>
    <row r="45" spans="1:88" x14ac:dyDescent="0.25">
      <c r="A45" s="44" t="s">
        <v>53</v>
      </c>
      <c r="B45" s="45">
        <v>107.3</v>
      </c>
      <c r="C45" s="45">
        <v>107.3</v>
      </c>
      <c r="D45" s="45">
        <v>107.3</v>
      </c>
      <c r="E45" s="45">
        <v>107.4</v>
      </c>
      <c r="F45" s="45">
        <v>117.5</v>
      </c>
      <c r="G45" s="45">
        <v>132.19999999999999</v>
      </c>
      <c r="H45" s="45">
        <v>142.4</v>
      </c>
      <c r="I45" s="45">
        <v>142.6</v>
      </c>
      <c r="J45" s="45">
        <v>142.4</v>
      </c>
      <c r="K45" s="45">
        <v>141.6</v>
      </c>
      <c r="L45" s="45">
        <v>143.69999999999999</v>
      </c>
      <c r="M45" s="45">
        <v>143.69999999999999</v>
      </c>
      <c r="N45" s="45">
        <v>143.30000000000001</v>
      </c>
      <c r="O45" s="45">
        <v>143.30000000000001</v>
      </c>
      <c r="P45" s="45">
        <v>133.5</v>
      </c>
      <c r="Q45" s="45">
        <v>121.4</v>
      </c>
      <c r="R45" s="45" t="s">
        <v>249</v>
      </c>
      <c r="S45" s="45">
        <v>108.4</v>
      </c>
      <c r="T45" s="45">
        <v>116</v>
      </c>
      <c r="U45" s="45">
        <v>125.4</v>
      </c>
      <c r="V45" s="45">
        <v>140</v>
      </c>
      <c r="W45" s="45">
        <v>140</v>
      </c>
      <c r="X45" s="45">
        <v>140</v>
      </c>
      <c r="Y45" s="45">
        <v>143.5</v>
      </c>
      <c r="Z45" s="45">
        <v>143.5</v>
      </c>
      <c r="AA45" s="45">
        <v>143.5</v>
      </c>
      <c r="AB45" s="45">
        <v>143.5</v>
      </c>
      <c r="AC45" s="45">
        <v>143.5</v>
      </c>
      <c r="AD45" s="45">
        <v>120</v>
      </c>
      <c r="AE45" s="45">
        <v>90</v>
      </c>
      <c r="AF45" s="45">
        <v>80</v>
      </c>
      <c r="AG45" s="52">
        <v>144</v>
      </c>
      <c r="AH45" s="48">
        <f t="shared" si="2"/>
        <v>143.69999999999999</v>
      </c>
      <c r="AI45" s="49">
        <f t="shared" si="3"/>
        <v>80</v>
      </c>
      <c r="AK45" s="50"/>
    </row>
    <row r="46" spans="1:88" x14ac:dyDescent="0.25">
      <c r="A46" s="54" t="s">
        <v>54</v>
      </c>
      <c r="B46" s="65">
        <v>52.2</v>
      </c>
      <c r="C46" s="65">
        <v>52.2</v>
      </c>
      <c r="D46" s="65">
        <v>52.2</v>
      </c>
      <c r="E46" s="65">
        <v>55</v>
      </c>
      <c r="F46" s="65">
        <v>55.5</v>
      </c>
      <c r="G46" s="65">
        <v>60</v>
      </c>
      <c r="H46" s="65">
        <v>70</v>
      </c>
      <c r="I46" s="65">
        <v>72.3</v>
      </c>
      <c r="J46" s="65">
        <v>72.599999999999994</v>
      </c>
      <c r="K46" s="65">
        <v>72.599999999999994</v>
      </c>
      <c r="L46" s="65">
        <v>70.5</v>
      </c>
      <c r="M46" s="65">
        <v>70.5</v>
      </c>
      <c r="N46" s="65">
        <v>71.5</v>
      </c>
      <c r="O46" s="65">
        <v>71.5</v>
      </c>
      <c r="P46" s="45">
        <v>71.099999999999994</v>
      </c>
      <c r="Q46" s="45">
        <v>62.9</v>
      </c>
      <c r="R46" s="45">
        <v>63.7</v>
      </c>
      <c r="S46" s="65">
        <v>60.6</v>
      </c>
      <c r="T46" s="65">
        <v>52.8</v>
      </c>
      <c r="U46" s="65">
        <v>54.1</v>
      </c>
      <c r="V46" s="65">
        <v>52.5</v>
      </c>
      <c r="W46" s="65">
        <v>52.5</v>
      </c>
      <c r="X46" s="65">
        <v>71.7</v>
      </c>
      <c r="Y46" s="65">
        <v>71.7</v>
      </c>
      <c r="Z46" s="65">
        <v>71.7</v>
      </c>
      <c r="AA46" s="65">
        <v>71.7</v>
      </c>
      <c r="AB46" s="65">
        <v>71.7</v>
      </c>
      <c r="AC46" s="65">
        <v>71.7</v>
      </c>
      <c r="AD46" s="65">
        <v>71.7</v>
      </c>
      <c r="AE46" s="65">
        <v>60</v>
      </c>
      <c r="AF46" s="65">
        <v>59</v>
      </c>
      <c r="AG46" s="55">
        <v>70</v>
      </c>
      <c r="AH46" s="48">
        <f t="shared" si="2"/>
        <v>72.599999999999994</v>
      </c>
      <c r="AI46" s="49">
        <f t="shared" si="3"/>
        <v>52.2</v>
      </c>
      <c r="AK46" s="50"/>
    </row>
    <row r="47" spans="1:88" x14ac:dyDescent="0.25">
      <c r="A47" s="54" t="s">
        <v>55</v>
      </c>
      <c r="B47" s="65">
        <v>60.7</v>
      </c>
      <c r="C47" s="65">
        <v>60.7</v>
      </c>
      <c r="D47" s="65">
        <v>67.900000000000006</v>
      </c>
      <c r="E47" s="65">
        <v>67</v>
      </c>
      <c r="F47" s="65">
        <v>60</v>
      </c>
      <c r="G47" s="65">
        <v>60</v>
      </c>
      <c r="H47" s="65">
        <v>69</v>
      </c>
      <c r="I47" s="65">
        <v>71</v>
      </c>
      <c r="J47" s="65">
        <v>70.7</v>
      </c>
      <c r="K47" s="65">
        <v>40</v>
      </c>
      <c r="L47" s="65">
        <v>70.5</v>
      </c>
      <c r="M47" s="65">
        <v>70.5</v>
      </c>
      <c r="N47" s="65">
        <v>70.599999999999994</v>
      </c>
      <c r="O47" s="65">
        <v>70.599999999999994</v>
      </c>
      <c r="P47" s="45">
        <v>71.099999999999994</v>
      </c>
      <c r="Q47" s="45">
        <v>71.099999999999994</v>
      </c>
      <c r="R47" s="45">
        <v>71.400000000000006</v>
      </c>
      <c r="S47" s="65">
        <v>71</v>
      </c>
      <c r="T47" s="65">
        <v>71</v>
      </c>
      <c r="U47" s="65">
        <v>71</v>
      </c>
      <c r="V47" s="65">
        <v>71.8</v>
      </c>
      <c r="W47" s="65">
        <v>71.8</v>
      </c>
      <c r="X47" s="65">
        <v>71.099999999999994</v>
      </c>
      <c r="Y47" s="65">
        <v>71.099999999999994</v>
      </c>
      <c r="Z47" s="65">
        <v>71.099999999999994</v>
      </c>
      <c r="AA47" s="65">
        <v>71.099999999999994</v>
      </c>
      <c r="AB47" s="65">
        <v>71.099999999999994</v>
      </c>
      <c r="AC47" s="65">
        <v>71.099999999999994</v>
      </c>
      <c r="AD47" s="65">
        <v>71.099999999999994</v>
      </c>
      <c r="AE47" s="65">
        <v>61</v>
      </c>
      <c r="AF47" s="65">
        <v>52</v>
      </c>
      <c r="AG47" s="55">
        <v>69</v>
      </c>
      <c r="AH47" s="48">
        <f t="shared" si="2"/>
        <v>71.8</v>
      </c>
      <c r="AI47" s="49">
        <f t="shared" si="3"/>
        <v>40</v>
      </c>
      <c r="AK47" s="50"/>
    </row>
    <row r="48" spans="1:88" x14ac:dyDescent="0.25">
      <c r="A48" s="54" t="s">
        <v>56</v>
      </c>
      <c r="B48" s="57">
        <v>40</v>
      </c>
      <c r="C48" s="57">
        <v>40</v>
      </c>
      <c r="D48" s="57">
        <v>40</v>
      </c>
      <c r="E48" s="57">
        <v>40</v>
      </c>
      <c r="F48" s="57">
        <v>40</v>
      </c>
      <c r="G48" s="57">
        <v>50</v>
      </c>
      <c r="H48" s="57">
        <v>60</v>
      </c>
      <c r="I48" s="57">
        <v>60</v>
      </c>
      <c r="J48" s="57">
        <v>60</v>
      </c>
      <c r="K48" s="57">
        <v>60.3</v>
      </c>
      <c r="L48" s="57">
        <v>60.3</v>
      </c>
      <c r="M48" s="57">
        <v>60.3</v>
      </c>
      <c r="N48" s="57">
        <v>60.3</v>
      </c>
      <c r="O48" s="57">
        <v>60.3</v>
      </c>
      <c r="P48" s="45">
        <v>60.4</v>
      </c>
      <c r="Q48" s="45">
        <v>51.1</v>
      </c>
      <c r="R48" s="45">
        <v>41.5</v>
      </c>
      <c r="S48" s="45">
        <v>41.5</v>
      </c>
      <c r="T48" s="45">
        <v>60</v>
      </c>
      <c r="U48" s="45">
        <v>60</v>
      </c>
      <c r="V48" s="65">
        <v>60.4</v>
      </c>
      <c r="W48" s="65">
        <v>60.4</v>
      </c>
      <c r="X48" s="65">
        <v>60.4</v>
      </c>
      <c r="Y48" s="65">
        <v>60.4</v>
      </c>
      <c r="Z48" s="65">
        <v>60.4</v>
      </c>
      <c r="AA48" s="65">
        <v>60.4</v>
      </c>
      <c r="AB48" s="65">
        <v>60.4</v>
      </c>
      <c r="AC48" s="65">
        <v>60.4</v>
      </c>
      <c r="AD48" s="65">
        <v>60.4</v>
      </c>
      <c r="AE48" s="57">
        <v>30</v>
      </c>
      <c r="AF48" s="57">
        <v>30</v>
      </c>
      <c r="AG48" s="55">
        <v>60</v>
      </c>
      <c r="AH48" s="48">
        <f t="shared" si="2"/>
        <v>60.4</v>
      </c>
      <c r="AI48" s="49">
        <f t="shared" si="3"/>
        <v>30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15</v>
      </c>
      <c r="J49" s="57">
        <v>26</v>
      </c>
      <c r="K49" s="57">
        <v>26.3</v>
      </c>
      <c r="L49" s="57">
        <v>26.3</v>
      </c>
      <c r="M49" s="57">
        <v>26.3</v>
      </c>
      <c r="N49" s="57">
        <v>14.8</v>
      </c>
      <c r="O49" s="57">
        <v>0</v>
      </c>
      <c r="P49" s="45">
        <v>0</v>
      </c>
      <c r="Q49" s="45">
        <v>0</v>
      </c>
      <c r="R49" s="45">
        <v>0</v>
      </c>
      <c r="S49" s="45">
        <v>0</v>
      </c>
      <c r="T49" s="45">
        <v>0</v>
      </c>
      <c r="U49" s="45">
        <v>0</v>
      </c>
      <c r="V49" s="65">
        <v>0</v>
      </c>
      <c r="W49" s="65">
        <v>14.1</v>
      </c>
      <c r="X49" s="65">
        <v>26.1</v>
      </c>
      <c r="Y49" s="65">
        <v>26.1</v>
      </c>
      <c r="Z49" s="65">
        <v>26.1</v>
      </c>
      <c r="AA49" s="65">
        <v>26.1</v>
      </c>
      <c r="AB49" s="65">
        <v>26.1</v>
      </c>
      <c r="AC49" s="65">
        <v>26.1</v>
      </c>
      <c r="AD49" s="65">
        <v>0</v>
      </c>
      <c r="AE49" s="57">
        <v>0</v>
      </c>
      <c r="AF49" s="57">
        <v>0</v>
      </c>
      <c r="AG49" s="55">
        <v>30</v>
      </c>
      <c r="AH49" s="48">
        <f t="shared" si="2"/>
        <v>26.3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6</v>
      </c>
      <c r="N50" s="65">
        <v>8</v>
      </c>
      <c r="O50" s="65">
        <v>10</v>
      </c>
      <c r="P50" s="65">
        <v>10</v>
      </c>
      <c r="Q50" s="65">
        <v>14</v>
      </c>
      <c r="R50" s="45">
        <v>15</v>
      </c>
      <c r="S50" s="45">
        <v>15</v>
      </c>
      <c r="T50" s="45">
        <v>15</v>
      </c>
      <c r="U50" s="45">
        <v>15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65">
        <v>0</v>
      </c>
      <c r="AF50" s="65">
        <v>0</v>
      </c>
      <c r="AG50" s="55">
        <v>25</v>
      </c>
      <c r="AH50" s="48">
        <f t="shared" si="2"/>
        <v>15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17.600000000000001</v>
      </c>
      <c r="C51" s="65">
        <v>17.600000000000001</v>
      </c>
      <c r="D51" s="65">
        <v>17.600000000000001</v>
      </c>
      <c r="E51" s="65">
        <v>17.600000000000001</v>
      </c>
      <c r="F51" s="65">
        <v>17.600000000000001</v>
      </c>
      <c r="G51" s="65">
        <v>17.600000000000001</v>
      </c>
      <c r="H51" s="65">
        <v>17.600000000000001</v>
      </c>
      <c r="I51" s="65">
        <v>17.600000000000001</v>
      </c>
      <c r="J51" s="65">
        <v>17.600000000000001</v>
      </c>
      <c r="K51" s="65">
        <v>17.600000000000001</v>
      </c>
      <c r="L51" s="65">
        <v>17.600000000000001</v>
      </c>
      <c r="M51" s="65">
        <v>17.600000000000001</v>
      </c>
      <c r="N51" s="65">
        <v>17.600000000000001</v>
      </c>
      <c r="O51" s="65">
        <v>17.600000000000001</v>
      </c>
      <c r="P51" s="65">
        <v>17.600000000000001</v>
      </c>
      <c r="Q51" s="65">
        <v>17.8</v>
      </c>
      <c r="R51" s="45">
        <v>17.600000000000001</v>
      </c>
      <c r="S51" s="45">
        <v>17.600000000000001</v>
      </c>
      <c r="T51" s="45">
        <v>17.600000000000001</v>
      </c>
      <c r="U51" s="45">
        <v>17.600000000000001</v>
      </c>
      <c r="V51" s="45">
        <v>17.600000000000001</v>
      </c>
      <c r="W51" s="45">
        <v>17.600000000000001</v>
      </c>
      <c r="X51" s="45">
        <v>17.600000000000001</v>
      </c>
      <c r="Y51" s="45">
        <v>17.600000000000001</v>
      </c>
      <c r="Z51" s="45">
        <v>17.600000000000001</v>
      </c>
      <c r="AA51" s="45">
        <v>17.600000000000001</v>
      </c>
      <c r="AB51" s="45">
        <v>17.600000000000001</v>
      </c>
      <c r="AC51" s="45">
        <v>17.600000000000001</v>
      </c>
      <c r="AD51" s="45">
        <v>17.600000000000001</v>
      </c>
      <c r="AE51" s="45">
        <v>17.600000000000001</v>
      </c>
      <c r="AF51" s="45">
        <v>10</v>
      </c>
      <c r="AG51" s="55">
        <v>24</v>
      </c>
      <c r="AH51" s="48">
        <f t="shared" si="2"/>
        <v>17.8</v>
      </c>
      <c r="AI51" s="49">
        <f t="shared" si="3"/>
        <v>10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15.5</v>
      </c>
      <c r="C53" s="65">
        <v>15.5</v>
      </c>
      <c r="D53" s="65">
        <v>15.5</v>
      </c>
      <c r="E53" s="65">
        <v>15.5</v>
      </c>
      <c r="F53" s="65">
        <v>15.5</v>
      </c>
      <c r="G53" s="65">
        <v>15.5</v>
      </c>
      <c r="H53" s="65">
        <v>15.5</v>
      </c>
      <c r="I53" s="65">
        <v>15.5</v>
      </c>
      <c r="J53" s="65">
        <v>15.5</v>
      </c>
      <c r="K53" s="65">
        <v>14.7</v>
      </c>
      <c r="L53" s="65">
        <v>14.7</v>
      </c>
      <c r="M53" s="65">
        <v>14.7</v>
      </c>
      <c r="N53" s="65">
        <v>14.7</v>
      </c>
      <c r="O53" s="65">
        <v>14.7</v>
      </c>
      <c r="P53" s="65">
        <v>14.7</v>
      </c>
      <c r="Q53" s="65">
        <v>14.5</v>
      </c>
      <c r="R53" s="65">
        <v>14.7</v>
      </c>
      <c r="S53" s="65">
        <v>14.7</v>
      </c>
      <c r="T53" s="65">
        <v>14.7</v>
      </c>
      <c r="U53" s="65">
        <v>14.7</v>
      </c>
      <c r="V53" s="65">
        <v>14.7</v>
      </c>
      <c r="W53" s="65">
        <v>14.7</v>
      </c>
      <c r="X53" s="65">
        <v>13.9</v>
      </c>
      <c r="Y53" s="65">
        <v>13.9</v>
      </c>
      <c r="Z53" s="65">
        <v>13.9</v>
      </c>
      <c r="AA53" s="65">
        <v>13.9</v>
      </c>
      <c r="AB53" s="65">
        <v>13.9</v>
      </c>
      <c r="AC53" s="65">
        <v>13.9</v>
      </c>
      <c r="AD53" s="65">
        <v>13.9</v>
      </c>
      <c r="AE53" s="65">
        <v>13.9</v>
      </c>
      <c r="AF53" s="65">
        <v>14</v>
      </c>
      <c r="AG53" s="55">
        <v>14.1</v>
      </c>
      <c r="AH53" s="48">
        <f t="shared" si="2"/>
        <v>15.5</v>
      </c>
      <c r="AI53" s="49">
        <f t="shared" si="3"/>
        <v>13.9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9.6</v>
      </c>
      <c r="C54" s="65">
        <v>9.6999999999999993</v>
      </c>
      <c r="D54" s="65">
        <v>9.6999999999999993</v>
      </c>
      <c r="E54" s="65">
        <v>9.6999999999999993</v>
      </c>
      <c r="F54" s="65">
        <v>9.6999999999999993</v>
      </c>
      <c r="G54" s="65">
        <v>9.6999999999999993</v>
      </c>
      <c r="H54" s="65">
        <v>9.6999999999999993</v>
      </c>
      <c r="I54" s="65">
        <v>9.6999999999999993</v>
      </c>
      <c r="J54" s="65">
        <v>9.6999999999999993</v>
      </c>
      <c r="K54" s="65">
        <v>9.6999999999999993</v>
      </c>
      <c r="L54" s="65">
        <v>9.6999999999999993</v>
      </c>
      <c r="M54" s="65">
        <v>9.6999999999999993</v>
      </c>
      <c r="N54" s="65">
        <v>9.1999999999999993</v>
      </c>
      <c r="O54" s="65">
        <v>9.1999999999999993</v>
      </c>
      <c r="P54" s="65">
        <v>9.1999999999999993</v>
      </c>
      <c r="Q54" s="65">
        <v>9.8000000000000007</v>
      </c>
      <c r="R54" s="65">
        <v>9.9</v>
      </c>
      <c r="S54" s="65">
        <v>9.9</v>
      </c>
      <c r="T54" s="65">
        <v>9.9</v>
      </c>
      <c r="U54" s="65">
        <v>9.9</v>
      </c>
      <c r="V54" s="65">
        <v>9.9</v>
      </c>
      <c r="W54" s="65">
        <v>9.9</v>
      </c>
      <c r="X54" s="65">
        <v>9.9</v>
      </c>
      <c r="Y54" s="65">
        <v>9.9</v>
      </c>
      <c r="Z54" s="65">
        <v>9.9</v>
      </c>
      <c r="AA54" s="65">
        <v>9.9</v>
      </c>
      <c r="AB54" s="65">
        <v>9.9</v>
      </c>
      <c r="AC54" s="65">
        <v>9.9</v>
      </c>
      <c r="AD54" s="65">
        <v>9.9</v>
      </c>
      <c r="AE54" s="65">
        <v>9.9</v>
      </c>
      <c r="AF54" s="65">
        <v>9.9</v>
      </c>
      <c r="AG54" s="55">
        <v>14</v>
      </c>
      <c r="AH54" s="48">
        <f t="shared" si="2"/>
        <v>9.9</v>
      </c>
      <c r="AI54" s="49">
        <f t="shared" si="3"/>
        <v>9.1999999999999993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65">
        <v>4.5999999999999996</v>
      </c>
      <c r="U56" s="65">
        <v>4.5999999999999996</v>
      </c>
      <c r="V56" s="65">
        <v>4.5999999999999996</v>
      </c>
      <c r="W56" s="65">
        <v>4.5999999999999996</v>
      </c>
      <c r="X56" s="65">
        <v>4.5999999999999996</v>
      </c>
      <c r="Y56" s="65">
        <v>4.5999999999999996</v>
      </c>
      <c r="Z56" s="65">
        <v>4.5999999999999996</v>
      </c>
      <c r="AA56" s="65">
        <v>4.5999999999999996</v>
      </c>
      <c r="AB56" s="65">
        <v>4.5999999999999996</v>
      </c>
      <c r="AC56" s="65">
        <v>4.5999999999999996</v>
      </c>
      <c r="AD56" s="65">
        <v>4.5999999999999996</v>
      </c>
      <c r="AE56" s="65">
        <v>4.5999999999999996</v>
      </c>
      <c r="AF56" s="65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>SUM(B45:B57)</f>
        <v>320.04000000000008</v>
      </c>
      <c r="C58" s="61">
        <f t="shared" ref="C58:AG58" si="6">SUM(C45:C57)</f>
        <v>320.14000000000004</v>
      </c>
      <c r="D58" s="61">
        <f t="shared" si="6"/>
        <v>327.34000000000003</v>
      </c>
      <c r="E58" s="61">
        <f t="shared" si="6"/>
        <v>329.34000000000003</v>
      </c>
      <c r="F58" s="61">
        <f t="shared" si="6"/>
        <v>332.94000000000005</v>
      </c>
      <c r="G58" s="61">
        <f t="shared" si="6"/>
        <v>362.14000000000004</v>
      </c>
      <c r="H58" s="61">
        <f t="shared" si="6"/>
        <v>401.34000000000003</v>
      </c>
      <c r="I58" s="61">
        <f t="shared" si="6"/>
        <v>420.84000000000003</v>
      </c>
      <c r="J58" s="61">
        <f t="shared" si="6"/>
        <v>431.64000000000004</v>
      </c>
      <c r="K58" s="61">
        <f t="shared" si="6"/>
        <v>399.94000000000005</v>
      </c>
      <c r="L58" s="61">
        <f t="shared" si="6"/>
        <v>430.44000000000005</v>
      </c>
      <c r="M58" s="61">
        <f t="shared" si="6"/>
        <v>436.44000000000005</v>
      </c>
      <c r="N58" s="61">
        <f t="shared" si="6"/>
        <v>427.14000000000004</v>
      </c>
      <c r="O58" s="61">
        <f t="shared" si="6"/>
        <v>414.34000000000003</v>
      </c>
      <c r="P58" s="61">
        <f t="shared" si="6"/>
        <v>404.74</v>
      </c>
      <c r="Q58" s="61">
        <f t="shared" si="6"/>
        <v>379.74000000000007</v>
      </c>
      <c r="R58" s="61">
        <f t="shared" si="6"/>
        <v>250.94</v>
      </c>
      <c r="S58" s="61">
        <f t="shared" si="6"/>
        <v>355.84000000000003</v>
      </c>
      <c r="T58" s="61">
        <f t="shared" si="6"/>
        <v>374.14000000000004</v>
      </c>
      <c r="U58" s="61">
        <f t="shared" si="6"/>
        <v>384.84000000000003</v>
      </c>
      <c r="V58" s="61">
        <f t="shared" si="6"/>
        <v>384.04</v>
      </c>
      <c r="W58" s="61">
        <f t="shared" si="6"/>
        <v>398.14000000000004</v>
      </c>
      <c r="X58" s="61">
        <f t="shared" si="6"/>
        <v>427.84</v>
      </c>
      <c r="Y58" s="61">
        <f t="shared" si="6"/>
        <v>431.34</v>
      </c>
      <c r="Z58" s="61">
        <f t="shared" si="6"/>
        <v>431.34</v>
      </c>
      <c r="AA58" s="61">
        <f t="shared" si="6"/>
        <v>431.34</v>
      </c>
      <c r="AB58" s="61">
        <f t="shared" si="6"/>
        <v>431.34</v>
      </c>
      <c r="AC58" s="61">
        <f t="shared" si="6"/>
        <v>431.34</v>
      </c>
      <c r="AD58" s="61">
        <f t="shared" si="6"/>
        <v>381.73999999999995</v>
      </c>
      <c r="AE58" s="61">
        <f t="shared" si="6"/>
        <v>299.54000000000002</v>
      </c>
      <c r="AF58" s="61">
        <f t="shared" si="6"/>
        <v>272.04000000000002</v>
      </c>
      <c r="AG58" s="62">
        <f t="shared" si="6"/>
        <v>489.91</v>
      </c>
      <c r="AH58" s="48">
        <f t="shared" si="2"/>
        <v>436.44000000000005</v>
      </c>
      <c r="AI58" s="49">
        <f t="shared" si="3"/>
        <v>250.94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32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8">
        <v>14</v>
      </c>
      <c r="AH61" s="48">
        <f t="shared" si="2"/>
        <v>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0</v>
      </c>
      <c r="Y62" s="61">
        <f t="shared" si="7"/>
        <v>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-355.6</v>
      </c>
      <c r="C65" s="65">
        <v>-368.6</v>
      </c>
      <c r="D65" s="65">
        <v>-383.5</v>
      </c>
      <c r="E65" s="65">
        <v>-388</v>
      </c>
      <c r="F65" s="65">
        <v>-380</v>
      </c>
      <c r="G65" s="65">
        <v>-385</v>
      </c>
      <c r="H65" s="65">
        <v>-384</v>
      </c>
      <c r="I65" s="65">
        <v>-375</v>
      </c>
      <c r="J65" s="65">
        <v>-402</v>
      </c>
      <c r="K65" s="65">
        <v>-390</v>
      </c>
      <c r="L65" s="65">
        <v>-400</v>
      </c>
      <c r="M65" s="65">
        <v>-397.3</v>
      </c>
      <c r="N65" s="65">
        <v>-400.5</v>
      </c>
      <c r="O65" s="65">
        <v>-407.1</v>
      </c>
      <c r="P65" s="65">
        <v>-403</v>
      </c>
      <c r="Q65" s="65">
        <v>-405.2</v>
      </c>
      <c r="R65" s="65">
        <v>-402</v>
      </c>
      <c r="S65" s="65">
        <v>-394.7</v>
      </c>
      <c r="T65" s="65">
        <v>-376</v>
      </c>
      <c r="U65" s="65">
        <v>-341</v>
      </c>
      <c r="V65" s="65">
        <v>-378</v>
      </c>
      <c r="W65" s="65">
        <v>-407</v>
      </c>
      <c r="X65" s="65">
        <v>-427</v>
      </c>
      <c r="Y65" s="65">
        <v>-404</v>
      </c>
      <c r="Z65" s="65">
        <v>-397</v>
      </c>
      <c r="AA65" s="65">
        <v>-402</v>
      </c>
      <c r="AB65" s="65">
        <v>-415</v>
      </c>
      <c r="AC65" s="65">
        <v>-400</v>
      </c>
      <c r="AD65" s="65">
        <v>-410</v>
      </c>
      <c r="AE65" s="65">
        <v>-400</v>
      </c>
      <c r="AF65" s="65">
        <v>-410</v>
      </c>
      <c r="AG65" s="75"/>
      <c r="AH65" s="48">
        <f t="shared" si="2"/>
        <v>-341</v>
      </c>
      <c r="AI65" s="49">
        <f t="shared" si="3"/>
        <v>-427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76">
        <v>0</v>
      </c>
      <c r="C67" s="76">
        <v>0</v>
      </c>
      <c r="D67" s="76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6">
        <v>0</v>
      </c>
      <c r="C68" s="76">
        <v>0</v>
      </c>
      <c r="D68" s="76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6">
        <v>0</v>
      </c>
      <c r="C69" s="76">
        <v>0</v>
      </c>
      <c r="D69" s="76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7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7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6">
        <v>0</v>
      </c>
      <c r="C72" s="76">
        <v>0</v>
      </c>
      <c r="D72" s="76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7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6">
        <v>0</v>
      </c>
      <c r="C73" s="76">
        <v>0</v>
      </c>
      <c r="D73" s="76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7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1126.6399999999999</v>
      </c>
      <c r="C79" s="83">
        <f t="shared" si="11"/>
        <v>1131.6399999999999</v>
      </c>
      <c r="D79" s="83">
        <f t="shared" si="11"/>
        <v>1128.8399999999999</v>
      </c>
      <c r="E79" s="83">
        <f t="shared" si="11"/>
        <v>1130.8399999999999</v>
      </c>
      <c r="F79" s="83">
        <f t="shared" si="11"/>
        <v>1134.44</v>
      </c>
      <c r="G79" s="83">
        <f t="shared" si="11"/>
        <v>1178.74</v>
      </c>
      <c r="H79" s="83">
        <f t="shared" si="11"/>
        <v>1237.8399999999999</v>
      </c>
      <c r="I79" s="83">
        <f t="shared" si="11"/>
        <v>1275.44</v>
      </c>
      <c r="J79" s="83">
        <f t="shared" si="11"/>
        <v>1291.1400000000001</v>
      </c>
      <c r="K79" s="83">
        <f t="shared" si="11"/>
        <v>1285.94</v>
      </c>
      <c r="L79" s="83">
        <f t="shared" si="11"/>
        <v>1316.94</v>
      </c>
      <c r="M79" s="83">
        <f t="shared" si="11"/>
        <v>1349.14</v>
      </c>
      <c r="N79" s="83">
        <f t="shared" si="11"/>
        <v>1317.54</v>
      </c>
      <c r="O79" s="83">
        <f t="shared" si="11"/>
        <v>1271.74</v>
      </c>
      <c r="P79" s="83">
        <f t="shared" si="11"/>
        <v>1202.24</v>
      </c>
      <c r="Q79" s="83">
        <f t="shared" si="11"/>
        <v>1174.44</v>
      </c>
      <c r="R79" s="83">
        <f t="shared" si="11"/>
        <v>1018.44</v>
      </c>
      <c r="S79" s="83">
        <f t="shared" si="11"/>
        <v>1131.24</v>
      </c>
      <c r="T79" s="83">
        <f t="shared" si="11"/>
        <v>1147.0400000000002</v>
      </c>
      <c r="U79" s="83">
        <f t="shared" si="11"/>
        <v>1142.54</v>
      </c>
      <c r="V79" s="83">
        <f t="shared" si="11"/>
        <v>1246.74</v>
      </c>
      <c r="W79" s="83">
        <f t="shared" si="11"/>
        <v>1425.0400000000002</v>
      </c>
      <c r="X79" s="83">
        <f t="shared" si="11"/>
        <v>1570.44</v>
      </c>
      <c r="Y79" s="83">
        <f t="shared" si="11"/>
        <v>1489.44</v>
      </c>
      <c r="Z79" s="83">
        <f t="shared" si="11"/>
        <v>1422.14</v>
      </c>
      <c r="AA79" s="83">
        <f t="shared" si="11"/>
        <v>1401.24</v>
      </c>
      <c r="AB79" s="83">
        <f t="shared" si="11"/>
        <v>1367.64</v>
      </c>
      <c r="AC79" s="83">
        <f t="shared" si="11"/>
        <v>1313.74</v>
      </c>
      <c r="AD79" s="83">
        <f t="shared" si="11"/>
        <v>1264.1399999999999</v>
      </c>
      <c r="AE79" s="83">
        <f t="shared" si="11"/>
        <v>1161.94</v>
      </c>
      <c r="AF79" s="83">
        <f t="shared" si="11"/>
        <v>1134.44</v>
      </c>
      <c r="AG79" s="62">
        <f t="shared" si="11"/>
        <v>1897.1900000000003</v>
      </c>
      <c r="AH79" s="48">
        <f t="shared" si="9"/>
        <v>1570.44</v>
      </c>
      <c r="AI79" s="49">
        <f t="shared" si="10"/>
        <v>1018.44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1126.6399999999999</v>
      </c>
      <c r="C81" s="83">
        <f t="shared" si="12"/>
        <v>1131.6399999999999</v>
      </c>
      <c r="D81" s="83">
        <f t="shared" si="12"/>
        <v>1128.8399999999999</v>
      </c>
      <c r="E81" s="83">
        <f t="shared" si="12"/>
        <v>1130.8399999999999</v>
      </c>
      <c r="F81" s="83">
        <f t="shared" si="12"/>
        <v>1134.44</v>
      </c>
      <c r="G81" s="83">
        <f t="shared" si="12"/>
        <v>1178.74</v>
      </c>
      <c r="H81" s="83">
        <f t="shared" si="12"/>
        <v>1237.8399999999999</v>
      </c>
      <c r="I81" s="83">
        <f t="shared" si="12"/>
        <v>1275.44</v>
      </c>
      <c r="J81" s="83">
        <f t="shared" si="12"/>
        <v>1291.1400000000001</v>
      </c>
      <c r="K81" s="83">
        <f t="shared" si="12"/>
        <v>1285.94</v>
      </c>
      <c r="L81" s="83">
        <f t="shared" si="12"/>
        <v>1316.94</v>
      </c>
      <c r="M81" s="83">
        <f t="shared" si="12"/>
        <v>1349.14</v>
      </c>
      <c r="N81" s="83">
        <f t="shared" si="12"/>
        <v>1317.54</v>
      </c>
      <c r="O81" s="83">
        <f t="shared" si="12"/>
        <v>1271.74</v>
      </c>
      <c r="P81" s="83">
        <f t="shared" si="12"/>
        <v>1202.24</v>
      </c>
      <c r="Q81" s="83">
        <f t="shared" si="12"/>
        <v>1174.44</v>
      </c>
      <c r="R81" s="83">
        <f t="shared" si="12"/>
        <v>1018.44</v>
      </c>
      <c r="S81" s="83">
        <f t="shared" si="12"/>
        <v>1131.24</v>
      </c>
      <c r="T81" s="83">
        <f t="shared" si="12"/>
        <v>1147.0400000000002</v>
      </c>
      <c r="U81" s="83">
        <f t="shared" si="12"/>
        <v>1142.54</v>
      </c>
      <c r="V81" s="83">
        <f t="shared" si="12"/>
        <v>1246.74</v>
      </c>
      <c r="W81" s="83">
        <f t="shared" si="12"/>
        <v>1425.0400000000002</v>
      </c>
      <c r="X81" s="83">
        <f t="shared" si="12"/>
        <v>1570.44</v>
      </c>
      <c r="Y81" s="83">
        <f t="shared" si="12"/>
        <v>1489.44</v>
      </c>
      <c r="Z81" s="83">
        <f t="shared" si="12"/>
        <v>1422.14</v>
      </c>
      <c r="AA81" s="83">
        <f t="shared" si="12"/>
        <v>1401.24</v>
      </c>
      <c r="AB81" s="83">
        <f t="shared" si="12"/>
        <v>1367.64</v>
      </c>
      <c r="AC81" s="83">
        <f t="shared" si="12"/>
        <v>1313.74</v>
      </c>
      <c r="AD81" s="83">
        <f t="shared" si="12"/>
        <v>1264.1399999999999</v>
      </c>
      <c r="AE81" s="83">
        <f t="shared" si="12"/>
        <v>1161.94</v>
      </c>
      <c r="AF81" s="83">
        <f t="shared" si="12"/>
        <v>1134.44</v>
      </c>
      <c r="AG81" s="81">
        <f>AG78+AG74+AG62+AG58+AG40+AG80</f>
        <v>1359.0900000000001</v>
      </c>
      <c r="AH81" s="48">
        <f t="shared" si="9"/>
        <v>1570.44</v>
      </c>
      <c r="AI81" s="49">
        <f t="shared" si="10"/>
        <v>1018.44</v>
      </c>
    </row>
    <row r="82" spans="1:37" ht="15.75" thickBot="1" x14ac:dyDescent="0.3">
      <c r="A82" s="74" t="s">
        <v>90</v>
      </c>
      <c r="B82" s="83">
        <f t="shared" ref="B82:AF82" si="13">B81-B89</f>
        <v>771.03999999999985</v>
      </c>
      <c r="C82" s="83">
        <f t="shared" si="13"/>
        <v>763.03999999999985</v>
      </c>
      <c r="D82" s="83">
        <f t="shared" si="13"/>
        <v>745.33999999999992</v>
      </c>
      <c r="E82" s="83">
        <f t="shared" si="13"/>
        <v>742.83999999999992</v>
      </c>
      <c r="F82" s="83">
        <f t="shared" si="13"/>
        <v>754.44</v>
      </c>
      <c r="G82" s="83">
        <f t="shared" si="13"/>
        <v>793.74</v>
      </c>
      <c r="H82" s="83">
        <f t="shared" si="13"/>
        <v>853.83999999999992</v>
      </c>
      <c r="I82" s="83">
        <f t="shared" si="13"/>
        <v>900.44</v>
      </c>
      <c r="J82" s="83">
        <f t="shared" si="13"/>
        <v>889.1400000000001</v>
      </c>
      <c r="K82" s="83">
        <f t="shared" si="13"/>
        <v>895.94</v>
      </c>
      <c r="L82" s="83">
        <f t="shared" si="13"/>
        <v>916.94</v>
      </c>
      <c r="M82" s="83">
        <f t="shared" si="13"/>
        <v>951.84000000000015</v>
      </c>
      <c r="N82" s="83">
        <f t="shared" si="13"/>
        <v>917.04</v>
      </c>
      <c r="O82" s="83">
        <f t="shared" si="13"/>
        <v>864.64</v>
      </c>
      <c r="P82" s="83">
        <f t="shared" si="13"/>
        <v>799.24</v>
      </c>
      <c r="Q82" s="83">
        <f t="shared" si="13"/>
        <v>769.24</v>
      </c>
      <c r="R82" s="83">
        <f t="shared" si="13"/>
        <v>616.44000000000005</v>
      </c>
      <c r="S82" s="83">
        <f t="shared" si="13"/>
        <v>736.54</v>
      </c>
      <c r="T82" s="83">
        <f t="shared" si="13"/>
        <v>771.04000000000019</v>
      </c>
      <c r="U82" s="83">
        <f t="shared" si="13"/>
        <v>801.54</v>
      </c>
      <c r="V82" s="83">
        <f t="shared" si="13"/>
        <v>868.74</v>
      </c>
      <c r="W82" s="83">
        <f t="shared" si="13"/>
        <v>1018.0400000000002</v>
      </c>
      <c r="X82" s="83">
        <f t="shared" si="13"/>
        <v>1143.44</v>
      </c>
      <c r="Y82" s="83">
        <f t="shared" si="13"/>
        <v>1085.44</v>
      </c>
      <c r="Z82" s="83">
        <f t="shared" si="13"/>
        <v>1025.1400000000001</v>
      </c>
      <c r="AA82" s="83">
        <f t="shared" si="13"/>
        <v>999.24</v>
      </c>
      <c r="AB82" s="83">
        <f t="shared" si="13"/>
        <v>952.6400000000001</v>
      </c>
      <c r="AC82" s="83">
        <f t="shared" si="13"/>
        <v>913.74</v>
      </c>
      <c r="AD82" s="83">
        <f t="shared" si="13"/>
        <v>854.13999999999987</v>
      </c>
      <c r="AE82" s="83">
        <f t="shared" si="13"/>
        <v>761.94</v>
      </c>
      <c r="AF82" s="83">
        <f t="shared" si="13"/>
        <v>724.44</v>
      </c>
      <c r="AG82" s="81"/>
      <c r="AH82" s="48">
        <f t="shared" si="9"/>
        <v>1143.44</v>
      </c>
      <c r="AI82" s="49">
        <f t="shared" si="10"/>
        <v>616.44000000000005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355.6</v>
      </c>
      <c r="C86" s="76">
        <f t="shared" si="17"/>
        <v>368.6</v>
      </c>
      <c r="D86" s="76">
        <f t="shared" si="17"/>
        <v>383.5</v>
      </c>
      <c r="E86" s="76">
        <f t="shared" si="17"/>
        <v>388</v>
      </c>
      <c r="F86" s="76">
        <f t="shared" si="17"/>
        <v>380</v>
      </c>
      <c r="G86" s="76">
        <f t="shared" si="17"/>
        <v>385</v>
      </c>
      <c r="H86" s="76">
        <f t="shared" si="17"/>
        <v>384</v>
      </c>
      <c r="I86" s="76">
        <f t="shared" si="17"/>
        <v>375</v>
      </c>
      <c r="J86" s="76">
        <f t="shared" si="17"/>
        <v>402</v>
      </c>
      <c r="K86" s="76">
        <f t="shared" si="17"/>
        <v>390</v>
      </c>
      <c r="L86" s="76">
        <f t="shared" si="17"/>
        <v>400</v>
      </c>
      <c r="M86" s="76">
        <f t="shared" si="17"/>
        <v>397.3</v>
      </c>
      <c r="N86" s="76">
        <f t="shared" si="17"/>
        <v>400.5</v>
      </c>
      <c r="O86" s="76">
        <f t="shared" si="17"/>
        <v>407.1</v>
      </c>
      <c r="P86" s="76">
        <f t="shared" si="17"/>
        <v>403</v>
      </c>
      <c r="Q86" s="76">
        <f t="shared" si="17"/>
        <v>405.2</v>
      </c>
      <c r="R86" s="76">
        <f t="shared" si="17"/>
        <v>402</v>
      </c>
      <c r="S86" s="76">
        <f t="shared" si="17"/>
        <v>394.7</v>
      </c>
      <c r="T86" s="76">
        <f t="shared" si="17"/>
        <v>376</v>
      </c>
      <c r="U86" s="76">
        <f t="shared" si="17"/>
        <v>341</v>
      </c>
      <c r="V86" s="76">
        <f t="shared" si="17"/>
        <v>378</v>
      </c>
      <c r="W86" s="76">
        <f t="shared" si="17"/>
        <v>407</v>
      </c>
      <c r="X86" s="76">
        <f t="shared" si="17"/>
        <v>427</v>
      </c>
      <c r="Y86" s="76">
        <f t="shared" si="17"/>
        <v>404</v>
      </c>
      <c r="Z86" s="76">
        <f t="shared" si="17"/>
        <v>397</v>
      </c>
      <c r="AA86" s="76">
        <f t="shared" si="17"/>
        <v>402</v>
      </c>
      <c r="AB86" s="76">
        <f t="shared" si="17"/>
        <v>415</v>
      </c>
      <c r="AC86" s="76">
        <f t="shared" si="17"/>
        <v>400</v>
      </c>
      <c r="AD86" s="76">
        <f t="shared" si="17"/>
        <v>410</v>
      </c>
      <c r="AE86" s="76">
        <f t="shared" si="17"/>
        <v>400</v>
      </c>
      <c r="AF86" s="76">
        <f t="shared" si="17"/>
        <v>410</v>
      </c>
      <c r="AG86" s="86"/>
      <c r="AH86" s="48">
        <f t="shared" si="9"/>
        <v>427</v>
      </c>
      <c r="AI86" s="49">
        <f t="shared" si="10"/>
        <v>341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355.6</v>
      </c>
      <c r="C89" s="61">
        <f t="shared" si="19"/>
        <v>368.6</v>
      </c>
      <c r="D89" s="61">
        <f t="shared" si="19"/>
        <v>383.5</v>
      </c>
      <c r="E89" s="61">
        <f t="shared" si="19"/>
        <v>388</v>
      </c>
      <c r="F89" s="61">
        <f t="shared" si="19"/>
        <v>380</v>
      </c>
      <c r="G89" s="61">
        <f t="shared" si="19"/>
        <v>385</v>
      </c>
      <c r="H89" s="61">
        <f t="shared" si="19"/>
        <v>384</v>
      </c>
      <c r="I89" s="61">
        <f t="shared" si="19"/>
        <v>375</v>
      </c>
      <c r="J89" s="61">
        <f t="shared" si="19"/>
        <v>402</v>
      </c>
      <c r="K89" s="61">
        <f t="shared" si="19"/>
        <v>390</v>
      </c>
      <c r="L89" s="61">
        <f t="shared" si="19"/>
        <v>400</v>
      </c>
      <c r="M89" s="61">
        <f t="shared" si="19"/>
        <v>397.3</v>
      </c>
      <c r="N89" s="61">
        <f t="shared" si="19"/>
        <v>400.5</v>
      </c>
      <c r="O89" s="61">
        <f t="shared" si="19"/>
        <v>407.1</v>
      </c>
      <c r="P89" s="61">
        <f t="shared" si="19"/>
        <v>403</v>
      </c>
      <c r="Q89" s="61">
        <f t="shared" si="19"/>
        <v>405.2</v>
      </c>
      <c r="R89" s="61">
        <f t="shared" si="19"/>
        <v>402</v>
      </c>
      <c r="S89" s="61">
        <f t="shared" si="19"/>
        <v>394.7</v>
      </c>
      <c r="T89" s="61">
        <f t="shared" si="19"/>
        <v>376</v>
      </c>
      <c r="U89" s="61">
        <f t="shared" si="19"/>
        <v>341</v>
      </c>
      <c r="V89" s="61">
        <f t="shared" si="19"/>
        <v>378</v>
      </c>
      <c r="W89" s="61">
        <f t="shared" si="19"/>
        <v>407</v>
      </c>
      <c r="X89" s="61">
        <f t="shared" si="19"/>
        <v>427</v>
      </c>
      <c r="Y89" s="61">
        <f t="shared" si="19"/>
        <v>404</v>
      </c>
      <c r="Z89" s="61">
        <f t="shared" si="19"/>
        <v>397</v>
      </c>
      <c r="AA89" s="61">
        <f t="shared" si="19"/>
        <v>402</v>
      </c>
      <c r="AB89" s="61">
        <f t="shared" si="19"/>
        <v>415</v>
      </c>
      <c r="AC89" s="61">
        <f t="shared" si="19"/>
        <v>400</v>
      </c>
      <c r="AD89" s="61">
        <f t="shared" si="19"/>
        <v>410</v>
      </c>
      <c r="AE89" s="61">
        <f t="shared" si="19"/>
        <v>400</v>
      </c>
      <c r="AF89" s="61">
        <f t="shared" si="19"/>
        <v>410</v>
      </c>
      <c r="AG89" s="81"/>
      <c r="AH89" s="48">
        <f t="shared" si="9"/>
        <v>427</v>
      </c>
      <c r="AI89" s="49">
        <f t="shared" si="10"/>
        <v>341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-355.6</v>
      </c>
      <c r="C90" s="61">
        <f t="shared" si="20"/>
        <v>-368.6</v>
      </c>
      <c r="D90" s="61">
        <f t="shared" si="20"/>
        <v>-383.5</v>
      </c>
      <c r="E90" s="61">
        <f t="shared" si="20"/>
        <v>-388</v>
      </c>
      <c r="F90" s="61">
        <f t="shared" si="20"/>
        <v>-380</v>
      </c>
      <c r="G90" s="61">
        <f t="shared" si="20"/>
        <v>-385</v>
      </c>
      <c r="H90" s="61">
        <f t="shared" si="20"/>
        <v>-384</v>
      </c>
      <c r="I90" s="61">
        <f t="shared" si="20"/>
        <v>-375</v>
      </c>
      <c r="J90" s="61">
        <f t="shared" si="20"/>
        <v>-402</v>
      </c>
      <c r="K90" s="61">
        <f t="shared" si="20"/>
        <v>-390</v>
      </c>
      <c r="L90" s="61">
        <f t="shared" si="20"/>
        <v>-400</v>
      </c>
      <c r="M90" s="61">
        <f t="shared" si="20"/>
        <v>-397.3</v>
      </c>
      <c r="N90" s="61">
        <f t="shared" si="20"/>
        <v>-400.5</v>
      </c>
      <c r="O90" s="61">
        <f t="shared" si="20"/>
        <v>-407.1</v>
      </c>
      <c r="P90" s="61">
        <f t="shared" si="20"/>
        <v>-403</v>
      </c>
      <c r="Q90" s="61">
        <f t="shared" si="20"/>
        <v>-405.2</v>
      </c>
      <c r="R90" s="61">
        <f t="shared" si="20"/>
        <v>-402</v>
      </c>
      <c r="S90" s="61">
        <f t="shared" si="20"/>
        <v>-394.7</v>
      </c>
      <c r="T90" s="61">
        <f t="shared" si="20"/>
        <v>-376</v>
      </c>
      <c r="U90" s="61">
        <f t="shared" si="20"/>
        <v>-341</v>
      </c>
      <c r="V90" s="61">
        <f t="shared" si="20"/>
        <v>-378</v>
      </c>
      <c r="W90" s="61">
        <f t="shared" si="20"/>
        <v>-407</v>
      </c>
      <c r="X90" s="61">
        <f t="shared" si="20"/>
        <v>-427</v>
      </c>
      <c r="Y90" s="61">
        <f t="shared" si="20"/>
        <v>-404</v>
      </c>
      <c r="Z90" s="61">
        <f t="shared" si="20"/>
        <v>-397</v>
      </c>
      <c r="AA90" s="61">
        <f t="shared" si="20"/>
        <v>-402</v>
      </c>
      <c r="AB90" s="61">
        <f t="shared" si="20"/>
        <v>-415</v>
      </c>
      <c r="AC90" s="61">
        <f t="shared" si="20"/>
        <v>-400</v>
      </c>
      <c r="AD90" s="61">
        <f t="shared" si="20"/>
        <v>-410</v>
      </c>
      <c r="AE90" s="61">
        <f t="shared" si="20"/>
        <v>-400</v>
      </c>
      <c r="AF90" s="61">
        <f t="shared" si="20"/>
        <v>-410</v>
      </c>
      <c r="AG90" s="81"/>
      <c r="AH90" s="48">
        <f t="shared" si="9"/>
        <v>-341</v>
      </c>
      <c r="AI90" s="49">
        <f t="shared" si="10"/>
        <v>-427</v>
      </c>
    </row>
    <row r="91" spans="1:37" x14ac:dyDescent="0.25">
      <c r="A91" s="88" t="s">
        <v>96</v>
      </c>
      <c r="B91" s="89">
        <v>49.991</v>
      </c>
      <c r="C91" s="89">
        <v>50.015999999999998</v>
      </c>
      <c r="D91" s="89">
        <v>50.033999999999999</v>
      </c>
      <c r="E91" s="89">
        <v>50.073</v>
      </c>
      <c r="F91" s="89">
        <v>50.002000000000002</v>
      </c>
      <c r="G91" s="89">
        <v>50.006</v>
      </c>
      <c r="H91" s="89">
        <v>50.094000000000001</v>
      </c>
      <c r="I91" s="89">
        <v>50.076000000000001</v>
      </c>
      <c r="J91" s="89">
        <v>50.146000000000001</v>
      </c>
      <c r="K91" s="89">
        <v>50.027000000000001</v>
      </c>
      <c r="L91" s="89">
        <v>49.978999999999999</v>
      </c>
      <c r="M91" s="89">
        <v>49.993000000000002</v>
      </c>
      <c r="N91" s="89">
        <v>49.896000000000001</v>
      </c>
      <c r="O91" s="89">
        <v>50.02</v>
      </c>
      <c r="P91" s="89">
        <v>50.014000000000003</v>
      </c>
      <c r="Q91" s="89">
        <v>50.04</v>
      </c>
      <c r="R91" s="89">
        <v>49.99</v>
      </c>
      <c r="S91" s="89">
        <v>50.11</v>
      </c>
      <c r="T91" s="89">
        <v>49.951999999999998</v>
      </c>
      <c r="U91" s="89">
        <v>49.927</v>
      </c>
      <c r="V91" s="89">
        <v>50.036999999999999</v>
      </c>
      <c r="W91" s="89">
        <v>50.07</v>
      </c>
      <c r="X91" s="89">
        <v>50.045999999999999</v>
      </c>
      <c r="Y91" s="89">
        <v>50.058</v>
      </c>
      <c r="Z91" s="89">
        <v>50.057000000000002</v>
      </c>
      <c r="AA91" s="89">
        <v>50.064</v>
      </c>
      <c r="AB91" s="89">
        <v>50.07</v>
      </c>
      <c r="AC91" s="89">
        <v>49.97</v>
      </c>
      <c r="AD91" s="89">
        <v>50.03</v>
      </c>
      <c r="AE91" s="89">
        <v>50.05</v>
      </c>
      <c r="AF91" s="89">
        <v>50.06</v>
      </c>
      <c r="AG91" s="90"/>
      <c r="AH91" s="48">
        <f t="shared" si="9"/>
        <v>50.146000000000001</v>
      </c>
      <c r="AI91" s="49">
        <f t="shared" si="10"/>
        <v>49.896000000000001</v>
      </c>
    </row>
    <row r="92" spans="1:37" x14ac:dyDescent="0.25">
      <c r="A92" s="91" t="s">
        <v>97</v>
      </c>
      <c r="B92" s="65">
        <v>130.4</v>
      </c>
      <c r="C92" s="65">
        <v>130.5</v>
      </c>
      <c r="D92" s="65">
        <v>130.4</v>
      </c>
      <c r="E92" s="65">
        <v>130.4</v>
      </c>
      <c r="F92" s="65">
        <v>130.6</v>
      </c>
      <c r="G92" s="65">
        <v>129.9</v>
      </c>
      <c r="H92" s="65">
        <v>129.4</v>
      </c>
      <c r="I92" s="65">
        <v>129.30000000000001</v>
      </c>
      <c r="J92" s="65">
        <v>127.8</v>
      </c>
      <c r="K92" s="65">
        <v>128.69999999999999</v>
      </c>
      <c r="L92" s="65">
        <v>128.69999999999999</v>
      </c>
      <c r="M92" s="65">
        <v>128</v>
      </c>
      <c r="N92" s="65">
        <v>128</v>
      </c>
      <c r="O92" s="65">
        <v>127.8</v>
      </c>
      <c r="P92" s="65">
        <v>127.3</v>
      </c>
      <c r="Q92" s="65">
        <v>127.3</v>
      </c>
      <c r="R92" s="65">
        <v>128</v>
      </c>
      <c r="S92" s="65">
        <v>128.80000000000001</v>
      </c>
      <c r="T92" s="65">
        <v>128.19999999999999</v>
      </c>
      <c r="U92" s="65">
        <v>128.69999999999999</v>
      </c>
      <c r="V92" s="65">
        <v>128.9</v>
      </c>
      <c r="W92" s="65">
        <v>128</v>
      </c>
      <c r="X92" s="65">
        <v>127.2</v>
      </c>
      <c r="Y92" s="65">
        <v>127.4</v>
      </c>
      <c r="Z92" s="65">
        <v>127.4</v>
      </c>
      <c r="AA92" s="65">
        <v>128.69999999999999</v>
      </c>
      <c r="AB92" s="65">
        <v>128</v>
      </c>
      <c r="AC92" s="65">
        <v>129</v>
      </c>
      <c r="AD92" s="65">
        <v>130</v>
      </c>
      <c r="AE92" s="65">
        <v>130.5</v>
      </c>
      <c r="AF92" s="65">
        <v>130.19999999999999</v>
      </c>
      <c r="AG92" s="92"/>
      <c r="AH92" s="48">
        <f t="shared" si="9"/>
        <v>130.6</v>
      </c>
      <c r="AI92" s="49">
        <f t="shared" si="10"/>
        <v>127.2</v>
      </c>
    </row>
    <row r="93" spans="1:37" x14ac:dyDescent="0.25">
      <c r="A93" s="91" t="s">
        <v>98</v>
      </c>
      <c r="B93" s="65">
        <v>133.30000000000001</v>
      </c>
      <c r="C93" s="65">
        <v>133.5</v>
      </c>
      <c r="D93" s="65">
        <v>133.6</v>
      </c>
      <c r="E93" s="65">
        <v>133.6</v>
      </c>
      <c r="F93" s="65">
        <v>133.5</v>
      </c>
      <c r="G93" s="65">
        <v>132.80000000000001</v>
      </c>
      <c r="H93" s="65">
        <v>132.30000000000001</v>
      </c>
      <c r="I93" s="65">
        <v>131.80000000000001</v>
      </c>
      <c r="J93" s="65">
        <v>130.6</v>
      </c>
      <c r="K93" s="65">
        <v>130.69999999999999</v>
      </c>
      <c r="L93" s="65">
        <v>130.69999999999999</v>
      </c>
      <c r="M93" s="65">
        <v>130.19999999999999</v>
      </c>
      <c r="N93" s="65">
        <v>130.19999999999999</v>
      </c>
      <c r="O93" s="65">
        <v>130.4</v>
      </c>
      <c r="P93" s="65">
        <v>130.30000000000001</v>
      </c>
      <c r="Q93" s="65">
        <v>130.5</v>
      </c>
      <c r="R93" s="65">
        <v>131.30000000000001</v>
      </c>
      <c r="S93" s="65">
        <v>131.69999999999999</v>
      </c>
      <c r="T93" s="65">
        <v>131.1</v>
      </c>
      <c r="U93" s="65">
        <v>131.6</v>
      </c>
      <c r="V93" s="65">
        <v>131.6</v>
      </c>
      <c r="W93" s="65">
        <v>130.30000000000001</v>
      </c>
      <c r="X93" s="65">
        <v>129.19999999999999</v>
      </c>
      <c r="Y93" s="65">
        <v>129.6</v>
      </c>
      <c r="Z93" s="65">
        <v>130</v>
      </c>
      <c r="AA93" s="65">
        <v>131</v>
      </c>
      <c r="AB93" s="65">
        <v>130.69999999999999</v>
      </c>
      <c r="AC93" s="65">
        <v>131</v>
      </c>
      <c r="AD93" s="65">
        <v>132.6</v>
      </c>
      <c r="AE93" s="65">
        <v>133.5</v>
      </c>
      <c r="AF93" s="65">
        <v>132.4</v>
      </c>
      <c r="AG93" s="92"/>
      <c r="AH93" s="48">
        <f t="shared" si="9"/>
        <v>133.6</v>
      </c>
      <c r="AI93" s="49">
        <f t="shared" si="10"/>
        <v>129.19999999999999</v>
      </c>
    </row>
    <row r="94" spans="1:37" x14ac:dyDescent="0.25">
      <c r="A94" s="91" t="s">
        <v>99</v>
      </c>
      <c r="B94" s="65">
        <v>135.5</v>
      </c>
      <c r="C94" s="65">
        <v>136.19999999999999</v>
      </c>
      <c r="D94" s="65">
        <v>136.30000000000001</v>
      </c>
      <c r="E94" s="65">
        <v>136.30000000000001</v>
      </c>
      <c r="F94" s="65">
        <v>135.5</v>
      </c>
      <c r="G94" s="65">
        <v>135.1</v>
      </c>
      <c r="H94" s="65">
        <v>133.80000000000001</v>
      </c>
      <c r="I94" s="65">
        <v>136.19999999999999</v>
      </c>
      <c r="J94" s="65">
        <v>134.9</v>
      </c>
      <c r="K94" s="65">
        <v>133.4</v>
      </c>
      <c r="L94" s="65">
        <v>133.19999999999999</v>
      </c>
      <c r="M94" s="65">
        <v>132.80000000000001</v>
      </c>
      <c r="N94" s="65">
        <v>133.19999999999999</v>
      </c>
      <c r="O94" s="65">
        <v>133.9</v>
      </c>
      <c r="P94" s="65">
        <v>130</v>
      </c>
      <c r="Q94" s="65">
        <v>132.19999999999999</v>
      </c>
      <c r="R94" s="65">
        <v>133.4</v>
      </c>
      <c r="S94" s="65">
        <v>132.80000000000001</v>
      </c>
      <c r="T94" s="65">
        <v>131.9</v>
      </c>
      <c r="U94" s="65">
        <v>133</v>
      </c>
      <c r="V94" s="65">
        <v>132.4</v>
      </c>
      <c r="W94" s="65">
        <v>130.5</v>
      </c>
      <c r="X94" s="65">
        <v>130.5</v>
      </c>
      <c r="Y94" s="65">
        <v>132.1</v>
      </c>
      <c r="Z94" s="65">
        <v>132.4</v>
      </c>
      <c r="AA94" s="65">
        <v>132.6</v>
      </c>
      <c r="AB94" s="65">
        <v>131.4</v>
      </c>
      <c r="AC94" s="65">
        <v>133.69999999999999</v>
      </c>
      <c r="AD94" s="65">
        <v>134</v>
      </c>
      <c r="AE94" s="65">
        <v>134</v>
      </c>
      <c r="AF94" s="65">
        <v>133</v>
      </c>
      <c r="AG94" s="92"/>
      <c r="AH94" s="48">
        <f t="shared" si="9"/>
        <v>136.30000000000001</v>
      </c>
      <c r="AI94" s="49">
        <f t="shared" si="10"/>
        <v>130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134.19999999999999</v>
      </c>
      <c r="C96" s="94">
        <v>133.5</v>
      </c>
      <c r="D96" s="94">
        <v>134.80000000000001</v>
      </c>
      <c r="E96" s="94">
        <v>134.80000000000001</v>
      </c>
      <c r="F96" s="94">
        <v>135.4</v>
      </c>
      <c r="G96" s="94">
        <v>133.1</v>
      </c>
      <c r="H96" s="94">
        <v>132.1</v>
      </c>
      <c r="I96" s="94">
        <v>131.9</v>
      </c>
      <c r="J96" s="94">
        <v>131.4</v>
      </c>
      <c r="K96" s="94">
        <v>134.69999999999999</v>
      </c>
      <c r="L96" s="94">
        <v>135.19999999999999</v>
      </c>
      <c r="M96" s="94">
        <v>130.80000000000001</v>
      </c>
      <c r="N96" s="94">
        <v>130.80000000000001</v>
      </c>
      <c r="O96" s="94">
        <v>134.30000000000001</v>
      </c>
      <c r="P96" s="94">
        <v>132.9</v>
      </c>
      <c r="Q96" s="94">
        <v>131.9</v>
      </c>
      <c r="R96" s="94">
        <v>136.5</v>
      </c>
      <c r="S96" s="94">
        <v>135.5</v>
      </c>
      <c r="T96" s="94">
        <v>133.1</v>
      </c>
      <c r="U96" s="94">
        <v>134.9</v>
      </c>
      <c r="V96" s="94">
        <v>132.9</v>
      </c>
      <c r="W96" s="94">
        <v>134.6</v>
      </c>
      <c r="X96" s="94">
        <v>134.69999999999999</v>
      </c>
      <c r="Y96" s="94">
        <v>135.1</v>
      </c>
      <c r="Z96" s="94">
        <v>134.5</v>
      </c>
      <c r="AA96" s="94">
        <v>136</v>
      </c>
      <c r="AB96" s="94">
        <v>134.4</v>
      </c>
      <c r="AC96" s="94">
        <v>134</v>
      </c>
      <c r="AD96" s="94">
        <v>135</v>
      </c>
      <c r="AE96" s="94">
        <v>135</v>
      </c>
      <c r="AF96" s="94">
        <v>132</v>
      </c>
      <c r="AG96" s="95"/>
      <c r="AH96" s="48">
        <f t="shared" si="9"/>
        <v>136.5</v>
      </c>
      <c r="AI96" s="49">
        <f t="shared" si="10"/>
        <v>130.80000000000001</v>
      </c>
    </row>
    <row r="97" spans="1:37" x14ac:dyDescent="0.25">
      <c r="A97" s="91" t="s">
        <v>102</v>
      </c>
      <c r="B97" s="65">
        <v>133.4</v>
      </c>
      <c r="C97" s="65">
        <v>133.19999999999999</v>
      </c>
      <c r="D97" s="65">
        <v>134.4</v>
      </c>
      <c r="E97" s="65">
        <v>134.4</v>
      </c>
      <c r="F97" s="65">
        <v>134.69999999999999</v>
      </c>
      <c r="G97" s="65">
        <v>132.4</v>
      </c>
      <c r="H97" s="65">
        <v>130.4</v>
      </c>
      <c r="I97" s="65">
        <v>130.6</v>
      </c>
      <c r="J97" s="65">
        <v>129.80000000000001</v>
      </c>
      <c r="K97" s="65">
        <v>134.5</v>
      </c>
      <c r="L97" s="65">
        <v>134.19999999999999</v>
      </c>
      <c r="M97" s="65">
        <v>131.19999999999999</v>
      </c>
      <c r="N97" s="65">
        <v>131.5</v>
      </c>
      <c r="O97" s="65">
        <v>134.5</v>
      </c>
      <c r="P97" s="65">
        <v>130.9</v>
      </c>
      <c r="Q97" s="65">
        <v>131.19999999999999</v>
      </c>
      <c r="R97" s="65">
        <v>135.69999999999999</v>
      </c>
      <c r="S97" s="65">
        <v>132.19999999999999</v>
      </c>
      <c r="T97" s="65">
        <v>128.30000000000001</v>
      </c>
      <c r="U97" s="65">
        <v>131.19999999999999</v>
      </c>
      <c r="V97" s="65">
        <v>127.8</v>
      </c>
      <c r="W97" s="65">
        <v>134.69999999999999</v>
      </c>
      <c r="X97" s="65">
        <v>133.6</v>
      </c>
      <c r="Y97" s="65">
        <v>131.9</v>
      </c>
      <c r="Z97" s="65">
        <v>132.6</v>
      </c>
      <c r="AA97" s="65">
        <v>135.1</v>
      </c>
      <c r="AB97" s="65">
        <v>133.30000000000001</v>
      </c>
      <c r="AC97" s="65">
        <v>133.4</v>
      </c>
      <c r="AD97" s="65">
        <v>132</v>
      </c>
      <c r="AE97" s="65">
        <v>132</v>
      </c>
      <c r="AF97" s="65">
        <v>132</v>
      </c>
      <c r="AG97" s="92"/>
      <c r="AH97" s="48">
        <f t="shared" si="9"/>
        <v>135.69999999999999</v>
      </c>
      <c r="AI97" s="49">
        <f t="shared" si="10"/>
        <v>127.8</v>
      </c>
    </row>
    <row r="98" spans="1:37" ht="15.75" thickBot="1" x14ac:dyDescent="0.3">
      <c r="A98" s="91" t="s">
        <v>104</v>
      </c>
      <c r="B98" s="96">
        <v>67</v>
      </c>
      <c r="C98" s="96">
        <v>67.099999999999994</v>
      </c>
      <c r="D98" s="96">
        <v>67.2</v>
      </c>
      <c r="E98" s="96">
        <v>67.2</v>
      </c>
      <c r="F98" s="96">
        <v>67.099999999999994</v>
      </c>
      <c r="G98" s="96">
        <v>66.7</v>
      </c>
      <c r="H98" s="96">
        <v>66.5</v>
      </c>
      <c r="I98" s="96">
        <v>66.3</v>
      </c>
      <c r="J98" s="96">
        <v>65.5</v>
      </c>
      <c r="K98" s="96">
        <v>65.3</v>
      </c>
      <c r="L98" s="96">
        <v>65.099999999999994</v>
      </c>
      <c r="M98" s="96">
        <v>65</v>
      </c>
      <c r="N98" s="96">
        <v>65.099999999999994</v>
      </c>
      <c r="O98" s="96">
        <v>65.400000000000006</v>
      </c>
      <c r="P98" s="96">
        <v>65.3</v>
      </c>
      <c r="Q98" s="96">
        <v>65.5</v>
      </c>
      <c r="R98" s="96">
        <v>65.8</v>
      </c>
      <c r="S98" s="96">
        <v>66.099999999999994</v>
      </c>
      <c r="T98" s="96">
        <v>65.8</v>
      </c>
      <c r="U98" s="96">
        <v>66</v>
      </c>
      <c r="V98" s="96">
        <v>66.099999999999994</v>
      </c>
      <c r="W98" s="96">
        <v>65.400000000000006</v>
      </c>
      <c r="X98" s="96">
        <v>64.8</v>
      </c>
      <c r="Y98" s="96">
        <v>65</v>
      </c>
      <c r="Z98" s="96">
        <v>65.2</v>
      </c>
      <c r="AA98" s="96">
        <v>65.8</v>
      </c>
      <c r="AB98" s="96">
        <v>65.8</v>
      </c>
      <c r="AC98" s="96">
        <v>66.2</v>
      </c>
      <c r="AD98" s="96">
        <v>66.8</v>
      </c>
      <c r="AE98" s="96">
        <v>66.8</v>
      </c>
      <c r="AF98" s="96">
        <v>66.3</v>
      </c>
      <c r="AG98" s="97"/>
      <c r="AH98" s="48">
        <f t="shared" si="9"/>
        <v>67.2</v>
      </c>
      <c r="AI98" s="49">
        <f t="shared" si="10"/>
        <v>64.8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105</v>
      </c>
      <c r="B100" s="100">
        <f t="shared" ref="B100:AF100" si="21">SUM(B15,B20,B22:B23,B48,B50:B51,B53,B55,B101:B105,B127,B133,B139,B148,B150,B162,B169,B172:B173,B180,B182,B184,B188:B190,B192:B194,B199,B205:B206,B208:B210,B218,B223)</f>
        <v>57.499999999999993</v>
      </c>
      <c r="C100" s="100">
        <f t="shared" si="21"/>
        <v>50.639999999999972</v>
      </c>
      <c r="D100" s="100">
        <f t="shared" si="21"/>
        <v>47.839999999999989</v>
      </c>
      <c r="E100" s="100">
        <f t="shared" si="21"/>
        <v>49.639999999999986</v>
      </c>
      <c r="F100" s="100">
        <f t="shared" si="21"/>
        <v>51.639999999999986</v>
      </c>
      <c r="G100" s="100">
        <f t="shared" si="21"/>
        <v>63.139999999999986</v>
      </c>
      <c r="H100" s="100">
        <f t="shared" si="21"/>
        <v>83.439999999999984</v>
      </c>
      <c r="I100" s="100">
        <f t="shared" si="21"/>
        <v>100.94</v>
      </c>
      <c r="J100" s="100">
        <f t="shared" si="21"/>
        <v>102.73999999999998</v>
      </c>
      <c r="K100" s="100">
        <f t="shared" si="21"/>
        <v>119.83999999999999</v>
      </c>
      <c r="L100" s="100">
        <f t="shared" si="21"/>
        <v>138.13999999999999</v>
      </c>
      <c r="M100" s="100">
        <f t="shared" si="21"/>
        <v>159.84</v>
      </c>
      <c r="N100" s="100">
        <f t="shared" si="21"/>
        <v>161.64000000000001</v>
      </c>
      <c r="O100" s="100">
        <f t="shared" si="21"/>
        <v>147.94000000000003</v>
      </c>
      <c r="P100" s="100">
        <f t="shared" si="21"/>
        <v>127.23999999999995</v>
      </c>
      <c r="Q100" s="100">
        <f t="shared" si="21"/>
        <v>107.1</v>
      </c>
      <c r="R100" s="100">
        <f t="shared" si="21"/>
        <v>96.399999999999991</v>
      </c>
      <c r="S100" s="100">
        <f t="shared" si="21"/>
        <v>117.1</v>
      </c>
      <c r="T100" s="100">
        <f t="shared" si="21"/>
        <v>119.09999999999998</v>
      </c>
      <c r="U100" s="100">
        <f t="shared" si="21"/>
        <v>127.99999999999997</v>
      </c>
      <c r="V100" s="100">
        <f t="shared" si="21"/>
        <v>119.5</v>
      </c>
      <c r="W100" s="100">
        <f t="shared" si="21"/>
        <v>178.6</v>
      </c>
      <c r="X100" s="100">
        <f t="shared" si="21"/>
        <v>223.6</v>
      </c>
      <c r="Y100" s="100">
        <f t="shared" si="21"/>
        <v>225.7</v>
      </c>
      <c r="Z100" s="100">
        <f t="shared" si="21"/>
        <v>205.6</v>
      </c>
      <c r="AA100" s="100">
        <f t="shared" si="21"/>
        <v>171.19999999999996</v>
      </c>
      <c r="AB100" s="100">
        <f t="shared" si="21"/>
        <v>145.50000000000003</v>
      </c>
      <c r="AC100" s="100">
        <f t="shared" si="21"/>
        <v>140.5</v>
      </c>
      <c r="AD100" s="100">
        <f t="shared" si="21"/>
        <v>120.80000000000001</v>
      </c>
      <c r="AE100" s="100">
        <f t="shared" si="21"/>
        <v>90.4</v>
      </c>
      <c r="AF100" s="100">
        <f t="shared" si="21"/>
        <v>37.599999999999994</v>
      </c>
      <c r="AG100" s="101"/>
      <c r="AH100" s="48">
        <f t="shared" si="9"/>
        <v>225.7</v>
      </c>
      <c r="AI100" s="49">
        <f t="shared" si="10"/>
        <v>37.599999999999994</v>
      </c>
    </row>
    <row r="101" spans="1:37" x14ac:dyDescent="0.25">
      <c r="A101" s="88" t="s">
        <v>106</v>
      </c>
      <c r="B101" s="102">
        <v>32.9</v>
      </c>
      <c r="C101" s="102">
        <v>34</v>
      </c>
      <c r="D101" s="102">
        <v>34.299999999999997</v>
      </c>
      <c r="E101" s="102">
        <v>35</v>
      </c>
      <c r="F101" s="102">
        <v>35</v>
      </c>
      <c r="G101" s="102">
        <v>33</v>
      </c>
      <c r="H101" s="102">
        <v>38</v>
      </c>
      <c r="I101" s="102">
        <v>40</v>
      </c>
      <c r="J101" s="102">
        <v>44</v>
      </c>
      <c r="K101" s="102">
        <v>38</v>
      </c>
      <c r="L101" s="102">
        <v>39</v>
      </c>
      <c r="M101" s="102">
        <v>46.9</v>
      </c>
      <c r="N101" s="102">
        <v>47.8</v>
      </c>
      <c r="O101" s="102">
        <v>49.4</v>
      </c>
      <c r="P101" s="102">
        <v>51.1</v>
      </c>
      <c r="Q101" s="102">
        <v>50</v>
      </c>
      <c r="R101" s="102">
        <v>51</v>
      </c>
      <c r="S101" s="102">
        <v>51.6</v>
      </c>
      <c r="T101" s="102">
        <v>46.4</v>
      </c>
      <c r="U101" s="102">
        <v>45.5</v>
      </c>
      <c r="V101" s="102">
        <v>40.200000000000003</v>
      </c>
      <c r="W101" s="102">
        <v>48.6</v>
      </c>
      <c r="X101" s="102">
        <v>54.9</v>
      </c>
      <c r="Y101" s="102">
        <v>63</v>
      </c>
      <c r="Z101" s="102">
        <v>62.5</v>
      </c>
      <c r="AA101" s="102">
        <v>54.7</v>
      </c>
      <c r="AB101" s="102">
        <v>57.1</v>
      </c>
      <c r="AC101" s="102">
        <v>52</v>
      </c>
      <c r="AD101" s="102">
        <v>46.3</v>
      </c>
      <c r="AE101" s="102">
        <v>46.3</v>
      </c>
      <c r="AF101" s="102">
        <v>27</v>
      </c>
      <c r="AG101" s="103">
        <v>75</v>
      </c>
      <c r="AH101" s="48">
        <f t="shared" si="9"/>
        <v>63</v>
      </c>
      <c r="AI101" s="49">
        <f t="shared" si="10"/>
        <v>27</v>
      </c>
    </row>
    <row r="102" spans="1:37" x14ac:dyDescent="0.25">
      <c r="A102" s="91" t="s">
        <v>107</v>
      </c>
      <c r="B102" s="104">
        <v>53</v>
      </c>
      <c r="C102" s="104">
        <v>53.2</v>
      </c>
      <c r="D102" s="104">
        <v>55.2</v>
      </c>
      <c r="E102" s="104">
        <v>57</v>
      </c>
      <c r="F102" s="104">
        <v>55</v>
      </c>
      <c r="G102" s="104">
        <v>54</v>
      </c>
      <c r="H102" s="104">
        <v>60</v>
      </c>
      <c r="I102" s="104">
        <v>62.3</v>
      </c>
      <c r="J102" s="104">
        <v>68</v>
      </c>
      <c r="K102" s="104">
        <v>58</v>
      </c>
      <c r="L102" s="104">
        <v>60</v>
      </c>
      <c r="M102" s="104">
        <v>69.2</v>
      </c>
      <c r="N102" s="104">
        <v>69.8</v>
      </c>
      <c r="O102" s="104">
        <v>72</v>
      </c>
      <c r="P102" s="104">
        <v>75.900000000000006</v>
      </c>
      <c r="Q102" s="104">
        <v>75.7</v>
      </c>
      <c r="R102" s="104">
        <v>75.900000000000006</v>
      </c>
      <c r="S102" s="104">
        <v>77.7</v>
      </c>
      <c r="T102" s="104">
        <v>68.900000000000006</v>
      </c>
      <c r="U102" s="104">
        <v>66.599999999999994</v>
      </c>
      <c r="V102" s="104">
        <v>59.3</v>
      </c>
      <c r="W102" s="104">
        <v>68.5</v>
      </c>
      <c r="X102" s="104">
        <v>78.599999999999994</v>
      </c>
      <c r="Y102" s="104">
        <v>91.4</v>
      </c>
      <c r="Z102" s="104">
        <v>90.8</v>
      </c>
      <c r="AA102" s="104">
        <v>78.599999999999994</v>
      </c>
      <c r="AB102" s="104">
        <v>81.7</v>
      </c>
      <c r="AC102" s="104">
        <v>74</v>
      </c>
      <c r="AD102" s="104">
        <v>67</v>
      </c>
      <c r="AE102" s="104">
        <v>67</v>
      </c>
      <c r="AF102" s="104">
        <v>47</v>
      </c>
      <c r="AG102" s="103">
        <v>240</v>
      </c>
      <c r="AH102" s="48">
        <f t="shared" si="9"/>
        <v>91.4</v>
      </c>
      <c r="AI102" s="49">
        <f t="shared" si="10"/>
        <v>47</v>
      </c>
    </row>
    <row r="103" spans="1:37" x14ac:dyDescent="0.25">
      <c r="A103" s="91" t="s">
        <v>108</v>
      </c>
      <c r="B103" s="104">
        <f>-62-66</f>
        <v>-128</v>
      </c>
      <c r="C103" s="104">
        <f>-66-70</f>
        <v>-136</v>
      </c>
      <c r="D103" s="104">
        <f>-68-73</f>
        <v>-141</v>
      </c>
      <c r="E103" s="104">
        <v>-140</v>
      </c>
      <c r="F103" s="104">
        <v>-138</v>
      </c>
      <c r="G103" s="104">
        <v>-135</v>
      </c>
      <c r="H103" s="104">
        <v>-136</v>
      </c>
      <c r="I103" s="104">
        <v>-126</v>
      </c>
      <c r="J103" s="104">
        <v>-139</v>
      </c>
      <c r="K103" s="104">
        <v>-110</v>
      </c>
      <c r="L103" s="104">
        <v>-97</v>
      </c>
      <c r="M103" s="104">
        <v>-98</v>
      </c>
      <c r="N103" s="104">
        <v>-100</v>
      </c>
      <c r="O103" s="104">
        <v>-116</v>
      </c>
      <c r="P103" s="104">
        <v>-138</v>
      </c>
      <c r="Q103" s="104">
        <f>-72.6-77.5</f>
        <v>-150.1</v>
      </c>
      <c r="R103" s="104">
        <f>-73.3-77.9</f>
        <v>-151.19999999999999</v>
      </c>
      <c r="S103" s="104">
        <v>-134</v>
      </c>
      <c r="T103" s="104">
        <f>-66-70.9</f>
        <v>-136.9</v>
      </c>
      <c r="U103" s="104">
        <f>-63-66</f>
        <v>-129</v>
      </c>
      <c r="V103" s="104">
        <f>-54.5-58.9</f>
        <v>-113.4</v>
      </c>
      <c r="W103" s="104">
        <f>-40-43</f>
        <v>-83</v>
      </c>
      <c r="X103" s="104">
        <v>-71.599999999999994</v>
      </c>
      <c r="Y103" s="104">
        <f>-42.6-46</f>
        <v>-88.6</v>
      </c>
      <c r="Z103" s="104">
        <f>-48.6-53.2</f>
        <v>-101.80000000000001</v>
      </c>
      <c r="AA103" s="104">
        <f>-47.6-52.8</f>
        <v>-100.4</v>
      </c>
      <c r="AB103" s="104">
        <f>-65-63.1</f>
        <v>-128.1</v>
      </c>
      <c r="AC103" s="104">
        <v>-120</v>
      </c>
      <c r="AD103" s="104">
        <v>-125</v>
      </c>
      <c r="AE103" s="104">
        <v>-125</v>
      </c>
      <c r="AF103" s="104">
        <v>-125</v>
      </c>
      <c r="AG103" s="103">
        <v>240</v>
      </c>
      <c r="AH103" s="48">
        <f t="shared" si="9"/>
        <v>-71.599999999999994</v>
      </c>
      <c r="AI103" s="49">
        <f t="shared" si="10"/>
        <v>-151.19999999999999</v>
      </c>
    </row>
    <row r="104" spans="1:37" x14ac:dyDescent="0.25">
      <c r="A104" s="91" t="s">
        <v>109</v>
      </c>
      <c r="B104" s="104">
        <v>-3.1</v>
      </c>
      <c r="C104" s="104">
        <v>-4.2</v>
      </c>
      <c r="D104" s="104">
        <v>-4.3</v>
      </c>
      <c r="E104" s="104">
        <v>-6</v>
      </c>
      <c r="F104" s="104">
        <v>-4</v>
      </c>
      <c r="G104" s="104">
        <v>-2.5</v>
      </c>
      <c r="H104" s="104">
        <v>-2.2000000000000002</v>
      </c>
      <c r="I104" s="104">
        <v>1</v>
      </c>
      <c r="J104" s="104">
        <v>1.1000000000000001</v>
      </c>
      <c r="K104" s="104">
        <v>5.7</v>
      </c>
      <c r="L104" s="104">
        <v>8</v>
      </c>
      <c r="M104" s="104">
        <v>7.6</v>
      </c>
      <c r="N104" s="104">
        <v>7.9</v>
      </c>
      <c r="O104" s="104">
        <v>4.4000000000000004</v>
      </c>
      <c r="P104" s="104">
        <v>0</v>
      </c>
      <c r="Q104" s="104">
        <v>-0.5</v>
      </c>
      <c r="R104" s="104">
        <v>-2.7</v>
      </c>
      <c r="S104" s="104">
        <v>-1.6</v>
      </c>
      <c r="T104" s="104">
        <v>-1.2</v>
      </c>
      <c r="U104" s="104">
        <v>3</v>
      </c>
      <c r="V104" s="104">
        <v>6.1</v>
      </c>
      <c r="W104" s="104">
        <v>12</v>
      </c>
      <c r="X104" s="104">
        <v>15.2</v>
      </c>
      <c r="Y104" s="104">
        <v>13.4</v>
      </c>
      <c r="Z104" s="104">
        <v>12.6</v>
      </c>
      <c r="AA104" s="104">
        <v>11.8</v>
      </c>
      <c r="AB104" s="104">
        <v>8.3000000000000007</v>
      </c>
      <c r="AC104" s="104">
        <v>8</v>
      </c>
      <c r="AD104" s="104">
        <v>6</v>
      </c>
      <c r="AE104" s="104">
        <v>6</v>
      </c>
      <c r="AF104" s="104">
        <v>0</v>
      </c>
      <c r="AG104" s="103">
        <v>60</v>
      </c>
      <c r="AH104" s="48">
        <f t="shared" si="9"/>
        <v>15.2</v>
      </c>
      <c r="AI104" s="49">
        <f t="shared" si="10"/>
        <v>-6</v>
      </c>
    </row>
    <row r="105" spans="1:37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111</v>
      </c>
      <c r="B106" s="106">
        <v>-36.4</v>
      </c>
      <c r="C106" s="106">
        <v>-45.4</v>
      </c>
      <c r="D106" s="106">
        <v>-50.7</v>
      </c>
      <c r="E106" s="106">
        <v>-55</v>
      </c>
      <c r="F106" s="106">
        <v>-53</v>
      </c>
      <c r="G106" s="106">
        <v>-51</v>
      </c>
      <c r="H106" s="106">
        <v>-48</v>
      </c>
      <c r="I106" s="106">
        <v>-42</v>
      </c>
      <c r="J106" s="106">
        <v>-54</v>
      </c>
      <c r="K106" s="106">
        <v>-32</v>
      </c>
      <c r="L106" s="106">
        <v>-25</v>
      </c>
      <c r="M106" s="106">
        <v>-30.8</v>
      </c>
      <c r="N106" s="106">
        <v>-36</v>
      </c>
      <c r="O106" s="106">
        <v>-48.3</v>
      </c>
      <c r="P106" s="106">
        <v>-64.5</v>
      </c>
      <c r="Q106" s="106">
        <v>-75.5</v>
      </c>
      <c r="R106" s="106">
        <v>-71.8</v>
      </c>
      <c r="S106" s="106">
        <v>-65.7</v>
      </c>
      <c r="T106" s="106">
        <v>-60</v>
      </c>
      <c r="U106" s="106">
        <v>-54</v>
      </c>
      <c r="V106" s="106">
        <v>-43.6</v>
      </c>
      <c r="W106" s="106">
        <v>-16</v>
      </c>
      <c r="X106" s="106">
        <v>-7.8</v>
      </c>
      <c r="Y106" s="106">
        <v>-25</v>
      </c>
      <c r="Z106" s="106">
        <v>-36.799999999999997</v>
      </c>
      <c r="AA106" s="106">
        <v>-41</v>
      </c>
      <c r="AB106" s="106">
        <v>-53.3</v>
      </c>
      <c r="AC106" s="106">
        <v>53</v>
      </c>
      <c r="AD106" s="106">
        <v>54</v>
      </c>
      <c r="AE106" s="106">
        <v>54</v>
      </c>
      <c r="AF106" s="106">
        <v>-50</v>
      </c>
      <c r="AG106" s="107"/>
      <c r="AH106" s="48">
        <f t="shared" si="9"/>
        <v>54</v>
      </c>
      <c r="AI106" s="49">
        <f t="shared" si="10"/>
        <v>-75.5</v>
      </c>
    </row>
    <row r="107" spans="1:37" x14ac:dyDescent="0.25">
      <c r="A107" s="105" t="s">
        <v>112</v>
      </c>
      <c r="B107" s="106">
        <v>-1.1000000000000001</v>
      </c>
      <c r="C107" s="106">
        <v>-0.6</v>
      </c>
      <c r="D107" s="106">
        <v>-2.5</v>
      </c>
      <c r="E107" s="106">
        <v>-1.4</v>
      </c>
      <c r="F107" s="106">
        <v>-5</v>
      </c>
      <c r="G107" s="106">
        <v>-5.7</v>
      </c>
      <c r="H107" s="106">
        <v>0</v>
      </c>
      <c r="I107" s="106">
        <v>-5</v>
      </c>
      <c r="J107" s="106">
        <v>-7</v>
      </c>
      <c r="K107" s="106">
        <v>16.5</v>
      </c>
      <c r="L107" s="106">
        <v>15.2</v>
      </c>
      <c r="M107" s="106">
        <v>15.3</v>
      </c>
      <c r="N107" s="106">
        <v>14.3</v>
      </c>
      <c r="O107" s="106">
        <v>12.3</v>
      </c>
      <c r="P107" s="106">
        <v>12.4</v>
      </c>
      <c r="Q107" s="106">
        <v>11.8</v>
      </c>
      <c r="R107" s="106">
        <v>8.8000000000000007</v>
      </c>
      <c r="S107" s="106">
        <v>12.1</v>
      </c>
      <c r="T107" s="106">
        <v>13.1</v>
      </c>
      <c r="U107" s="106">
        <v>13</v>
      </c>
      <c r="V107" s="106">
        <v>15.5</v>
      </c>
      <c r="W107" s="106">
        <v>15.8</v>
      </c>
      <c r="X107" s="106">
        <v>4.3</v>
      </c>
      <c r="Y107" s="106">
        <v>-3.2</v>
      </c>
      <c r="Z107" s="106">
        <v>-13.6</v>
      </c>
      <c r="AA107" s="106">
        <v>-18</v>
      </c>
      <c r="AB107" s="106">
        <v>-18.899999999999999</v>
      </c>
      <c r="AC107" s="106">
        <v>-19</v>
      </c>
      <c r="AD107" s="106">
        <v>-3</v>
      </c>
      <c r="AE107" s="106">
        <v>-3</v>
      </c>
      <c r="AF107" s="106">
        <v>11</v>
      </c>
      <c r="AG107" s="108"/>
      <c r="AH107" s="48">
        <f t="shared" si="9"/>
        <v>16.5</v>
      </c>
      <c r="AI107" s="49">
        <f t="shared" si="10"/>
        <v>-19</v>
      </c>
    </row>
    <row r="108" spans="1:37" x14ac:dyDescent="0.25">
      <c r="A108" s="109" t="s">
        <v>113</v>
      </c>
      <c r="B108" s="94">
        <v>73</v>
      </c>
      <c r="C108" s="94">
        <v>72.900000000000006</v>
      </c>
      <c r="D108" s="94">
        <v>73.900000000000006</v>
      </c>
      <c r="E108" s="94">
        <v>78</v>
      </c>
      <c r="F108" s="94">
        <v>78</v>
      </c>
      <c r="G108" s="94">
        <v>72</v>
      </c>
      <c r="H108" s="94">
        <v>64</v>
      </c>
      <c r="I108" s="94">
        <v>57</v>
      </c>
      <c r="J108" s="94">
        <v>59</v>
      </c>
      <c r="K108" s="94">
        <v>60</v>
      </c>
      <c r="L108" s="94">
        <v>61</v>
      </c>
      <c r="M108" s="94">
        <v>61.3</v>
      </c>
      <c r="N108" s="94">
        <v>62.6</v>
      </c>
      <c r="O108" s="94">
        <v>67.099999999999994</v>
      </c>
      <c r="P108" s="94">
        <v>69.5</v>
      </c>
      <c r="Q108" s="94">
        <v>72.8</v>
      </c>
      <c r="R108" s="94">
        <v>54.9</v>
      </c>
      <c r="S108" s="94">
        <v>75.900000000000006</v>
      </c>
      <c r="T108" s="94">
        <v>75.599999999999994</v>
      </c>
      <c r="U108" s="94">
        <v>70</v>
      </c>
      <c r="V108" s="94">
        <v>56.2</v>
      </c>
      <c r="W108" s="94">
        <v>42</v>
      </c>
      <c r="X108" s="94">
        <v>48</v>
      </c>
      <c r="Y108" s="94">
        <v>49.4</v>
      </c>
      <c r="Z108" s="94">
        <v>54.1</v>
      </c>
      <c r="AA108" s="94">
        <v>59.3</v>
      </c>
      <c r="AB108" s="94">
        <v>63.5</v>
      </c>
      <c r="AC108" s="94">
        <v>60</v>
      </c>
      <c r="AD108" s="94">
        <v>65</v>
      </c>
      <c r="AE108" s="94">
        <v>65</v>
      </c>
      <c r="AF108" s="94">
        <v>72</v>
      </c>
      <c r="AG108" s="108"/>
      <c r="AH108" s="48">
        <f t="shared" si="9"/>
        <v>78</v>
      </c>
      <c r="AI108" s="49">
        <f t="shared" si="10"/>
        <v>42</v>
      </c>
    </row>
    <row r="109" spans="1:37" ht="15.75" thickBot="1" x14ac:dyDescent="0.3">
      <c r="A109" s="109" t="s">
        <v>114</v>
      </c>
      <c r="B109" s="94">
        <v>97</v>
      </c>
      <c r="C109" s="94">
        <v>100.4</v>
      </c>
      <c r="D109" s="94">
        <v>103.2</v>
      </c>
      <c r="E109" s="94">
        <v>99</v>
      </c>
      <c r="F109" s="94">
        <v>100</v>
      </c>
      <c r="G109" s="94">
        <v>100</v>
      </c>
      <c r="H109" s="94">
        <v>98</v>
      </c>
      <c r="I109" s="94">
        <v>95</v>
      </c>
      <c r="J109" s="94">
        <v>100</v>
      </c>
      <c r="K109" s="94">
        <v>76</v>
      </c>
      <c r="L109" s="94">
        <v>70</v>
      </c>
      <c r="M109" s="94">
        <v>72.2</v>
      </c>
      <c r="N109" s="94">
        <v>75.400000000000006</v>
      </c>
      <c r="O109" s="94">
        <v>86.7</v>
      </c>
      <c r="P109" s="94">
        <v>100.5</v>
      </c>
      <c r="Q109" s="94">
        <v>108.9</v>
      </c>
      <c r="R109" s="94">
        <v>109.3</v>
      </c>
      <c r="S109" s="94">
        <v>101.8</v>
      </c>
      <c r="T109" s="94">
        <v>97.3</v>
      </c>
      <c r="U109" s="94">
        <v>93</v>
      </c>
      <c r="V109" s="94">
        <v>85.3</v>
      </c>
      <c r="W109" s="94">
        <v>62</v>
      </c>
      <c r="X109" s="94">
        <v>61.4</v>
      </c>
      <c r="Y109" s="94">
        <v>72.3</v>
      </c>
      <c r="Z109" s="94">
        <v>86.5</v>
      </c>
      <c r="AA109" s="94">
        <v>81</v>
      </c>
      <c r="AB109" s="94">
        <v>97</v>
      </c>
      <c r="AC109" s="94">
        <v>98</v>
      </c>
      <c r="AD109" s="94">
        <v>100</v>
      </c>
      <c r="AE109" s="94">
        <v>95</v>
      </c>
      <c r="AF109" s="94"/>
      <c r="AG109" s="108"/>
      <c r="AH109" s="48">
        <f t="shared" si="9"/>
        <v>109.3</v>
      </c>
      <c r="AI109" s="49">
        <f t="shared" si="10"/>
        <v>61.4</v>
      </c>
    </row>
    <row r="110" spans="1:37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65">
        <v>-355.6</v>
      </c>
      <c r="C114" s="65">
        <v>-368.6</v>
      </c>
      <c r="D114" s="65">
        <v>-383.5</v>
      </c>
      <c r="E114" s="65">
        <v>-388</v>
      </c>
      <c r="F114" s="65">
        <v>-380</v>
      </c>
      <c r="G114" s="65">
        <v>-385</v>
      </c>
      <c r="H114" s="65"/>
      <c r="I114" s="65">
        <v>-375</v>
      </c>
      <c r="J114" s="65"/>
      <c r="K114" s="65">
        <v>-390</v>
      </c>
      <c r="L114" s="65"/>
      <c r="M114" s="65">
        <v>-397.3</v>
      </c>
      <c r="N114" s="65">
        <v>-400.5</v>
      </c>
      <c r="O114" s="65">
        <v>-407.1</v>
      </c>
      <c r="P114" s="65">
        <v>-403</v>
      </c>
      <c r="Q114" s="65">
        <v>-405.2</v>
      </c>
      <c r="R114" s="65">
        <v>-402</v>
      </c>
      <c r="S114" s="65">
        <v>-394.7</v>
      </c>
      <c r="T114" s="65">
        <v>-376</v>
      </c>
      <c r="U114" s="65">
        <v>-341</v>
      </c>
      <c r="V114" s="65">
        <v>-378</v>
      </c>
      <c r="W114" s="65"/>
      <c r="X114" s="65">
        <v>-427</v>
      </c>
      <c r="Y114" s="65"/>
      <c r="Z114" s="65">
        <v>-397</v>
      </c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2">SUM(B111:B215)</f>
        <v>-355.6</v>
      </c>
      <c r="C216" s="125">
        <f t="shared" si="22"/>
        <v>-368.6</v>
      </c>
      <c r="D216" s="125">
        <f t="shared" si="22"/>
        <v>-383.5</v>
      </c>
      <c r="E216" s="125">
        <f t="shared" si="22"/>
        <v>-388</v>
      </c>
      <c r="F216" s="125">
        <f t="shared" si="22"/>
        <v>-380</v>
      </c>
      <c r="G216" s="125">
        <f t="shared" si="22"/>
        <v>-385</v>
      </c>
      <c r="H216" s="125">
        <f t="shared" si="22"/>
        <v>0</v>
      </c>
      <c r="I216" s="125">
        <f t="shared" si="22"/>
        <v>-375</v>
      </c>
      <c r="J216" s="125">
        <f t="shared" si="22"/>
        <v>0</v>
      </c>
      <c r="K216" s="125">
        <f t="shared" si="22"/>
        <v>-390</v>
      </c>
      <c r="L216" s="125">
        <f t="shared" si="22"/>
        <v>0</v>
      </c>
      <c r="M216" s="125">
        <f t="shared" si="22"/>
        <v>-397.3</v>
      </c>
      <c r="N216" s="125">
        <f t="shared" si="22"/>
        <v>-400.5</v>
      </c>
      <c r="O216" s="125">
        <f t="shared" si="22"/>
        <v>-407.1</v>
      </c>
      <c r="P216" s="125">
        <f t="shared" si="22"/>
        <v>-403</v>
      </c>
      <c r="Q216" s="125">
        <f t="shared" si="22"/>
        <v>-405.2</v>
      </c>
      <c r="R216" s="125">
        <f t="shared" si="22"/>
        <v>-402</v>
      </c>
      <c r="S216" s="125">
        <f t="shared" si="22"/>
        <v>-394.7</v>
      </c>
      <c r="T216" s="125">
        <f t="shared" si="22"/>
        <v>-376</v>
      </c>
      <c r="U216" s="125">
        <f t="shared" si="22"/>
        <v>-341</v>
      </c>
      <c r="V216" s="125">
        <f t="shared" si="22"/>
        <v>-378</v>
      </c>
      <c r="W216" s="125">
        <f t="shared" si="22"/>
        <v>0</v>
      </c>
      <c r="X216" s="125">
        <f t="shared" si="22"/>
        <v>-427</v>
      </c>
      <c r="Y216" s="125">
        <f t="shared" si="22"/>
        <v>0</v>
      </c>
      <c r="Z216" s="125">
        <f t="shared" si="22"/>
        <v>-397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1349.14</v>
      </c>
      <c r="C233" s="150">
        <f>INDEX(G9:N9,1,MATCH(MAX(G81:N81),G81:N81,0))</f>
        <v>0.33333333333333331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4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2079/08/4)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2079/08/4)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6">B81</f>
        <v>1126.6399999999999</v>
      </c>
      <c r="U238" s="159">
        <f t="shared" si="26"/>
        <v>1131.6399999999999</v>
      </c>
      <c r="V238" s="159">
        <f t="shared" si="26"/>
        <v>1128.8399999999999</v>
      </c>
      <c r="W238" s="159">
        <f t="shared" si="26"/>
        <v>1130.8399999999999</v>
      </c>
      <c r="X238" s="159">
        <f t="shared" si="26"/>
        <v>1134.44</v>
      </c>
      <c r="Y238" s="159">
        <f t="shared" si="26"/>
        <v>1178.74</v>
      </c>
      <c r="Z238" s="159">
        <f t="shared" si="26"/>
        <v>1237.8399999999999</v>
      </c>
      <c r="AA238" s="159">
        <f t="shared" si="26"/>
        <v>1275.44</v>
      </c>
      <c r="AB238" s="159">
        <f t="shared" si="26"/>
        <v>1291.1400000000001</v>
      </c>
      <c r="AC238" s="159">
        <f t="shared" si="26"/>
        <v>1285.94</v>
      </c>
      <c r="AD238" s="159">
        <f t="shared" si="26"/>
        <v>1316.94</v>
      </c>
      <c r="AE238" s="159">
        <f t="shared" si="26"/>
        <v>1349.14</v>
      </c>
      <c r="AF238" s="159">
        <f t="shared" si="26"/>
        <v>1317.54</v>
      </c>
      <c r="AG238" s="159">
        <f t="shared" si="26"/>
        <v>1271.74</v>
      </c>
      <c r="AH238" s="159">
        <f t="shared" si="26"/>
        <v>1202.24</v>
      </c>
      <c r="AI238" s="159">
        <f t="shared" si="26"/>
        <v>1174.44</v>
      </c>
      <c r="AJ238" s="159">
        <f t="shared" si="26"/>
        <v>1018.44</v>
      </c>
      <c r="AK238" s="159">
        <f t="shared" si="26"/>
        <v>1131.24</v>
      </c>
      <c r="AL238" s="159">
        <f t="shared" si="26"/>
        <v>1147.0400000000002</v>
      </c>
      <c r="AM238" s="159">
        <f t="shared" si="26"/>
        <v>1142.54</v>
      </c>
      <c r="AN238" s="159">
        <f t="shared" si="26"/>
        <v>1246.74</v>
      </c>
      <c r="AO238" s="159">
        <f t="shared" si="26"/>
        <v>1425.0400000000002</v>
      </c>
      <c r="AP238" s="159">
        <f t="shared" si="26"/>
        <v>1570.44</v>
      </c>
      <c r="AQ238" s="159">
        <f t="shared" si="26"/>
        <v>1489.44</v>
      </c>
      <c r="AR238" s="159">
        <f t="shared" si="26"/>
        <v>1422.14</v>
      </c>
      <c r="AS238" s="159">
        <f t="shared" si="26"/>
        <v>1401.24</v>
      </c>
      <c r="AT238" s="159">
        <f t="shared" si="26"/>
        <v>1367.64</v>
      </c>
      <c r="AU238" s="159">
        <f t="shared" si="26"/>
        <v>1313.74</v>
      </c>
      <c r="AV238" s="159">
        <f t="shared" si="26"/>
        <v>1264.1399999999999</v>
      </c>
      <c r="AW238" s="159">
        <f t="shared" si="26"/>
        <v>1161.94</v>
      </c>
      <c r="AX238" s="159">
        <f t="shared" si="26"/>
        <v>1134.44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625" priority="24">
      <formula>$AH11=0</formula>
    </cfRule>
  </conditionalFormatting>
  <conditionalFormatting sqref="B8 M8 S8 AB8">
    <cfRule type="expression" dxfId="624" priority="254">
      <formula>AND(C$9&gt;=14/24,C$9&lt;20/24)</formula>
    </cfRule>
    <cfRule type="expression" dxfId="623" priority="256">
      <formula>C$9&lt;8/24</formula>
    </cfRule>
    <cfRule type="expression" dxfId="622" priority="255">
      <formula>AND(C$9&gt;=8/24,C$9&lt;14/24)</formula>
    </cfRule>
  </conditionalFormatting>
  <conditionalFormatting sqref="B41:B44 C44:AG44">
    <cfRule type="expression" dxfId="621" priority="79">
      <formula>AND(B$9&gt;=8/24,B$9&lt;14/24)</formula>
    </cfRule>
    <cfRule type="expression" dxfId="620" priority="80">
      <formula>B$9&lt;8/24</formula>
    </cfRule>
    <cfRule type="expression" dxfId="619" priority="78">
      <formula>AND(B$9&gt;=14/24,B$9&lt;20/24)</formula>
    </cfRule>
    <cfRule type="expression" dxfId="618" priority="77">
      <formula>B$9&gt;=20/24</formula>
    </cfRule>
    <cfRule type="expression" dxfId="617" priority="76">
      <formula>B41&gt;$AG41</formula>
    </cfRule>
  </conditionalFormatting>
  <conditionalFormatting sqref="B45:D47">
    <cfRule type="expression" dxfId="616" priority="132">
      <formula>B$9&gt;=20/24</formula>
    </cfRule>
    <cfRule type="expression" dxfId="615" priority="133">
      <formula>AND(B$9&gt;=14/24,B$9&lt;20/24)</formula>
    </cfRule>
    <cfRule type="expression" dxfId="614" priority="134">
      <formula>AND(B$9&gt;=8/24,B$9&lt;14/24)</formula>
    </cfRule>
    <cfRule type="expression" dxfId="613" priority="135">
      <formula>B$9&lt;8/24</formula>
    </cfRule>
  </conditionalFormatting>
  <conditionalFormatting sqref="B50:Q56">
    <cfRule type="expression" dxfId="612" priority="108">
      <formula>B$9&lt;8/24</formula>
    </cfRule>
    <cfRule type="expression" dxfId="611" priority="107">
      <formula>AND(B$9&gt;=8/24,B$9&lt;14/24)</formula>
    </cfRule>
    <cfRule type="expression" dxfId="610" priority="106">
      <formula>AND(B$9&gt;=14/24,B$9&lt;20/24)</formula>
    </cfRule>
    <cfRule type="expression" dxfId="609" priority="105">
      <formula>B$9&gt;=20/24</formula>
    </cfRule>
    <cfRule type="expression" dxfId="608" priority="104">
      <formula>B50&gt;$AG50</formula>
    </cfRule>
  </conditionalFormatting>
  <conditionalFormatting sqref="B114:Z114">
    <cfRule type="expression" dxfId="607" priority="2">
      <formula>AND(B$9&gt;=14/24,B$9&lt;20/24)</formula>
    </cfRule>
    <cfRule type="expression" dxfId="606" priority="3">
      <formula>AND(B$9&gt;=8/24,B$9&lt;14/24)</formula>
    </cfRule>
    <cfRule type="expression" dxfId="605" priority="4">
      <formula>B$9&lt;8/24</formula>
    </cfRule>
    <cfRule type="expression" dxfId="604" priority="1">
      <formula>B$9&gt;=20/24</formula>
    </cfRule>
  </conditionalFormatting>
  <conditionalFormatting sqref="B9:AF11">
    <cfRule type="expression" dxfId="603" priority="151">
      <formula>AND(B$9&gt;=8/24,B$9&lt;14/24)</formula>
    </cfRule>
    <cfRule type="expression" dxfId="602" priority="152">
      <formula>B$9&lt;8/24</formula>
    </cfRule>
    <cfRule type="expression" dxfId="601" priority="149">
      <formula>B$9&gt;=20/24</formula>
    </cfRule>
    <cfRule type="expression" dxfId="600" priority="150">
      <formula>AND(B$9&gt;=14/24,B$9&lt;20/24)</formula>
    </cfRule>
  </conditionalFormatting>
  <conditionalFormatting sqref="B11:AF16">
    <cfRule type="expression" dxfId="599" priority="144">
      <formula>B11&gt;$AG11</formula>
    </cfRule>
  </conditionalFormatting>
  <conditionalFormatting sqref="B12:AF15">
    <cfRule type="expression" dxfId="598" priority="116">
      <formula>AND(B$9&gt;=8/24,B$9&lt;14/24)</formula>
    </cfRule>
    <cfRule type="expression" dxfId="597" priority="117">
      <formula>B$9&lt;8/24</formula>
    </cfRule>
    <cfRule type="expression" dxfId="596" priority="114">
      <formula>B$9&gt;=20/24</formula>
    </cfRule>
    <cfRule type="expression" dxfId="595" priority="115">
      <formula>AND(B$9&gt;=14/24,B$9&lt;20/24)</formula>
    </cfRule>
  </conditionalFormatting>
  <conditionalFormatting sqref="B16:AF16 B216:AF216 B218:B224 D218:AF224 U237:AF237">
    <cfRule type="expression" dxfId="594" priority="250">
      <formula>B$9&lt;8/24</formula>
    </cfRule>
    <cfRule type="expression" dxfId="593" priority="249">
      <formula>AND(B$9&gt;=8/24,B$9&lt;14/24)</formula>
    </cfRule>
    <cfRule type="expression" dxfId="592" priority="248">
      <formula>AND(B$9&gt;=14/24,B$9&lt;20/24)</formula>
    </cfRule>
    <cfRule type="expression" dxfId="591" priority="247">
      <formula>B$9&gt;=20/24</formula>
    </cfRule>
  </conditionalFormatting>
  <conditionalFormatting sqref="B17:AF17">
    <cfRule type="expression" dxfId="590" priority="28">
      <formula>AND(B$9&gt;=8/24,B$9&lt;14/24)</formula>
    </cfRule>
    <cfRule type="expression" dxfId="589" priority="29">
      <formula>B$9&lt;8/24</formula>
    </cfRule>
    <cfRule type="expression" dxfId="588" priority="26">
      <formula>B$9&gt;=20/24</formula>
    </cfRule>
    <cfRule type="expression" dxfId="587" priority="35">
      <formula>B17&gt;$AG17</formula>
    </cfRule>
    <cfRule type="expression" dxfId="586" priority="27">
      <formula>AND(B$9&gt;=14/24,B$9&lt;20/24)</formula>
    </cfRule>
  </conditionalFormatting>
  <conditionalFormatting sqref="B18:AF18">
    <cfRule type="expression" dxfId="585" priority="241">
      <formula>B18&gt;$AG18</formula>
    </cfRule>
  </conditionalFormatting>
  <conditionalFormatting sqref="B18:AF24">
    <cfRule type="expression" dxfId="584" priority="98">
      <formula>AND(B$9&gt;=8/24,B$9&lt;14/24)</formula>
    </cfRule>
    <cfRule type="expression" dxfId="583" priority="99">
      <formula>B$9&lt;8/24</formula>
    </cfRule>
    <cfRule type="expression" dxfId="582" priority="97">
      <formula>AND(B$9&gt;=14/24,B$9&lt;20/24)</formula>
    </cfRule>
    <cfRule type="expression" dxfId="581" priority="96">
      <formula>B$9&gt;=20/24</formula>
    </cfRule>
  </conditionalFormatting>
  <conditionalFormatting sqref="B19:AF24">
    <cfRule type="expression" dxfId="580" priority="95">
      <formula>B19&gt;$AG19</formula>
    </cfRule>
  </conditionalFormatting>
  <conditionalFormatting sqref="B25:AF27 B29:AF29 C59:AF61 B59:B62 C62:AG62 B75:B79 C79:AG79 B80:AF81">
    <cfRule type="expression" dxfId="579" priority="130">
      <formula>B$9&lt;8/24</formula>
    </cfRule>
    <cfRule type="expression" dxfId="578" priority="128">
      <formula>AND(B$9&gt;=14/24,B$9&lt;20/24)</formula>
    </cfRule>
    <cfRule type="expression" dxfId="577" priority="127">
      <formula>B$9&gt;=20/24</formula>
    </cfRule>
    <cfRule type="expression" dxfId="576" priority="129">
      <formula>AND(B$9&gt;=8/24,B$9&lt;14/24)</formula>
    </cfRule>
  </conditionalFormatting>
  <conditionalFormatting sqref="B25:AF29 B40:AG40 B45:O49 C57:AG58 B57:B62 C59:AF61 C62:AG62">
    <cfRule type="expression" dxfId="575" priority="122">
      <formula>B25&gt;$AG25</formula>
    </cfRule>
  </conditionalFormatting>
  <conditionalFormatting sqref="B28:AF28">
    <cfRule type="expression" dxfId="574" priority="100">
      <formula>B$9&gt;=20/24</formula>
    </cfRule>
    <cfRule type="expression" dxfId="573" priority="101">
      <formula>AND(B$9&gt;=14/24,B$9&lt;20/24)</formula>
    </cfRule>
    <cfRule type="expression" dxfId="572" priority="102">
      <formula>AND(B$9&gt;=8/24,B$9&lt;14/24)</formula>
    </cfRule>
    <cfRule type="expression" dxfId="571" priority="103">
      <formula>B$9&lt;8/24</formula>
    </cfRule>
  </conditionalFormatting>
  <conditionalFormatting sqref="B30:AF36">
    <cfRule type="expression" dxfId="570" priority="9">
      <formula>B30&gt;$AG30</formula>
    </cfRule>
  </conditionalFormatting>
  <conditionalFormatting sqref="B30:AF37">
    <cfRule type="expression" dxfId="569" priority="13">
      <formula>B$9&lt;8/24</formula>
    </cfRule>
    <cfRule type="expression" dxfId="568" priority="10">
      <formula>B$9&gt;=20/24</formula>
    </cfRule>
    <cfRule type="expression" dxfId="567" priority="12">
      <formula>AND(B$9&gt;=8/24,B$9&lt;14/24)</formula>
    </cfRule>
    <cfRule type="expression" dxfId="566" priority="11">
      <formula>AND(B$9&gt;=14/24,B$9&lt;20/24)</formula>
    </cfRule>
  </conditionalFormatting>
  <conditionalFormatting sqref="B37:AF39">
    <cfRule type="expression" dxfId="565" priority="131">
      <formula>B37&gt;$AG37</formula>
    </cfRule>
  </conditionalFormatting>
  <conditionalFormatting sqref="B38:AF39">
    <cfRule type="expression" dxfId="564" priority="136">
      <formula>B$9&gt;=20/24</formula>
    </cfRule>
    <cfRule type="expression" dxfId="563" priority="139">
      <formula>B$9&lt;8/24</formula>
    </cfRule>
    <cfRule type="expression" dxfId="562" priority="138">
      <formula>AND(B$9&gt;=8/24,B$9&lt;14/24)</formula>
    </cfRule>
    <cfRule type="expression" dxfId="561" priority="137">
      <formula>AND(B$9&gt;=14/24,B$9&lt;20/24)</formula>
    </cfRule>
  </conditionalFormatting>
  <conditionalFormatting sqref="B63:AF74">
    <cfRule type="expression" dxfId="560" priority="93">
      <formula>B$9&lt;8/24</formula>
    </cfRule>
    <cfRule type="expression" dxfId="559" priority="91">
      <formula>AND(B$9&gt;=14/24,B$9&lt;20/24)</formula>
    </cfRule>
    <cfRule type="expression" dxfId="558" priority="92">
      <formula>AND(B$9&gt;=8/24,B$9&lt;14/24)</formula>
    </cfRule>
    <cfRule type="expression" dxfId="557" priority="90">
      <formula>B$9&gt;=20/24</formula>
    </cfRule>
  </conditionalFormatting>
  <conditionalFormatting sqref="B83:AF99">
    <cfRule type="expression" dxfId="552" priority="70">
      <formula>AND(B$9&gt;=8/24,B$9&lt;14/24)</formula>
    </cfRule>
    <cfRule type="expression" dxfId="551" priority="71">
      <formula>B$9&lt;8/24</formula>
    </cfRule>
    <cfRule type="expression" dxfId="550" priority="68">
      <formula>B$9&gt;=20/24</formula>
    </cfRule>
    <cfRule type="expression" dxfId="549" priority="69">
      <formula>AND(B$9&gt;=14/24,B$9&lt;20/24)</formula>
    </cfRule>
  </conditionalFormatting>
  <conditionalFormatting sqref="B101:AF108">
    <cfRule type="expression" dxfId="548" priority="44">
      <formula>AND(B$9&gt;=8/24,B$9&lt;14/24)</formula>
    </cfRule>
    <cfRule type="expression" dxfId="547" priority="45">
      <formula>B$9&lt;8/24</formula>
    </cfRule>
    <cfRule type="expression" dxfId="546" priority="43">
      <formula>AND(B$9&gt;=14/24,B$9&lt;20/24)</formula>
    </cfRule>
    <cfRule type="expression" dxfId="545" priority="42">
      <formula>B$9&gt;=20/24</formula>
    </cfRule>
  </conditionalFormatting>
  <conditionalFormatting sqref="C41:AF43">
    <cfRule type="expression" dxfId="540" priority="81">
      <formula>C41&gt;$AG41</formula>
    </cfRule>
    <cfRule type="expression" dxfId="539" priority="82">
      <formula>C$9&gt;=20/24</formula>
    </cfRule>
    <cfRule type="expression" dxfId="538" priority="83">
      <formula>AND(C$9&gt;=14/24,C$9&lt;20/24)</formula>
    </cfRule>
    <cfRule type="expression" dxfId="537" priority="84">
      <formula>AND(C$9&gt;=8/24,C$9&lt;14/24)</formula>
    </cfRule>
    <cfRule type="expression" dxfId="536" priority="85">
      <formula>C$9&lt;8/24</formula>
    </cfRule>
  </conditionalFormatting>
  <conditionalFormatting sqref="C75:AF78">
    <cfRule type="expression" dxfId="535" priority="204">
      <formula>C$9&gt;=20/24</formula>
    </cfRule>
    <cfRule type="expression" dxfId="534" priority="207">
      <formula>C$9&lt;8/24</formula>
    </cfRule>
    <cfRule type="expression" dxfId="533" priority="205">
      <formula>AND(C$9&gt;=14/24,C$9&lt;20/24)</formula>
    </cfRule>
    <cfRule type="expression" dxfId="532" priority="206">
      <formula>AND(C$9&gt;=8/24,C$9&lt;14/24)</formula>
    </cfRule>
  </conditionalFormatting>
  <conditionalFormatting sqref="E45:W47 P48:T48 U48:AD51 P49:S49 T49:T51 R50:S51 AE50:AF51">
    <cfRule type="expression" dxfId="531" priority="178">
      <formula>AND(E$9&gt;=14/24,E$9&lt;20/24)</formula>
    </cfRule>
    <cfRule type="expression" dxfId="530" priority="179">
      <formula>AND(E$9&gt;=8/24,E$9&lt;14/24)</formula>
    </cfRule>
    <cfRule type="expression" dxfId="529" priority="180">
      <formula>E$9&lt;8/24</formula>
    </cfRule>
  </conditionalFormatting>
  <conditionalFormatting sqref="O3:P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P48:T48 U48:AD51 P49:S49 T49:T51 R50:S51 AE50:AF51 E45:W47">
    <cfRule type="expression" dxfId="528" priority="177">
      <formula>E$9&gt;=20/24</formula>
    </cfRule>
  </conditionalFormatting>
  <conditionalFormatting sqref="P45:AC47 AD46:AD47">
    <cfRule type="expression" dxfId="527" priority="153">
      <formula>P45&gt;$AG45</formula>
    </cfRule>
  </conditionalFormatting>
  <conditionalFormatting sqref="R52:AF56">
    <cfRule type="expression" dxfId="526" priority="38">
      <formula>R$9&gt;=20/24</formula>
    </cfRule>
    <cfRule type="expression" dxfId="525" priority="40">
      <formula>AND(R$9&gt;=8/24,R$9&lt;14/24)</formula>
    </cfRule>
    <cfRule type="expression" dxfId="524" priority="41">
      <formula>R$9&lt;8/24</formula>
    </cfRule>
    <cfRule type="expression" dxfId="523" priority="39">
      <formula>AND(R$9&gt;=14/24,R$9&lt;20/24)</formula>
    </cfRule>
    <cfRule type="expression" dxfId="522" priority="37">
      <formula>R52&gt;$AG52</formula>
    </cfRule>
  </conditionalFormatting>
  <conditionalFormatting sqref="S8 AB8 B8 M8">
    <cfRule type="expression" dxfId="521" priority="253">
      <formula>C$9&gt;=20/24</formula>
    </cfRule>
  </conditionalFormatting>
  <conditionalFormatting sqref="S8">
    <cfRule type="expression" dxfId="520" priority="225">
      <formula>U$9&lt;8/24</formula>
    </cfRule>
    <cfRule type="expression" dxfId="519" priority="223">
      <formula>AND(U$9&gt;=14/24,U$9&lt;20/24)</formula>
    </cfRule>
    <cfRule type="expression" dxfId="518" priority="224">
      <formula>AND(U$9&gt;=8/24,U$9&lt;14/24)</formula>
    </cfRule>
    <cfRule type="expression" dxfId="517" priority="222">
      <formula>U$9&gt;=20/24</formula>
    </cfRule>
  </conditionalFormatting>
  <conditionalFormatting sqref="T237">
    <cfRule type="expression" dxfId="516" priority="269">
      <formula>AX$9&lt;8/24</formula>
    </cfRule>
    <cfRule type="expression" dxfId="515" priority="266">
      <formula>AX$9&gt;=20/24</formula>
    </cfRule>
    <cfRule type="expression" dxfId="514" priority="267">
      <formula>AND(AX$9&gt;=14/24,AX$9&lt;20/24)</formula>
    </cfRule>
    <cfRule type="expression" dxfId="513" priority="268">
      <formula>AND(AX$9&gt;=8/24,AX$9&lt;14/24)</formula>
    </cfRule>
  </conditionalFormatting>
  <conditionalFormatting sqref="V3 AB3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X45:AC45">
    <cfRule type="expression" dxfId="512" priority="154">
      <formula>X$9&gt;=20/24</formula>
    </cfRule>
    <cfRule type="expression" dxfId="511" priority="155">
      <formula>AND(X$9&gt;=14/24,X$9&lt;20/24)</formula>
    </cfRule>
    <cfRule type="expression" dxfId="510" priority="156">
      <formula>AND(X$9&gt;=8/24,X$9&lt;14/24)</formula>
    </cfRule>
    <cfRule type="expression" dxfId="509" priority="157">
      <formula>X$9&lt;8/24</formula>
    </cfRule>
  </conditionalFormatting>
  <conditionalFormatting sqref="X46:AD47">
    <cfRule type="expression" dxfId="508" priority="161">
      <formula>X$9&lt;8/24</formula>
    </cfRule>
    <cfRule type="expression" dxfId="507" priority="160">
      <formula>AND(X$9&gt;=8/24,X$9&lt;14/24)</formula>
    </cfRule>
    <cfRule type="expression" dxfId="506" priority="159">
      <formula>AND(X$9&gt;=14/24,X$9&lt;20/24)</formula>
    </cfRule>
    <cfRule type="expression" dxfId="505" priority="158">
      <formula>X$9&gt;=20/24</formula>
    </cfRule>
  </conditionalFormatting>
  <conditionalFormatting sqref="AB8">
    <cfRule type="expression" dxfId="504" priority="218">
      <formula>AD$9&gt;=20/24</formula>
    </cfRule>
    <cfRule type="expression" dxfId="503" priority="219">
      <formula>AND(AD$9&gt;=14/24,AD$9&lt;20/24)</formula>
    </cfRule>
    <cfRule type="expression" dxfId="502" priority="220">
      <formula>AND(AD$9&gt;=8/24,AD$9&lt;14/24)</formula>
    </cfRule>
    <cfRule type="expression" dxfId="501" priority="221">
      <formula>AD$9&lt;8/24</formula>
    </cfRule>
  </conditionalFormatting>
  <conditionalFormatting sqref="AD45:AF45">
    <cfRule type="expression" dxfId="500" priority="209">
      <formula>AD$9&gt;=20/24</formula>
    </cfRule>
    <cfRule type="expression" dxfId="499" priority="210">
      <formula>AND(AD$9&gt;=14/24,AD$9&lt;20/24)</formula>
    </cfRule>
    <cfRule type="expression" dxfId="498" priority="211">
      <formula>AND(AD$9&gt;=8/24,AD$9&lt;14/24)</formula>
    </cfRule>
    <cfRule type="expression" dxfId="497" priority="212">
      <formula>AD$9&lt;8/24</formula>
    </cfRule>
    <cfRule type="expression" dxfId="496" priority="208">
      <formula>AD45&gt;$AG45</formula>
    </cfRule>
  </conditionalFormatting>
  <conditionalFormatting sqref="AE46:AF47">
    <cfRule type="expression" dxfId="495" priority="213">
      <formula>AE$9&gt;=20/24</formula>
    </cfRule>
    <cfRule type="expression" dxfId="494" priority="214">
      <formula>AND(AE$9&gt;=14/24,AE$9&lt;20/24)</formula>
    </cfRule>
    <cfRule type="expression" dxfId="493" priority="215">
      <formula>AND(AE$9&gt;=8/24,AE$9&lt;14/24)</formula>
    </cfRule>
    <cfRule type="expression" dxfId="492" priority="216">
      <formula>AE$9&lt;8/24</formula>
    </cfRule>
  </conditionalFormatting>
  <conditionalFormatting sqref="AE46:AF51 P48:T48 U48:AD51 P49:S49 T49:T51 R50:S51">
    <cfRule type="expression" dxfId="491" priority="176">
      <formula>P46&gt;$AG46</formula>
    </cfRule>
  </conditionalFormatting>
  <conditionalFormatting sqref="AG237">
    <cfRule type="expression" dxfId="490" priority="258">
      <formula>B$9&gt;=20/24</formula>
    </cfRule>
    <cfRule type="expression" dxfId="489" priority="259">
      <formula>AND(B$9&gt;=14/24,B$9&lt;20/24)</formula>
    </cfRule>
    <cfRule type="expression" dxfId="488" priority="261">
      <formula>B$9&lt;8/24</formula>
    </cfRule>
    <cfRule type="expression" dxfId="487" priority="260">
      <formula>AND(B$9&gt;=8/24,B$9&lt;14/24)</formula>
    </cfRule>
  </conditionalFormatting>
  <conditionalFormatting sqref="AH237:AX237">
    <cfRule type="expression" dxfId="486" priority="262">
      <formula>AG$9&gt;=20/24</formula>
    </cfRule>
    <cfRule type="expression" dxfId="485" priority="263">
      <formula>AND(AG$9&gt;=14/24,AG$9&lt;20/24)</formula>
    </cfRule>
    <cfRule type="expression" dxfId="484" priority="264">
      <formula>AND(AG$9&gt;=8/24,AG$9&lt;14/24)</formula>
    </cfRule>
    <cfRule type="expression" dxfId="483" priority="265">
      <formula>AG$9&lt;8/24</formula>
    </cfRule>
  </conditionalFormatting>
  <conditionalFormatting sqref="AL4:AL6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2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7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70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2FCACA3D-3C05-4AA8-9CF1-E6EAED84B1C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4" id="{4C97D6C2-49F8-41A6-A1D3-8916112445C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5" id="{49D35866-663A-4786-A33A-C1A49F53631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6" id="{828987EE-55EE-4B66-BE45-5E3323BEE65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2" id="{7964CCB2-D62A-4A51-ACE1-400E49644B3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3" id="{981FDF73-13A8-4CF2-9500-ABCE4A476B0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4" id="{EA570E47-6FF3-42B0-858F-10A34765638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5" id="{331644A7-FF75-4822-AF20-0516E1DABFD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K9" sqref="K9:K1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2079/08/5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1408MW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Load=1013</v>
      </c>
      <c r="B7" s="35">
        <f t="shared" ref="B7:AF7" si="1">B81</f>
        <v>1084.2400000000002</v>
      </c>
      <c r="C7" s="35">
        <f t="shared" si="1"/>
        <v>1047.04</v>
      </c>
      <c r="D7" s="35">
        <f t="shared" si="1"/>
        <v>1013.0400000000001</v>
      </c>
      <c r="E7" s="35">
        <f t="shared" si="1"/>
        <v>1012.84</v>
      </c>
      <c r="F7" s="35">
        <f t="shared" si="1"/>
        <v>1012.84</v>
      </c>
      <c r="G7" s="35">
        <f t="shared" si="1"/>
        <v>1038.04</v>
      </c>
      <c r="H7" s="35">
        <f t="shared" si="1"/>
        <v>1068.3400000000001</v>
      </c>
      <c r="I7" s="35">
        <f t="shared" si="1"/>
        <v>1126.3400000000001</v>
      </c>
      <c r="J7" s="35">
        <f t="shared" si="1"/>
        <v>1227.44</v>
      </c>
      <c r="K7" s="35">
        <f t="shared" si="1"/>
        <v>1237.44</v>
      </c>
      <c r="L7" s="35">
        <f t="shared" si="1"/>
        <v>1259.44</v>
      </c>
      <c r="M7" s="35">
        <f t="shared" si="1"/>
        <v>1364.0400000000002</v>
      </c>
      <c r="N7" s="35">
        <f t="shared" si="1"/>
        <v>1408.44</v>
      </c>
      <c r="O7" s="35">
        <f t="shared" si="1"/>
        <v>1428.04</v>
      </c>
      <c r="P7" s="35">
        <f t="shared" si="1"/>
        <v>1367.54</v>
      </c>
      <c r="Q7" s="35">
        <f t="shared" si="1"/>
        <v>1322.14</v>
      </c>
      <c r="R7" s="35">
        <f t="shared" si="1"/>
        <v>1245.94</v>
      </c>
      <c r="S7" s="35">
        <f t="shared" si="1"/>
        <v>1319.8400000000001</v>
      </c>
      <c r="T7" s="35">
        <f t="shared" si="1"/>
        <v>1301.6400000000001</v>
      </c>
      <c r="U7" s="35">
        <f t="shared" si="1"/>
        <v>1301.6400000000001</v>
      </c>
      <c r="V7" s="35">
        <f t="shared" si="1"/>
        <v>1399.8400000000001</v>
      </c>
      <c r="W7" s="35">
        <f t="shared" si="1"/>
        <v>1460.8400000000001</v>
      </c>
      <c r="X7" s="35">
        <f t="shared" si="1"/>
        <v>1531.8400000000001</v>
      </c>
      <c r="Y7" s="35">
        <f t="shared" si="1"/>
        <v>1431.8400000000001</v>
      </c>
      <c r="Z7" s="35">
        <f t="shared" si="1"/>
        <v>1391.8400000000001</v>
      </c>
      <c r="AA7" s="35">
        <f t="shared" si="1"/>
        <v>1341.8400000000001</v>
      </c>
      <c r="AB7" s="35">
        <f t="shared" si="1"/>
        <v>1332.04</v>
      </c>
      <c r="AC7" s="35">
        <f t="shared" si="1"/>
        <v>1331.34</v>
      </c>
      <c r="AD7" s="35">
        <f t="shared" si="1"/>
        <v>1273.54</v>
      </c>
      <c r="AE7" s="35">
        <f t="shared" si="1"/>
        <v>1214.94</v>
      </c>
      <c r="AF7" s="35">
        <f t="shared" si="1"/>
        <v>1180.1400000000001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36.5</v>
      </c>
      <c r="C11" s="45">
        <v>36.5</v>
      </c>
      <c r="D11" s="45">
        <v>36.5</v>
      </c>
      <c r="E11" s="45">
        <v>36.4</v>
      </c>
      <c r="F11" s="45">
        <v>36.4</v>
      </c>
      <c r="G11" s="45">
        <v>36.4</v>
      </c>
      <c r="H11" s="45">
        <v>36.4</v>
      </c>
      <c r="I11" s="45">
        <v>36.4</v>
      </c>
      <c r="J11" s="45">
        <v>36.4</v>
      </c>
      <c r="K11" s="45">
        <v>36.4</v>
      </c>
      <c r="L11" s="45">
        <v>36.4</v>
      </c>
      <c r="M11" s="45">
        <v>35.799999999999997</v>
      </c>
      <c r="N11" s="45">
        <v>35.799999999999997</v>
      </c>
      <c r="O11" s="45">
        <v>35.799999999999997</v>
      </c>
      <c r="P11" s="45">
        <v>39.5</v>
      </c>
      <c r="Q11" s="45">
        <v>44.2</v>
      </c>
      <c r="R11" s="45">
        <v>36.299999999999997</v>
      </c>
      <c r="S11" s="45">
        <v>34.799999999999997</v>
      </c>
      <c r="T11" s="45">
        <v>34.799999999999997</v>
      </c>
      <c r="U11" s="45">
        <v>34.799999999999997</v>
      </c>
      <c r="V11" s="45">
        <v>34.799999999999997</v>
      </c>
      <c r="W11" s="45">
        <v>34.799999999999997</v>
      </c>
      <c r="X11" s="46">
        <v>34.799999999999997</v>
      </c>
      <c r="Y11" s="46">
        <v>34.799999999999997</v>
      </c>
      <c r="Z11" s="46">
        <v>34.799999999999997</v>
      </c>
      <c r="AA11" s="46">
        <v>34.799999999999997</v>
      </c>
      <c r="AB11" s="46">
        <v>35.799999999999997</v>
      </c>
      <c r="AC11" s="46">
        <v>35.799999999999997</v>
      </c>
      <c r="AD11" s="46">
        <v>35.799999999999997</v>
      </c>
      <c r="AE11" s="46">
        <v>33.6</v>
      </c>
      <c r="AF11" s="46">
        <v>34.700000000000003</v>
      </c>
      <c r="AG11" s="47">
        <v>52.4</v>
      </c>
      <c r="AH11" s="48">
        <f>MAX(B11:AF11)</f>
        <v>44.2</v>
      </c>
      <c r="AI11" s="49">
        <f>MIN(B11:AF11)</f>
        <v>33.6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50.5</v>
      </c>
      <c r="AF12" s="45">
        <v>50.1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32.299999999999997</v>
      </c>
      <c r="C13" s="45">
        <v>32.299999999999997</v>
      </c>
      <c r="D13" s="45">
        <v>32.299999999999997</v>
      </c>
      <c r="E13" s="45">
        <v>31.6</v>
      </c>
      <c r="F13" s="45">
        <v>31.6</v>
      </c>
      <c r="G13" s="45">
        <v>31.6</v>
      </c>
      <c r="H13" s="45">
        <v>31.6</v>
      </c>
      <c r="I13" s="45">
        <v>31.6</v>
      </c>
      <c r="J13" s="45">
        <v>31.6</v>
      </c>
      <c r="K13" s="45">
        <v>31.6</v>
      </c>
      <c r="L13" s="45">
        <v>31.6</v>
      </c>
      <c r="M13" s="45">
        <v>30.4</v>
      </c>
      <c r="N13" s="45">
        <v>30.4</v>
      </c>
      <c r="O13" s="45">
        <v>30.4</v>
      </c>
      <c r="P13" s="45">
        <v>30.3</v>
      </c>
      <c r="Q13" s="45">
        <v>30.2</v>
      </c>
      <c r="R13" s="45">
        <v>30</v>
      </c>
      <c r="S13" s="45">
        <v>30</v>
      </c>
      <c r="T13" s="45">
        <v>30</v>
      </c>
      <c r="U13" s="45">
        <v>30</v>
      </c>
      <c r="V13" s="45">
        <v>30</v>
      </c>
      <c r="W13" s="45">
        <v>30</v>
      </c>
      <c r="X13" s="45">
        <v>30</v>
      </c>
      <c r="Y13" s="45">
        <v>30</v>
      </c>
      <c r="Z13" s="45">
        <v>30</v>
      </c>
      <c r="AA13" s="45">
        <v>30</v>
      </c>
      <c r="AB13" s="45">
        <v>31.7</v>
      </c>
      <c r="AC13" s="45">
        <v>31.7</v>
      </c>
      <c r="AD13" s="45">
        <v>31.7</v>
      </c>
      <c r="AE13" s="45">
        <v>31.9</v>
      </c>
      <c r="AF13" s="45">
        <v>32.299999999999997</v>
      </c>
      <c r="AG13" s="51">
        <v>45</v>
      </c>
      <c r="AH13" s="48">
        <f t="shared" si="2"/>
        <v>32.299999999999997</v>
      </c>
      <c r="AI13" s="49">
        <f t="shared" si="3"/>
        <v>30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</v>
      </c>
      <c r="C14" s="45">
        <v>19</v>
      </c>
      <c r="D14" s="45">
        <v>19</v>
      </c>
      <c r="E14" s="45">
        <v>19</v>
      </c>
      <c r="F14" s="45">
        <v>19</v>
      </c>
      <c r="G14" s="45">
        <v>19</v>
      </c>
      <c r="H14" s="45">
        <v>19</v>
      </c>
      <c r="I14" s="45">
        <v>19</v>
      </c>
      <c r="J14" s="45">
        <v>19</v>
      </c>
      <c r="K14" s="45">
        <v>19</v>
      </c>
      <c r="L14" s="45">
        <v>19</v>
      </c>
      <c r="M14" s="45">
        <v>22.5</v>
      </c>
      <c r="N14" s="45">
        <v>22.5</v>
      </c>
      <c r="O14" s="45">
        <v>22.5</v>
      </c>
      <c r="P14" s="45">
        <v>19</v>
      </c>
      <c r="Q14" s="45">
        <v>19</v>
      </c>
      <c r="R14" s="45">
        <v>19</v>
      </c>
      <c r="S14" s="45">
        <v>19</v>
      </c>
      <c r="T14" s="45">
        <v>19</v>
      </c>
      <c r="U14" s="45">
        <v>19</v>
      </c>
      <c r="V14" s="45">
        <v>19</v>
      </c>
      <c r="W14" s="45">
        <v>19</v>
      </c>
      <c r="X14" s="45">
        <v>19</v>
      </c>
      <c r="Y14" s="45">
        <v>19</v>
      </c>
      <c r="Z14" s="45">
        <v>19</v>
      </c>
      <c r="AA14" s="45">
        <v>19</v>
      </c>
      <c r="AB14" s="45">
        <v>21</v>
      </c>
      <c r="AC14" s="45">
        <v>21</v>
      </c>
      <c r="AD14" s="45">
        <v>21</v>
      </c>
      <c r="AE14" s="45">
        <v>21</v>
      </c>
      <c r="AF14" s="45">
        <v>21</v>
      </c>
      <c r="AG14" s="51">
        <v>42</v>
      </c>
      <c r="AH14" s="48">
        <f t="shared" si="2"/>
        <v>22.5</v>
      </c>
      <c r="AI14" s="49">
        <f t="shared" si="3"/>
        <v>18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0</v>
      </c>
      <c r="M15" s="45">
        <v>20</v>
      </c>
      <c r="N15" s="45">
        <v>20</v>
      </c>
      <c r="O15" s="45">
        <v>20</v>
      </c>
      <c r="P15" s="45">
        <v>19</v>
      </c>
      <c r="Q15" s="45">
        <v>19.100000000000001</v>
      </c>
      <c r="R15" s="45">
        <v>15</v>
      </c>
      <c r="S15" s="45">
        <v>15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18.7</v>
      </c>
      <c r="AC15" s="45">
        <v>18.7</v>
      </c>
      <c r="AD15" s="45">
        <v>10.9</v>
      </c>
      <c r="AE15" s="45">
        <v>0</v>
      </c>
      <c r="AF15" s="45">
        <v>0</v>
      </c>
      <c r="AG15" s="52">
        <v>30</v>
      </c>
      <c r="AH15" s="48">
        <f t="shared" si="2"/>
        <v>21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13.4</v>
      </c>
      <c r="C16" s="45">
        <v>13.4</v>
      </c>
      <c r="D16" s="45">
        <v>13.4</v>
      </c>
      <c r="E16" s="45">
        <v>13.4</v>
      </c>
      <c r="F16" s="45">
        <v>13.4</v>
      </c>
      <c r="G16" s="45">
        <v>13.4</v>
      </c>
      <c r="H16" s="45">
        <v>13.4</v>
      </c>
      <c r="I16" s="45">
        <v>13.4</v>
      </c>
      <c r="J16" s="45">
        <v>13.4</v>
      </c>
      <c r="K16" s="45">
        <v>13.4</v>
      </c>
      <c r="L16" s="45">
        <v>13.4</v>
      </c>
      <c r="M16" s="45">
        <v>13.4</v>
      </c>
      <c r="N16" s="45">
        <v>14.5</v>
      </c>
      <c r="O16" s="45">
        <v>14.5</v>
      </c>
      <c r="P16" s="45">
        <v>21</v>
      </c>
      <c r="Q16" s="45">
        <v>15.8</v>
      </c>
      <c r="R16" s="45">
        <v>16.399999999999999</v>
      </c>
      <c r="S16" s="45">
        <v>16.399999999999999</v>
      </c>
      <c r="T16" s="45">
        <v>16.399999999999999</v>
      </c>
      <c r="U16" s="45">
        <v>16.399999999999999</v>
      </c>
      <c r="V16" s="45">
        <v>16.399999999999999</v>
      </c>
      <c r="W16" s="45">
        <v>16.399999999999999</v>
      </c>
      <c r="X16" s="45">
        <v>16.399999999999999</v>
      </c>
      <c r="Y16" s="45">
        <v>16.399999999999999</v>
      </c>
      <c r="Z16" s="45">
        <v>16.399999999999999</v>
      </c>
      <c r="AA16" s="45">
        <v>16.399999999999999</v>
      </c>
      <c r="AB16" s="45">
        <v>16.399999999999999</v>
      </c>
      <c r="AC16" s="45">
        <v>16.399999999999999</v>
      </c>
      <c r="AD16" s="45">
        <v>16.399999999999999</v>
      </c>
      <c r="AE16" s="45">
        <v>15.6</v>
      </c>
      <c r="AF16" s="45">
        <v>15.6</v>
      </c>
      <c r="AG16" s="51">
        <v>24.2</v>
      </c>
      <c r="AH16" s="48">
        <f t="shared" si="2"/>
        <v>21</v>
      </c>
      <c r="AI16" s="49">
        <f t="shared" si="3"/>
        <v>13.4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10</v>
      </c>
      <c r="L17" s="45">
        <v>22</v>
      </c>
      <c r="M17" s="45">
        <v>22</v>
      </c>
      <c r="N17" s="45">
        <v>22</v>
      </c>
      <c r="O17" s="45">
        <v>22</v>
      </c>
      <c r="P17" s="45">
        <v>15</v>
      </c>
      <c r="Q17" s="45">
        <v>18</v>
      </c>
      <c r="R17" s="45">
        <v>18</v>
      </c>
      <c r="S17" s="45">
        <v>18</v>
      </c>
      <c r="T17" s="45">
        <v>18</v>
      </c>
      <c r="U17" s="45">
        <v>18</v>
      </c>
      <c r="V17" s="45">
        <v>18</v>
      </c>
      <c r="W17" s="45">
        <v>18</v>
      </c>
      <c r="X17" s="45">
        <v>18</v>
      </c>
      <c r="Y17" s="45">
        <v>18</v>
      </c>
      <c r="Z17" s="45">
        <v>18</v>
      </c>
      <c r="AA17" s="45">
        <v>18</v>
      </c>
      <c r="AB17" s="45">
        <v>18</v>
      </c>
      <c r="AC17" s="45">
        <v>18</v>
      </c>
      <c r="AD17" s="45">
        <v>12</v>
      </c>
      <c r="AE17" s="45">
        <v>0</v>
      </c>
      <c r="AF17" s="45">
        <v>0</v>
      </c>
      <c r="AG17" s="52">
        <v>30</v>
      </c>
      <c r="AH17" s="48">
        <f t="shared" si="2"/>
        <v>22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9.8000000000000007</v>
      </c>
      <c r="C18" s="45">
        <v>9.8000000000000007</v>
      </c>
      <c r="D18" s="45">
        <v>9.8000000000000007</v>
      </c>
      <c r="E18" s="45">
        <v>9.8000000000000007</v>
      </c>
      <c r="F18" s="45">
        <v>9.8000000000000007</v>
      </c>
      <c r="G18" s="45">
        <v>9.8000000000000007</v>
      </c>
      <c r="H18" s="45">
        <v>9.8000000000000007</v>
      </c>
      <c r="I18" s="45">
        <v>9.8000000000000007</v>
      </c>
      <c r="J18" s="45">
        <v>9.8000000000000007</v>
      </c>
      <c r="K18" s="45">
        <v>9.8000000000000007</v>
      </c>
      <c r="L18" s="45">
        <v>9.8000000000000007</v>
      </c>
      <c r="M18" s="45">
        <v>9.8000000000000007</v>
      </c>
      <c r="N18" s="45">
        <v>9.8000000000000007</v>
      </c>
      <c r="O18" s="45">
        <v>9.8000000000000007</v>
      </c>
      <c r="P18" s="45">
        <v>16.899999999999999</v>
      </c>
      <c r="Q18" s="45">
        <v>16.899999999999999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16</v>
      </c>
      <c r="AC18" s="45">
        <v>16</v>
      </c>
      <c r="AD18" s="45">
        <v>16</v>
      </c>
      <c r="AE18" s="45">
        <v>16.7</v>
      </c>
      <c r="AF18" s="45">
        <v>18.899999999999999</v>
      </c>
      <c r="AG18" s="51">
        <v>25</v>
      </c>
      <c r="AH18" s="48">
        <f t="shared" si="2"/>
        <v>18.899999999999999</v>
      </c>
      <c r="AI18" s="49">
        <f t="shared" si="3"/>
        <v>9.8000000000000007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45">
        <v>18</v>
      </c>
      <c r="AC19" s="45">
        <v>18</v>
      </c>
      <c r="AD19" s="45">
        <v>18</v>
      </c>
      <c r="AE19" s="45">
        <v>18</v>
      </c>
      <c r="AF19" s="45">
        <v>18</v>
      </c>
      <c r="AG19" s="51">
        <v>25</v>
      </c>
      <c r="AH19" s="48">
        <f t="shared" si="2"/>
        <v>18</v>
      </c>
      <c r="AI19" s="49">
        <f t="shared" si="3"/>
        <v>18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15.5</v>
      </c>
      <c r="C21" s="45">
        <v>15.5</v>
      </c>
      <c r="D21" s="45">
        <v>15.5</v>
      </c>
      <c r="E21" s="45">
        <v>15.5</v>
      </c>
      <c r="F21" s="45">
        <v>15.5</v>
      </c>
      <c r="G21" s="45">
        <v>15.5</v>
      </c>
      <c r="H21" s="45">
        <v>15.5</v>
      </c>
      <c r="I21" s="45">
        <v>15.5</v>
      </c>
      <c r="J21" s="45">
        <v>15.5</v>
      </c>
      <c r="K21" s="45">
        <v>15.5</v>
      </c>
      <c r="L21" s="45">
        <v>15.5</v>
      </c>
      <c r="M21" s="45">
        <v>15</v>
      </c>
      <c r="N21" s="45">
        <v>15</v>
      </c>
      <c r="O21" s="45">
        <v>15</v>
      </c>
      <c r="P21" s="45">
        <v>15</v>
      </c>
      <c r="Q21" s="45">
        <v>12.2</v>
      </c>
      <c r="R21" s="45">
        <v>12.2</v>
      </c>
      <c r="S21" s="45">
        <v>12.2</v>
      </c>
      <c r="T21" s="45">
        <v>12.2</v>
      </c>
      <c r="U21" s="45">
        <v>12.2</v>
      </c>
      <c r="V21" s="45">
        <v>12.2</v>
      </c>
      <c r="W21" s="45">
        <v>12.2</v>
      </c>
      <c r="X21" s="45">
        <v>12.2</v>
      </c>
      <c r="Y21" s="45">
        <v>12.2</v>
      </c>
      <c r="Z21" s="45">
        <v>12.2</v>
      </c>
      <c r="AA21" s="45">
        <v>12.2</v>
      </c>
      <c r="AB21" s="45">
        <v>12.2</v>
      </c>
      <c r="AC21" s="45">
        <v>12.2</v>
      </c>
      <c r="AD21" s="45">
        <v>12.2</v>
      </c>
      <c r="AE21" s="45">
        <v>12.2</v>
      </c>
      <c r="AF21" s="45">
        <v>15.6</v>
      </c>
      <c r="AG21" s="51">
        <v>23.5</v>
      </c>
      <c r="AH21" s="48">
        <f t="shared" si="2"/>
        <v>15.6</v>
      </c>
      <c r="AI21" s="49">
        <f t="shared" si="3"/>
        <v>12.2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10.6</v>
      </c>
      <c r="C23" s="45">
        <v>10.6</v>
      </c>
      <c r="D23" s="45">
        <v>10.6</v>
      </c>
      <c r="E23" s="45">
        <v>10.6</v>
      </c>
      <c r="F23" s="45">
        <v>10.6</v>
      </c>
      <c r="G23" s="45">
        <v>10.6</v>
      </c>
      <c r="H23" s="45">
        <v>10.6</v>
      </c>
      <c r="I23" s="45">
        <v>10.6</v>
      </c>
      <c r="J23" s="45">
        <v>10.6</v>
      </c>
      <c r="K23" s="45">
        <v>10.6</v>
      </c>
      <c r="L23" s="45">
        <v>10.6</v>
      </c>
      <c r="M23" s="45">
        <v>10.6</v>
      </c>
      <c r="N23" s="45">
        <v>10.6</v>
      </c>
      <c r="O23" s="45">
        <v>10.6</v>
      </c>
      <c r="P23" s="45">
        <v>10.6</v>
      </c>
      <c r="Q23" s="45">
        <v>10.6</v>
      </c>
      <c r="R23" s="45">
        <v>10.6</v>
      </c>
      <c r="S23" s="45">
        <v>10.6</v>
      </c>
      <c r="T23" s="45">
        <v>10.6</v>
      </c>
      <c r="U23" s="45">
        <v>10.6</v>
      </c>
      <c r="V23" s="45">
        <v>10.6</v>
      </c>
      <c r="W23" s="45">
        <v>10.6</v>
      </c>
      <c r="X23" s="45">
        <v>10.6</v>
      </c>
      <c r="Y23" s="45">
        <v>10.6</v>
      </c>
      <c r="Z23" s="45">
        <v>10.6</v>
      </c>
      <c r="AA23" s="45">
        <v>10.6</v>
      </c>
      <c r="AB23" s="45">
        <v>10.6</v>
      </c>
      <c r="AC23" s="45">
        <v>10.6</v>
      </c>
      <c r="AD23" s="45">
        <v>10.6</v>
      </c>
      <c r="AE23" s="45">
        <v>10.6</v>
      </c>
      <c r="AF23" s="45">
        <v>10.6</v>
      </c>
      <c r="AG23" s="51">
        <v>22.1</v>
      </c>
      <c r="AH23" s="48">
        <f t="shared" si="2"/>
        <v>10.6</v>
      </c>
      <c r="AI23" s="49">
        <f t="shared" si="3"/>
        <v>10.6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15</v>
      </c>
      <c r="C24" s="45">
        <v>15</v>
      </c>
      <c r="D24" s="45">
        <v>15</v>
      </c>
      <c r="E24" s="45">
        <v>15</v>
      </c>
      <c r="F24" s="45">
        <v>15</v>
      </c>
      <c r="G24" s="45">
        <v>15</v>
      </c>
      <c r="H24" s="45">
        <v>15</v>
      </c>
      <c r="I24" s="45">
        <v>15</v>
      </c>
      <c r="J24" s="45">
        <v>15</v>
      </c>
      <c r="K24" s="45">
        <v>15</v>
      </c>
      <c r="L24" s="45">
        <v>15</v>
      </c>
      <c r="M24" s="45">
        <v>15</v>
      </c>
      <c r="N24" s="45">
        <v>15</v>
      </c>
      <c r="O24" s="45">
        <v>15</v>
      </c>
      <c r="P24" s="45">
        <v>15</v>
      </c>
      <c r="Q24" s="45">
        <v>15</v>
      </c>
      <c r="R24" s="45">
        <v>15</v>
      </c>
      <c r="S24" s="45">
        <v>15</v>
      </c>
      <c r="T24" s="45">
        <v>15</v>
      </c>
      <c r="U24" s="45">
        <v>15</v>
      </c>
      <c r="V24" s="45">
        <v>15</v>
      </c>
      <c r="W24" s="45">
        <v>15</v>
      </c>
      <c r="X24" s="45">
        <v>15</v>
      </c>
      <c r="Y24" s="45">
        <v>15</v>
      </c>
      <c r="Z24" s="45">
        <v>15</v>
      </c>
      <c r="AA24" s="45">
        <v>15</v>
      </c>
      <c r="AB24" s="45">
        <v>15</v>
      </c>
      <c r="AC24" s="45">
        <v>15</v>
      </c>
      <c r="AD24" s="45">
        <v>15</v>
      </c>
      <c r="AE24" s="45">
        <v>15</v>
      </c>
      <c r="AF24" s="45">
        <v>15</v>
      </c>
      <c r="AG24" s="51">
        <v>22</v>
      </c>
      <c r="AH24" s="48">
        <f t="shared" si="2"/>
        <v>15</v>
      </c>
      <c r="AI24" s="49">
        <f t="shared" si="3"/>
        <v>15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15</v>
      </c>
      <c r="AF25" s="45">
        <v>15</v>
      </c>
      <c r="AG25" s="51">
        <v>22</v>
      </c>
      <c r="AH25" s="48">
        <f t="shared" si="2"/>
        <v>15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0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6.3</v>
      </c>
      <c r="C27" s="45">
        <v>6.3</v>
      </c>
      <c r="D27" s="45">
        <v>6.3</v>
      </c>
      <c r="E27" s="45">
        <v>6.3</v>
      </c>
      <c r="F27" s="45">
        <v>6.3</v>
      </c>
      <c r="G27" s="45">
        <v>6.3</v>
      </c>
      <c r="H27" s="45">
        <v>6.3</v>
      </c>
      <c r="I27" s="45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45">
        <v>6.3</v>
      </c>
      <c r="Y27" s="45">
        <v>6.3</v>
      </c>
      <c r="Z27" s="45">
        <v>6.3</v>
      </c>
      <c r="AA27" s="45">
        <v>6.3</v>
      </c>
      <c r="AB27" s="45">
        <v>6.3</v>
      </c>
      <c r="AC27" s="45">
        <v>6.3</v>
      </c>
      <c r="AD27" s="45">
        <v>6.3</v>
      </c>
      <c r="AE27" s="45">
        <v>6.3</v>
      </c>
      <c r="AF27" s="45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3.5</v>
      </c>
      <c r="Y28" s="45">
        <v>3.5</v>
      </c>
      <c r="Z28" s="45">
        <v>3.5</v>
      </c>
      <c r="AA28" s="45">
        <v>3.5</v>
      </c>
      <c r="AB28" s="45">
        <v>3.5</v>
      </c>
      <c r="AC28" s="45">
        <v>3.5</v>
      </c>
      <c r="AD28" s="45">
        <v>3.5</v>
      </c>
      <c r="AE28" s="45">
        <v>3.5</v>
      </c>
      <c r="AF28" s="45">
        <v>3.5</v>
      </c>
      <c r="AG28" s="51">
        <v>13.6</v>
      </c>
      <c r="AH28" s="48">
        <f t="shared" si="2"/>
        <v>3.5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9</v>
      </c>
      <c r="Y29" s="45">
        <v>9</v>
      </c>
      <c r="Z29" s="45">
        <v>9</v>
      </c>
      <c r="AA29" s="45">
        <v>9</v>
      </c>
      <c r="AB29" s="45">
        <v>9</v>
      </c>
      <c r="AC29" s="45">
        <v>9</v>
      </c>
      <c r="AD29" s="45">
        <v>9</v>
      </c>
      <c r="AE29" s="45">
        <v>9</v>
      </c>
      <c r="AF29" s="45">
        <v>9</v>
      </c>
      <c r="AG29" s="51">
        <v>13</v>
      </c>
      <c r="AH29" s="48">
        <f t="shared" si="2"/>
        <v>9</v>
      </c>
      <c r="AI29" s="49">
        <f t="shared" si="3"/>
        <v>9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0</v>
      </c>
      <c r="J30" s="45">
        <v>0</v>
      </c>
      <c r="K30" s="45">
        <v>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10</v>
      </c>
      <c r="Y30" s="45">
        <v>10</v>
      </c>
      <c r="Z30" s="45">
        <v>10</v>
      </c>
      <c r="AA30" s="45">
        <v>10</v>
      </c>
      <c r="AB30" s="45">
        <v>10</v>
      </c>
      <c r="AC30" s="45">
        <v>10</v>
      </c>
      <c r="AD30" s="45">
        <v>6</v>
      </c>
      <c r="AE30" s="45">
        <v>0</v>
      </c>
      <c r="AF30" s="45">
        <v>0</v>
      </c>
      <c r="AG30" s="51">
        <v>12</v>
      </c>
      <c r="AH30" s="48">
        <f t="shared" si="2"/>
        <v>10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12</v>
      </c>
      <c r="AF31" s="45">
        <v>12</v>
      </c>
      <c r="AG31" s="51">
        <v>12</v>
      </c>
      <c r="AH31" s="48">
        <f t="shared" si="2"/>
        <v>12</v>
      </c>
      <c r="AI31" s="49">
        <f t="shared" si="3"/>
        <v>12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4</v>
      </c>
      <c r="C32" s="45">
        <v>4</v>
      </c>
      <c r="D32" s="45">
        <v>4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45">
        <v>4</v>
      </c>
      <c r="L32" s="45">
        <v>4</v>
      </c>
      <c r="M32" s="45">
        <v>4</v>
      </c>
      <c r="N32" s="45">
        <v>4</v>
      </c>
      <c r="O32" s="45">
        <v>4</v>
      </c>
      <c r="P32" s="45">
        <v>4</v>
      </c>
      <c r="Q32" s="45">
        <v>4</v>
      </c>
      <c r="R32" s="45">
        <v>4</v>
      </c>
      <c r="S32" s="45">
        <v>4</v>
      </c>
      <c r="T32" s="45">
        <v>4</v>
      </c>
      <c r="U32" s="45">
        <v>4</v>
      </c>
      <c r="V32" s="45">
        <v>4</v>
      </c>
      <c r="W32" s="45">
        <v>4</v>
      </c>
      <c r="X32" s="45">
        <v>4</v>
      </c>
      <c r="Y32" s="45">
        <v>4</v>
      </c>
      <c r="Z32" s="45">
        <v>4</v>
      </c>
      <c r="AA32" s="45">
        <v>4</v>
      </c>
      <c r="AB32" s="45">
        <v>4</v>
      </c>
      <c r="AC32" s="45">
        <v>4</v>
      </c>
      <c r="AD32" s="45">
        <v>4</v>
      </c>
      <c r="AE32" s="45">
        <v>4</v>
      </c>
      <c r="AF32" s="45">
        <v>4</v>
      </c>
      <c r="AG32" s="51">
        <v>12</v>
      </c>
      <c r="AH32" s="48">
        <f t="shared" si="2"/>
        <v>4</v>
      </c>
      <c r="AI32" s="49">
        <f t="shared" si="3"/>
        <v>4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5.2</v>
      </c>
      <c r="C33" s="45">
        <v>5.2</v>
      </c>
      <c r="D33" s="45">
        <v>5.2</v>
      </c>
      <c r="E33" s="45">
        <v>5.2</v>
      </c>
      <c r="F33" s="45">
        <v>5.2</v>
      </c>
      <c r="G33" s="45">
        <v>5.2</v>
      </c>
      <c r="H33" s="45">
        <v>5.2</v>
      </c>
      <c r="I33" s="45">
        <v>5.2</v>
      </c>
      <c r="J33" s="45">
        <v>5.2</v>
      </c>
      <c r="K33" s="45">
        <v>5.2</v>
      </c>
      <c r="L33" s="45">
        <v>5.2</v>
      </c>
      <c r="M33" s="45">
        <v>5.2</v>
      </c>
      <c r="N33" s="45">
        <v>5.2</v>
      </c>
      <c r="O33" s="45">
        <v>5.2</v>
      </c>
      <c r="P33" s="45">
        <v>5.2</v>
      </c>
      <c r="Q33" s="45">
        <v>5.2</v>
      </c>
      <c r="R33" s="45">
        <v>5.2</v>
      </c>
      <c r="S33" s="45">
        <v>5.2</v>
      </c>
      <c r="T33" s="45">
        <v>5.2</v>
      </c>
      <c r="U33" s="45">
        <v>5.2</v>
      </c>
      <c r="V33" s="45">
        <v>5.2</v>
      </c>
      <c r="W33" s="45">
        <v>5.2</v>
      </c>
      <c r="X33" s="45">
        <v>5.2</v>
      </c>
      <c r="Y33" s="45">
        <v>5.2</v>
      </c>
      <c r="Z33" s="45">
        <v>5.2</v>
      </c>
      <c r="AA33" s="45">
        <v>5.2</v>
      </c>
      <c r="AB33" s="45">
        <v>5.2</v>
      </c>
      <c r="AC33" s="45">
        <v>5.2</v>
      </c>
      <c r="AD33" s="45">
        <v>5.2</v>
      </c>
      <c r="AE33" s="45">
        <v>5.2</v>
      </c>
      <c r="AF33" s="45">
        <v>5.2</v>
      </c>
      <c r="AG33" s="53">
        <v>22</v>
      </c>
      <c r="AH33" s="48">
        <f t="shared" si="2"/>
        <v>5.2</v>
      </c>
      <c r="AI33" s="49">
        <f t="shared" si="3"/>
        <v>5.2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8.5</v>
      </c>
      <c r="Y34" s="45">
        <v>8.5</v>
      </c>
      <c r="Z34" s="45">
        <v>8.5</v>
      </c>
      <c r="AA34" s="45">
        <v>8.5</v>
      </c>
      <c r="AB34" s="45">
        <v>8.5</v>
      </c>
      <c r="AC34" s="45">
        <v>8.5</v>
      </c>
      <c r="AD34" s="45">
        <v>8.5</v>
      </c>
      <c r="AE34" s="45">
        <v>8.5</v>
      </c>
      <c r="AF34" s="45">
        <v>8.5</v>
      </c>
      <c r="AG34" s="52">
        <v>11.88</v>
      </c>
      <c r="AH34" s="48">
        <f t="shared" si="2"/>
        <v>8.5</v>
      </c>
      <c r="AI34" s="49">
        <f t="shared" si="3"/>
        <v>8.5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8</v>
      </c>
      <c r="N35" s="45">
        <v>8</v>
      </c>
      <c r="O35" s="45">
        <v>8</v>
      </c>
      <c r="P35" s="45">
        <v>8</v>
      </c>
      <c r="Q35" s="45">
        <v>8</v>
      </c>
      <c r="R35" s="45">
        <v>8</v>
      </c>
      <c r="S35" s="45">
        <v>8</v>
      </c>
      <c r="T35" s="45">
        <v>8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8</v>
      </c>
      <c r="AC35" s="45">
        <v>8</v>
      </c>
      <c r="AD35" s="45">
        <v>8</v>
      </c>
      <c r="AE35" s="45">
        <v>8</v>
      </c>
      <c r="AF35" s="45">
        <v>8</v>
      </c>
      <c r="AG35" s="55">
        <v>11</v>
      </c>
      <c r="AH35" s="48">
        <f t="shared" si="2"/>
        <v>8</v>
      </c>
      <c r="AI35" s="49">
        <f t="shared" si="3"/>
        <v>8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6.6</v>
      </c>
      <c r="C36" s="45">
        <v>6.6</v>
      </c>
      <c r="D36" s="45">
        <v>6.6</v>
      </c>
      <c r="E36" s="45">
        <v>6.6</v>
      </c>
      <c r="F36" s="45">
        <v>6.6</v>
      </c>
      <c r="G36" s="45">
        <v>6.6</v>
      </c>
      <c r="H36" s="45">
        <v>6.6</v>
      </c>
      <c r="I36" s="45">
        <v>6.6</v>
      </c>
      <c r="J36" s="45">
        <v>6.6</v>
      </c>
      <c r="K36" s="45">
        <v>6.6</v>
      </c>
      <c r="L36" s="45">
        <v>6.6</v>
      </c>
      <c r="M36" s="45">
        <v>6.6</v>
      </c>
      <c r="N36" s="45">
        <v>6.6</v>
      </c>
      <c r="O36" s="45">
        <v>6.6</v>
      </c>
      <c r="P36" s="45">
        <v>6.6</v>
      </c>
      <c r="Q36" s="45">
        <v>6.6</v>
      </c>
      <c r="R36" s="45">
        <v>6.6</v>
      </c>
      <c r="S36" s="45">
        <v>6.6</v>
      </c>
      <c r="T36" s="45">
        <v>6.6</v>
      </c>
      <c r="U36" s="45">
        <v>6.6</v>
      </c>
      <c r="V36" s="45">
        <v>6.6</v>
      </c>
      <c r="W36" s="45">
        <v>6.6</v>
      </c>
      <c r="X36" s="45">
        <v>6.6</v>
      </c>
      <c r="Y36" s="45">
        <v>6.6</v>
      </c>
      <c r="Z36" s="45">
        <v>6.6</v>
      </c>
      <c r="AA36" s="45">
        <v>6.6</v>
      </c>
      <c r="AB36" s="45">
        <v>6.6</v>
      </c>
      <c r="AC36" s="45">
        <v>6.6</v>
      </c>
      <c r="AD36" s="45">
        <v>6.6</v>
      </c>
      <c r="AE36" s="45">
        <v>6.6</v>
      </c>
      <c r="AF36" s="45">
        <v>6.6</v>
      </c>
      <c r="AG36" s="55">
        <v>10</v>
      </c>
      <c r="AH36" s="48">
        <f t="shared" si="2"/>
        <v>6.6</v>
      </c>
      <c r="AI36" s="49">
        <f t="shared" si="3"/>
        <v>6.6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0</v>
      </c>
      <c r="W37" s="45">
        <v>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300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300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v>100</v>
      </c>
      <c r="C39" s="59">
        <v>100</v>
      </c>
      <c r="D39" s="59">
        <v>100</v>
      </c>
      <c r="E39" s="59">
        <f>43.1+59.6</f>
        <v>102.7</v>
      </c>
      <c r="F39" s="59">
        <f t="shared" ref="F39:K39" si="4">43.1+59.6</f>
        <v>102.7</v>
      </c>
      <c r="G39" s="59">
        <f t="shared" si="4"/>
        <v>102.7</v>
      </c>
      <c r="H39" s="59">
        <f t="shared" si="4"/>
        <v>102.7</v>
      </c>
      <c r="I39" s="59">
        <f t="shared" si="4"/>
        <v>102.7</v>
      </c>
      <c r="J39" s="59">
        <f t="shared" si="4"/>
        <v>102.7</v>
      </c>
      <c r="K39" s="59">
        <f t="shared" si="4"/>
        <v>102.7</v>
      </c>
      <c r="L39" s="59">
        <f>43.9+56.8</f>
        <v>100.69999999999999</v>
      </c>
      <c r="M39" s="57">
        <v>100.3</v>
      </c>
      <c r="N39" s="57">
        <v>100.3</v>
      </c>
      <c r="O39" s="57">
        <v>100.3</v>
      </c>
      <c r="P39" s="57">
        <v>101</v>
      </c>
      <c r="Q39" s="57">
        <v>89</v>
      </c>
      <c r="R39" s="57">
        <v>95</v>
      </c>
      <c r="S39" s="59">
        <f>43.3+49.4</f>
        <v>92.699999999999989</v>
      </c>
      <c r="T39" s="59">
        <f>43.9+54.5</f>
        <v>98.4</v>
      </c>
      <c r="U39" s="59">
        <f>43.8+57.5</f>
        <v>101.3</v>
      </c>
      <c r="V39" s="59">
        <f>43.3+56.1</f>
        <v>99.4</v>
      </c>
      <c r="W39" s="59">
        <f>42+53</f>
        <v>95</v>
      </c>
      <c r="X39" s="59">
        <v>92.1</v>
      </c>
      <c r="Y39" s="59">
        <f>38.4+51.7</f>
        <v>90.1</v>
      </c>
      <c r="Z39" s="59">
        <f>41.5+53.4</f>
        <v>94.9</v>
      </c>
      <c r="AA39" s="59">
        <f>40.9+50.6</f>
        <v>91.5</v>
      </c>
      <c r="AB39" s="59">
        <f>43.4+52.5</f>
        <v>95.9</v>
      </c>
      <c r="AC39" s="59">
        <f>43.5+52.8</f>
        <v>96.3</v>
      </c>
      <c r="AD39" s="59">
        <f>43.2+54.8</f>
        <v>98</v>
      </c>
      <c r="AE39" s="59">
        <f>37.6+54.1</f>
        <v>91.7</v>
      </c>
      <c r="AF39" s="59">
        <f>40.7+54.1</f>
        <v>94.800000000000011</v>
      </c>
      <c r="AG39" s="55">
        <v>240</v>
      </c>
      <c r="AH39" s="48">
        <f t="shared" si="2"/>
        <v>102.7</v>
      </c>
      <c r="AI39" s="49">
        <f t="shared" si="3"/>
        <v>89</v>
      </c>
      <c r="AK39" s="50"/>
    </row>
    <row r="40" spans="1:88" ht="15.75" thickBot="1" x14ac:dyDescent="0.3">
      <c r="A40" s="60" t="s">
        <v>48</v>
      </c>
      <c r="B40" s="61">
        <f t="shared" ref="B40:AG40" si="5">SUM(B11:B38)</f>
        <v>577.6</v>
      </c>
      <c r="C40" s="61">
        <f t="shared" si="5"/>
        <v>578.6</v>
      </c>
      <c r="D40" s="61">
        <f t="shared" si="5"/>
        <v>578.6</v>
      </c>
      <c r="E40" s="61">
        <f t="shared" si="5"/>
        <v>577.90000000000009</v>
      </c>
      <c r="F40" s="61">
        <f t="shared" si="5"/>
        <v>577.90000000000009</v>
      </c>
      <c r="G40" s="61">
        <f t="shared" si="5"/>
        <v>577.90000000000009</v>
      </c>
      <c r="H40" s="61">
        <f t="shared" si="5"/>
        <v>577.90000000000009</v>
      </c>
      <c r="I40" s="61">
        <f t="shared" si="5"/>
        <v>577.90000000000009</v>
      </c>
      <c r="J40" s="61">
        <f t="shared" si="5"/>
        <v>577.90000000000009</v>
      </c>
      <c r="K40" s="61">
        <f t="shared" si="5"/>
        <v>587.90000000000009</v>
      </c>
      <c r="L40" s="61">
        <f t="shared" si="5"/>
        <v>609.90000000000009</v>
      </c>
      <c r="M40" s="61">
        <f t="shared" si="5"/>
        <v>632.90000000000009</v>
      </c>
      <c r="N40" s="61">
        <f t="shared" si="5"/>
        <v>644</v>
      </c>
      <c r="O40" s="61">
        <f t="shared" si="5"/>
        <v>644</v>
      </c>
      <c r="P40" s="61">
        <f t="shared" si="5"/>
        <v>649.70000000000005</v>
      </c>
      <c r="Q40" s="61">
        <f t="shared" si="5"/>
        <v>649.40000000000009</v>
      </c>
      <c r="R40" s="61">
        <f t="shared" si="5"/>
        <v>633.9</v>
      </c>
      <c r="S40" s="61">
        <f t="shared" si="5"/>
        <v>632.4</v>
      </c>
      <c r="T40" s="61">
        <f t="shared" si="5"/>
        <v>638.40000000000009</v>
      </c>
      <c r="U40" s="61">
        <f t="shared" si="5"/>
        <v>638.40000000000009</v>
      </c>
      <c r="V40" s="61">
        <f t="shared" si="5"/>
        <v>636.40000000000009</v>
      </c>
      <c r="W40" s="61">
        <f t="shared" si="5"/>
        <v>636.40000000000009</v>
      </c>
      <c r="X40" s="61">
        <f t="shared" si="5"/>
        <v>666.40000000000009</v>
      </c>
      <c r="Y40" s="61">
        <f t="shared" si="5"/>
        <v>636.40000000000009</v>
      </c>
      <c r="Z40" s="61">
        <f t="shared" si="5"/>
        <v>636.40000000000009</v>
      </c>
      <c r="AA40" s="61">
        <f t="shared" si="5"/>
        <v>636.40000000000009</v>
      </c>
      <c r="AB40" s="61">
        <f t="shared" si="5"/>
        <v>641.79999999999995</v>
      </c>
      <c r="AC40" s="61">
        <f t="shared" si="5"/>
        <v>641.79999999999995</v>
      </c>
      <c r="AD40" s="61">
        <f t="shared" si="5"/>
        <v>624</v>
      </c>
      <c r="AE40" s="61">
        <f t="shared" si="5"/>
        <v>588.20000000000005</v>
      </c>
      <c r="AF40" s="61">
        <f t="shared" si="5"/>
        <v>594.90000000000009</v>
      </c>
      <c r="AG40" s="62">
        <f t="shared" si="5"/>
        <v>707.78000000000009</v>
      </c>
      <c r="AH40" s="48">
        <f t="shared" si="2"/>
        <v>666.40000000000009</v>
      </c>
      <c r="AI40" s="49">
        <f t="shared" si="3"/>
        <v>577.6</v>
      </c>
      <c r="AK40" s="50"/>
    </row>
    <row r="41" spans="1:88" x14ac:dyDescent="0.25">
      <c r="A41" s="63" t="s">
        <v>49</v>
      </c>
      <c r="B41" s="45">
        <v>155</v>
      </c>
      <c r="C41" s="45">
        <v>135</v>
      </c>
      <c r="D41" s="45">
        <v>135</v>
      </c>
      <c r="E41" s="45">
        <v>135</v>
      </c>
      <c r="F41" s="45">
        <v>135</v>
      </c>
      <c r="G41" s="45">
        <v>135</v>
      </c>
      <c r="H41" s="45">
        <v>145</v>
      </c>
      <c r="I41" s="45">
        <v>145</v>
      </c>
      <c r="J41" s="45">
        <v>165</v>
      </c>
      <c r="K41" s="45">
        <v>165</v>
      </c>
      <c r="L41" s="45">
        <v>165</v>
      </c>
      <c r="M41" s="45">
        <v>205</v>
      </c>
      <c r="N41" s="45">
        <v>240</v>
      </c>
      <c r="O41" s="45">
        <v>270</v>
      </c>
      <c r="P41" s="45">
        <v>235</v>
      </c>
      <c r="Q41" s="45">
        <v>190</v>
      </c>
      <c r="R41" s="45">
        <v>130</v>
      </c>
      <c r="S41" s="45">
        <v>180</v>
      </c>
      <c r="T41" s="45">
        <v>180</v>
      </c>
      <c r="U41" s="45">
        <v>180</v>
      </c>
      <c r="V41" s="45">
        <v>290</v>
      </c>
      <c r="W41" s="45">
        <v>340</v>
      </c>
      <c r="X41" s="45">
        <v>380</v>
      </c>
      <c r="Y41" s="45">
        <v>310</v>
      </c>
      <c r="Z41" s="45">
        <v>270</v>
      </c>
      <c r="AA41" s="45">
        <v>220</v>
      </c>
      <c r="AB41" s="45">
        <v>190</v>
      </c>
      <c r="AC41" s="45">
        <v>190</v>
      </c>
      <c r="AD41" s="45">
        <v>150</v>
      </c>
      <c r="AE41" s="45">
        <v>140</v>
      </c>
      <c r="AF41" s="45">
        <v>132.9</v>
      </c>
      <c r="AG41" s="52">
        <v>456</v>
      </c>
      <c r="AH41" s="48">
        <f t="shared" si="2"/>
        <v>380</v>
      </c>
      <c r="AI41" s="49">
        <f t="shared" si="3"/>
        <v>130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49</v>
      </c>
      <c r="U42" s="65">
        <v>49</v>
      </c>
      <c r="V42" s="65">
        <v>49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49</v>
      </c>
      <c r="AK42" s="50"/>
    </row>
    <row r="43" spans="1:88" ht="15.75" thickBot="1" x14ac:dyDescent="0.3">
      <c r="A43" s="66" t="s">
        <v>51</v>
      </c>
      <c r="B43" s="67">
        <v>20.8</v>
      </c>
      <c r="C43" s="67">
        <v>20.8</v>
      </c>
      <c r="D43" s="67">
        <v>20.8</v>
      </c>
      <c r="E43" s="67">
        <v>20.8</v>
      </c>
      <c r="F43" s="67">
        <v>20.8</v>
      </c>
      <c r="G43" s="67">
        <v>20.8</v>
      </c>
      <c r="H43" s="67">
        <v>20.8</v>
      </c>
      <c r="I43" s="67">
        <v>20.8</v>
      </c>
      <c r="J43" s="67">
        <v>20.8</v>
      </c>
      <c r="K43" s="67">
        <v>20.8</v>
      </c>
      <c r="L43" s="67">
        <v>20.8</v>
      </c>
      <c r="M43" s="67">
        <v>20.6</v>
      </c>
      <c r="N43" s="67">
        <v>20.6</v>
      </c>
      <c r="O43" s="67">
        <v>20.3</v>
      </c>
      <c r="P43" s="67">
        <v>20.9</v>
      </c>
      <c r="Q43" s="67">
        <v>20.8</v>
      </c>
      <c r="R43" s="67">
        <v>20.3</v>
      </c>
      <c r="S43" s="67">
        <v>20.8</v>
      </c>
      <c r="T43" s="67">
        <v>20.8</v>
      </c>
      <c r="U43" s="67">
        <v>20.8</v>
      </c>
      <c r="V43" s="67">
        <v>21</v>
      </c>
      <c r="W43" s="67">
        <v>21</v>
      </c>
      <c r="X43" s="67">
        <v>22</v>
      </c>
      <c r="Y43" s="67">
        <v>22</v>
      </c>
      <c r="Z43" s="67">
        <v>22</v>
      </c>
      <c r="AA43" s="67">
        <v>22</v>
      </c>
      <c r="AB43" s="67">
        <v>22</v>
      </c>
      <c r="AC43" s="67">
        <v>22</v>
      </c>
      <c r="AD43" s="67">
        <v>22</v>
      </c>
      <c r="AE43" s="67">
        <v>21.4</v>
      </c>
      <c r="AF43" s="67">
        <v>21.4</v>
      </c>
      <c r="AG43" s="68">
        <v>22.1</v>
      </c>
      <c r="AH43" s="48">
        <f t="shared" si="2"/>
        <v>22</v>
      </c>
      <c r="AI43" s="49">
        <f t="shared" si="3"/>
        <v>20.3</v>
      </c>
      <c r="AK43" s="50"/>
    </row>
    <row r="44" spans="1:88" ht="15.75" thickBot="1" x14ac:dyDescent="0.3">
      <c r="A44" s="69" t="s">
        <v>52</v>
      </c>
      <c r="B44" s="61">
        <f t="shared" ref="B44:AG44" si="6">SUM(B41:B43)</f>
        <v>235.8</v>
      </c>
      <c r="C44" s="61">
        <f t="shared" si="6"/>
        <v>215.8</v>
      </c>
      <c r="D44" s="61">
        <f t="shared" si="6"/>
        <v>215.8</v>
      </c>
      <c r="E44" s="61">
        <f t="shared" si="6"/>
        <v>215.8</v>
      </c>
      <c r="F44" s="61">
        <f t="shared" si="6"/>
        <v>215.8</v>
      </c>
      <c r="G44" s="61">
        <f t="shared" si="6"/>
        <v>215.8</v>
      </c>
      <c r="H44" s="61">
        <f t="shared" si="6"/>
        <v>225.8</v>
      </c>
      <c r="I44" s="61">
        <f t="shared" si="6"/>
        <v>225.8</v>
      </c>
      <c r="J44" s="61">
        <f t="shared" si="6"/>
        <v>245.8</v>
      </c>
      <c r="K44" s="61">
        <f t="shared" si="6"/>
        <v>245.8</v>
      </c>
      <c r="L44" s="61">
        <f t="shared" si="6"/>
        <v>245.8</v>
      </c>
      <c r="M44" s="61">
        <f t="shared" si="6"/>
        <v>285.60000000000002</v>
      </c>
      <c r="N44" s="61">
        <f t="shared" si="6"/>
        <v>320.60000000000002</v>
      </c>
      <c r="O44" s="61">
        <f t="shared" si="6"/>
        <v>350.3</v>
      </c>
      <c r="P44" s="61">
        <f t="shared" si="6"/>
        <v>315.89999999999998</v>
      </c>
      <c r="Q44" s="61">
        <f t="shared" si="6"/>
        <v>270.8</v>
      </c>
      <c r="R44" s="61">
        <f t="shared" si="6"/>
        <v>210.3</v>
      </c>
      <c r="S44" s="61">
        <f t="shared" si="6"/>
        <v>260.8</v>
      </c>
      <c r="T44" s="61">
        <f t="shared" si="6"/>
        <v>249.8</v>
      </c>
      <c r="U44" s="61">
        <f t="shared" si="6"/>
        <v>249.8</v>
      </c>
      <c r="V44" s="61">
        <f t="shared" si="6"/>
        <v>360</v>
      </c>
      <c r="W44" s="61">
        <f t="shared" si="6"/>
        <v>421</v>
      </c>
      <c r="X44" s="61">
        <f t="shared" si="6"/>
        <v>462</v>
      </c>
      <c r="Y44" s="61">
        <f t="shared" si="6"/>
        <v>392</v>
      </c>
      <c r="Z44" s="61">
        <f t="shared" si="6"/>
        <v>352</v>
      </c>
      <c r="AA44" s="61">
        <f t="shared" si="6"/>
        <v>302</v>
      </c>
      <c r="AB44" s="61">
        <f t="shared" si="6"/>
        <v>272</v>
      </c>
      <c r="AC44" s="61">
        <f t="shared" si="6"/>
        <v>272</v>
      </c>
      <c r="AD44" s="61">
        <f t="shared" si="6"/>
        <v>232</v>
      </c>
      <c r="AE44" s="61">
        <f t="shared" si="6"/>
        <v>221.4</v>
      </c>
      <c r="AF44" s="61">
        <f t="shared" si="6"/>
        <v>214.3</v>
      </c>
      <c r="AG44" s="62">
        <f t="shared" si="6"/>
        <v>538.1</v>
      </c>
      <c r="AH44" s="48">
        <f t="shared" si="2"/>
        <v>462</v>
      </c>
      <c r="AI44" s="49">
        <f t="shared" si="3"/>
        <v>210.3</v>
      </c>
      <c r="AK44" s="50"/>
    </row>
    <row r="45" spans="1:88" x14ac:dyDescent="0.25">
      <c r="A45" s="44" t="s">
        <v>53</v>
      </c>
      <c r="B45" s="45">
        <v>79</v>
      </c>
      <c r="C45" s="45">
        <v>73</v>
      </c>
      <c r="D45" s="45">
        <v>61</v>
      </c>
      <c r="E45" s="45">
        <v>60.8</v>
      </c>
      <c r="F45" s="45">
        <v>60.8</v>
      </c>
      <c r="G45" s="45">
        <v>71</v>
      </c>
      <c r="H45" s="45">
        <v>71</v>
      </c>
      <c r="I45" s="45">
        <v>81</v>
      </c>
      <c r="J45" s="45">
        <v>143.6</v>
      </c>
      <c r="K45" s="45">
        <v>143.6</v>
      </c>
      <c r="L45" s="45">
        <v>143.6</v>
      </c>
      <c r="M45" s="45">
        <v>143.5</v>
      </c>
      <c r="N45" s="45">
        <v>143.30000000000001</v>
      </c>
      <c r="O45" s="45">
        <v>143.30000000000001</v>
      </c>
      <c r="P45" s="45">
        <v>143.5</v>
      </c>
      <c r="Q45" s="45">
        <v>143.5</v>
      </c>
      <c r="R45" s="45">
        <v>143.30000000000001</v>
      </c>
      <c r="S45" s="45">
        <v>143.30000000000001</v>
      </c>
      <c r="T45" s="45">
        <v>143.30000000000001</v>
      </c>
      <c r="U45" s="45">
        <v>143.30000000000001</v>
      </c>
      <c r="V45" s="45">
        <v>143.30000000000001</v>
      </c>
      <c r="W45" s="45">
        <v>143.30000000000001</v>
      </c>
      <c r="X45" s="45">
        <v>143.30000000000001</v>
      </c>
      <c r="Y45" s="45">
        <v>143.30000000000001</v>
      </c>
      <c r="Z45" s="45">
        <v>143.30000000000001</v>
      </c>
      <c r="AA45" s="45">
        <v>143.30000000000001</v>
      </c>
      <c r="AB45" s="45">
        <v>143.30000000000001</v>
      </c>
      <c r="AC45" s="45">
        <v>143.5</v>
      </c>
      <c r="AD45" s="45">
        <v>143.5</v>
      </c>
      <c r="AE45" s="45">
        <v>143.69999999999999</v>
      </c>
      <c r="AF45" s="45">
        <v>132.9</v>
      </c>
      <c r="AG45" s="52">
        <v>144</v>
      </c>
      <c r="AH45" s="48">
        <f t="shared" si="2"/>
        <v>143.69999999999999</v>
      </c>
      <c r="AI45" s="49">
        <f t="shared" si="3"/>
        <v>60.8</v>
      </c>
      <c r="AK45" s="50"/>
    </row>
    <row r="46" spans="1:88" x14ac:dyDescent="0.25">
      <c r="A46" s="54" t="s">
        <v>54</v>
      </c>
      <c r="B46" s="65">
        <v>59</v>
      </c>
      <c r="C46" s="65">
        <v>52</v>
      </c>
      <c r="D46" s="65">
        <v>51</v>
      </c>
      <c r="E46" s="65">
        <v>51.7</v>
      </c>
      <c r="F46" s="65">
        <v>51.7</v>
      </c>
      <c r="G46" s="65">
        <v>51.7</v>
      </c>
      <c r="H46" s="65">
        <v>52</v>
      </c>
      <c r="I46" s="65">
        <v>70</v>
      </c>
      <c r="J46" s="65">
        <v>70</v>
      </c>
      <c r="K46" s="65">
        <v>70</v>
      </c>
      <c r="L46" s="65">
        <v>70</v>
      </c>
      <c r="M46" s="65">
        <v>71.2</v>
      </c>
      <c r="N46" s="45">
        <v>71.2</v>
      </c>
      <c r="O46" s="45">
        <v>71.2</v>
      </c>
      <c r="P46" s="45">
        <v>72.2</v>
      </c>
      <c r="Q46" s="45">
        <v>72.2</v>
      </c>
      <c r="R46" s="45">
        <v>72.2</v>
      </c>
      <c r="S46" s="65">
        <v>72.5</v>
      </c>
      <c r="T46" s="65">
        <v>72.5</v>
      </c>
      <c r="U46" s="65">
        <v>72.5</v>
      </c>
      <c r="V46" s="65">
        <v>72.5</v>
      </c>
      <c r="W46" s="65">
        <v>72.5</v>
      </c>
      <c r="X46" s="65">
        <v>72.5</v>
      </c>
      <c r="Y46" s="65">
        <v>72.5</v>
      </c>
      <c r="Z46" s="65">
        <v>72.5</v>
      </c>
      <c r="AA46" s="65">
        <v>72.5</v>
      </c>
      <c r="AB46" s="65">
        <v>72.5</v>
      </c>
      <c r="AC46" s="65">
        <v>73</v>
      </c>
      <c r="AD46" s="65">
        <v>73</v>
      </c>
      <c r="AE46" s="65">
        <v>72.2</v>
      </c>
      <c r="AF46" s="65">
        <v>73.2</v>
      </c>
      <c r="AG46" s="55">
        <v>70</v>
      </c>
      <c r="AH46" s="48">
        <f t="shared" si="2"/>
        <v>73.2</v>
      </c>
      <c r="AI46" s="49">
        <f t="shared" si="3"/>
        <v>51</v>
      </c>
      <c r="AK46" s="50"/>
    </row>
    <row r="47" spans="1:88" x14ac:dyDescent="0.25">
      <c r="A47" s="54" t="s">
        <v>55</v>
      </c>
      <c r="B47" s="65">
        <v>51.8</v>
      </c>
      <c r="C47" s="65">
        <v>53</v>
      </c>
      <c r="D47" s="65">
        <v>52</v>
      </c>
      <c r="E47" s="65">
        <v>52</v>
      </c>
      <c r="F47" s="65">
        <v>52</v>
      </c>
      <c r="G47" s="65">
        <v>52</v>
      </c>
      <c r="H47" s="65">
        <v>52</v>
      </c>
      <c r="I47" s="65">
        <v>52</v>
      </c>
      <c r="J47" s="65">
        <v>70.5</v>
      </c>
      <c r="K47" s="65">
        <v>70.5</v>
      </c>
      <c r="L47" s="65">
        <v>70.5</v>
      </c>
      <c r="M47" s="65">
        <v>71.2</v>
      </c>
      <c r="N47" s="45">
        <v>70.900000000000006</v>
      </c>
      <c r="O47" s="45">
        <v>70.900000000000006</v>
      </c>
      <c r="P47" s="45">
        <v>46</v>
      </c>
      <c r="Q47" s="45">
        <v>46</v>
      </c>
      <c r="R47" s="45">
        <v>46</v>
      </c>
      <c r="S47" s="65">
        <v>70.599999999999994</v>
      </c>
      <c r="T47" s="65">
        <v>70.599999999999994</v>
      </c>
      <c r="U47" s="65">
        <v>70.599999999999994</v>
      </c>
      <c r="V47" s="65">
        <v>70.599999999999994</v>
      </c>
      <c r="W47" s="65">
        <v>70.599999999999994</v>
      </c>
      <c r="X47" s="65">
        <v>70.599999999999994</v>
      </c>
      <c r="Y47" s="65">
        <v>70.599999999999994</v>
      </c>
      <c r="Z47" s="65">
        <v>70.599999999999994</v>
      </c>
      <c r="AA47" s="65">
        <v>70.599999999999994</v>
      </c>
      <c r="AB47" s="65">
        <v>70.599999999999994</v>
      </c>
      <c r="AC47" s="65">
        <v>70.8</v>
      </c>
      <c r="AD47" s="65">
        <v>70.8</v>
      </c>
      <c r="AE47" s="65">
        <v>71.599999999999994</v>
      </c>
      <c r="AF47" s="65">
        <v>65.099999999999994</v>
      </c>
      <c r="AG47" s="55">
        <v>69</v>
      </c>
      <c r="AH47" s="48">
        <f t="shared" si="2"/>
        <v>71.599999999999994</v>
      </c>
      <c r="AI47" s="49">
        <f t="shared" si="3"/>
        <v>46</v>
      </c>
      <c r="AK47" s="50"/>
    </row>
    <row r="48" spans="1:88" x14ac:dyDescent="0.25">
      <c r="A48" s="54" t="s">
        <v>56</v>
      </c>
      <c r="B48" s="57">
        <v>30</v>
      </c>
      <c r="C48" s="57">
        <v>30</v>
      </c>
      <c r="D48" s="57">
        <v>10</v>
      </c>
      <c r="E48" s="57">
        <v>10</v>
      </c>
      <c r="F48" s="57">
        <v>10</v>
      </c>
      <c r="G48" s="57">
        <v>25</v>
      </c>
      <c r="H48" s="57">
        <v>30</v>
      </c>
      <c r="I48" s="57">
        <v>60</v>
      </c>
      <c r="J48" s="57">
        <v>60</v>
      </c>
      <c r="K48" s="57">
        <v>60</v>
      </c>
      <c r="L48" s="57">
        <v>60</v>
      </c>
      <c r="M48" s="65">
        <v>60.3</v>
      </c>
      <c r="N48" s="45">
        <v>60.3</v>
      </c>
      <c r="O48" s="45">
        <v>60.3</v>
      </c>
      <c r="P48" s="45">
        <v>60.4</v>
      </c>
      <c r="Q48" s="45">
        <v>60.4</v>
      </c>
      <c r="R48" s="45">
        <v>60.4</v>
      </c>
      <c r="S48" s="45">
        <v>60.4</v>
      </c>
      <c r="T48" s="45">
        <v>60.4</v>
      </c>
      <c r="U48" s="45">
        <v>60.4</v>
      </c>
      <c r="V48" s="45">
        <v>60.4</v>
      </c>
      <c r="W48" s="45">
        <v>60.4</v>
      </c>
      <c r="X48" s="45">
        <v>60.4</v>
      </c>
      <c r="Y48" s="45">
        <v>60.4</v>
      </c>
      <c r="Z48" s="45">
        <v>60.4</v>
      </c>
      <c r="AA48" s="45">
        <v>60.4</v>
      </c>
      <c r="AB48" s="45">
        <v>60.4</v>
      </c>
      <c r="AC48" s="45">
        <v>60.4</v>
      </c>
      <c r="AD48" s="45">
        <v>60.4</v>
      </c>
      <c r="AE48" s="57">
        <v>60.4</v>
      </c>
      <c r="AF48" s="57">
        <v>42</v>
      </c>
      <c r="AG48" s="55">
        <v>60</v>
      </c>
      <c r="AH48" s="48">
        <f t="shared" si="2"/>
        <v>60.4</v>
      </c>
      <c r="AI48" s="49">
        <f t="shared" si="3"/>
        <v>10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15</v>
      </c>
      <c r="I49" s="57">
        <v>15</v>
      </c>
      <c r="J49" s="57">
        <v>15</v>
      </c>
      <c r="K49" s="57">
        <v>15</v>
      </c>
      <c r="L49" s="57">
        <v>15</v>
      </c>
      <c r="M49" s="65">
        <v>30.3</v>
      </c>
      <c r="N49" s="45">
        <v>30.3</v>
      </c>
      <c r="O49" s="45">
        <v>15</v>
      </c>
      <c r="P49" s="45">
        <v>13.2</v>
      </c>
      <c r="Q49" s="45">
        <v>13.2</v>
      </c>
      <c r="R49" s="45">
        <v>13.2</v>
      </c>
      <c r="S49" s="45">
        <v>13.2</v>
      </c>
      <c r="T49" s="45">
        <v>0</v>
      </c>
      <c r="U49" s="45">
        <v>0</v>
      </c>
      <c r="V49" s="45">
        <v>0</v>
      </c>
      <c r="W49" s="4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14.8</v>
      </c>
      <c r="AC49" s="45">
        <v>13.2</v>
      </c>
      <c r="AD49" s="45">
        <v>13.2</v>
      </c>
      <c r="AE49" s="57">
        <v>0</v>
      </c>
      <c r="AF49" s="57">
        <v>0</v>
      </c>
      <c r="AG49" s="55">
        <v>30</v>
      </c>
      <c r="AH49" s="48">
        <f t="shared" si="2"/>
        <v>30.3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10</v>
      </c>
      <c r="N50" s="65">
        <v>10</v>
      </c>
      <c r="O50" s="65">
        <v>10</v>
      </c>
      <c r="P50" s="65">
        <v>10</v>
      </c>
      <c r="Q50" s="65">
        <v>10</v>
      </c>
      <c r="R50" s="65">
        <v>10</v>
      </c>
      <c r="S50" s="65">
        <v>10</v>
      </c>
      <c r="T50" s="65">
        <v>10</v>
      </c>
      <c r="U50" s="65">
        <v>10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10</v>
      </c>
      <c r="C51" s="65">
        <v>10</v>
      </c>
      <c r="D51" s="65">
        <v>10</v>
      </c>
      <c r="E51" s="65">
        <v>10</v>
      </c>
      <c r="F51" s="65">
        <v>10</v>
      </c>
      <c r="G51" s="65">
        <v>10</v>
      </c>
      <c r="H51" s="65">
        <v>10</v>
      </c>
      <c r="I51" s="65">
        <v>10</v>
      </c>
      <c r="J51" s="65">
        <v>10</v>
      </c>
      <c r="K51" s="65">
        <v>10</v>
      </c>
      <c r="L51" s="65">
        <v>10</v>
      </c>
      <c r="M51" s="65">
        <v>18</v>
      </c>
      <c r="N51" s="65">
        <v>17.5</v>
      </c>
      <c r="O51" s="65">
        <v>17.5</v>
      </c>
      <c r="P51" s="65">
        <v>17.5</v>
      </c>
      <c r="Q51" s="65">
        <v>17.5</v>
      </c>
      <c r="R51" s="65">
        <v>17.5</v>
      </c>
      <c r="S51" s="65">
        <v>17.5</v>
      </c>
      <c r="T51" s="65">
        <v>17.5</v>
      </c>
      <c r="U51" s="65">
        <v>17.5</v>
      </c>
      <c r="V51" s="65">
        <v>17.5</v>
      </c>
      <c r="W51" s="65">
        <v>17.5</v>
      </c>
      <c r="X51" s="65">
        <v>17.5</v>
      </c>
      <c r="Y51" s="65">
        <v>17.5</v>
      </c>
      <c r="Z51" s="65">
        <v>17.5</v>
      </c>
      <c r="AA51" s="65">
        <v>17.5</v>
      </c>
      <c r="AB51" s="65">
        <v>17.5</v>
      </c>
      <c r="AC51" s="65">
        <v>17.5</v>
      </c>
      <c r="AD51" s="65">
        <v>17.5</v>
      </c>
      <c r="AE51" s="65">
        <v>17.399999999999999</v>
      </c>
      <c r="AF51" s="65">
        <v>17.399999999999999</v>
      </c>
      <c r="AG51" s="55">
        <v>24</v>
      </c>
      <c r="AH51" s="48">
        <f t="shared" si="2"/>
        <v>18</v>
      </c>
      <c r="AI51" s="49">
        <f t="shared" si="3"/>
        <v>10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14</v>
      </c>
      <c r="C53" s="65">
        <v>7.6</v>
      </c>
      <c r="D53" s="65">
        <v>7.6</v>
      </c>
      <c r="E53" s="65">
        <v>7.6</v>
      </c>
      <c r="F53" s="65">
        <v>7.6</v>
      </c>
      <c r="G53" s="65">
        <v>7.6</v>
      </c>
      <c r="H53" s="65">
        <v>7.6</v>
      </c>
      <c r="I53" s="65">
        <v>7.6</v>
      </c>
      <c r="J53" s="65">
        <v>7.6</v>
      </c>
      <c r="K53" s="65">
        <v>7.6</v>
      </c>
      <c r="L53" s="65">
        <v>7.6</v>
      </c>
      <c r="M53" s="65">
        <v>14</v>
      </c>
      <c r="N53" s="65">
        <v>14</v>
      </c>
      <c r="O53" s="65">
        <v>14</v>
      </c>
      <c r="P53" s="65">
        <v>13.9</v>
      </c>
      <c r="Q53" s="65">
        <v>13.9</v>
      </c>
      <c r="R53" s="65">
        <v>13.9</v>
      </c>
      <c r="S53" s="65">
        <v>13.9</v>
      </c>
      <c r="T53" s="65">
        <v>13.9</v>
      </c>
      <c r="U53" s="65">
        <v>13.9</v>
      </c>
      <c r="V53" s="65">
        <v>13.9</v>
      </c>
      <c r="W53" s="65">
        <v>13.9</v>
      </c>
      <c r="X53" s="65">
        <v>13.9</v>
      </c>
      <c r="Y53" s="65">
        <v>13.9</v>
      </c>
      <c r="Z53" s="65">
        <v>13.9</v>
      </c>
      <c r="AA53" s="65">
        <v>13.9</v>
      </c>
      <c r="AB53" s="65">
        <v>13.9</v>
      </c>
      <c r="AC53" s="65">
        <v>13.9</v>
      </c>
      <c r="AD53" s="65">
        <v>13.9</v>
      </c>
      <c r="AE53" s="65">
        <v>13.8</v>
      </c>
      <c r="AF53" s="65">
        <v>13.9</v>
      </c>
      <c r="AG53" s="55">
        <v>14.1</v>
      </c>
      <c r="AH53" s="48">
        <f t="shared" si="2"/>
        <v>14</v>
      </c>
      <c r="AI53" s="49">
        <f t="shared" si="3"/>
        <v>7.6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9.9</v>
      </c>
      <c r="C54" s="65">
        <v>9.9</v>
      </c>
      <c r="D54" s="65">
        <v>9.9</v>
      </c>
      <c r="E54" s="65">
        <v>9.9</v>
      </c>
      <c r="F54" s="65">
        <v>9.9</v>
      </c>
      <c r="G54" s="65">
        <v>9.9</v>
      </c>
      <c r="H54" s="65">
        <v>9.9</v>
      </c>
      <c r="I54" s="65">
        <v>9.9</v>
      </c>
      <c r="J54" s="65">
        <v>9.9</v>
      </c>
      <c r="K54" s="65">
        <v>9.9</v>
      </c>
      <c r="L54" s="65">
        <v>9.9</v>
      </c>
      <c r="M54" s="65">
        <v>9.9</v>
      </c>
      <c r="N54" s="65">
        <v>9.1999999999999993</v>
      </c>
      <c r="O54" s="65">
        <v>8.5</v>
      </c>
      <c r="P54" s="65">
        <v>8.1</v>
      </c>
      <c r="Q54" s="65">
        <v>8.1</v>
      </c>
      <c r="R54" s="65">
        <v>8.1</v>
      </c>
      <c r="S54" s="65">
        <v>8.1</v>
      </c>
      <c r="T54" s="65">
        <v>8.1</v>
      </c>
      <c r="U54" s="65">
        <v>8.1</v>
      </c>
      <c r="V54" s="65">
        <v>8.1</v>
      </c>
      <c r="W54" s="65">
        <v>8.1</v>
      </c>
      <c r="X54" s="65">
        <v>8.1</v>
      </c>
      <c r="Y54" s="65">
        <v>8.1</v>
      </c>
      <c r="Z54" s="65">
        <v>8.1</v>
      </c>
      <c r="AA54" s="65">
        <v>8.1</v>
      </c>
      <c r="AB54" s="65">
        <v>8.1</v>
      </c>
      <c r="AC54" s="65">
        <v>8.1</v>
      </c>
      <c r="AD54" s="65">
        <v>8.1</v>
      </c>
      <c r="AE54" s="65">
        <v>9.1</v>
      </c>
      <c r="AF54" s="65">
        <v>9.3000000000000007</v>
      </c>
      <c r="AG54" s="55">
        <v>14</v>
      </c>
      <c r="AH54" s="48">
        <f t="shared" si="2"/>
        <v>9.9</v>
      </c>
      <c r="AI54" s="49">
        <f t="shared" si="3"/>
        <v>8.1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65">
        <v>4.5999999999999996</v>
      </c>
      <c r="U56" s="65">
        <v>4.5999999999999996</v>
      </c>
      <c r="V56" s="65">
        <v>4.5999999999999996</v>
      </c>
      <c r="W56" s="65">
        <v>4.5999999999999996</v>
      </c>
      <c r="X56" s="65">
        <v>4.5999999999999996</v>
      </c>
      <c r="Y56" s="65">
        <v>4.5999999999999996</v>
      </c>
      <c r="Z56" s="65">
        <v>4.5999999999999996</v>
      </c>
      <c r="AA56" s="65">
        <v>4.5999999999999996</v>
      </c>
      <c r="AB56" s="65">
        <v>4.5999999999999996</v>
      </c>
      <c r="AC56" s="65">
        <v>4.5999999999999996</v>
      </c>
      <c r="AD56" s="65">
        <v>4.5999999999999996</v>
      </c>
      <c r="AE56" s="65">
        <v>4.5999999999999996</v>
      </c>
      <c r="AF56" s="65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7">SUM(B45:B57)</f>
        <v>270.84000000000009</v>
      </c>
      <c r="C58" s="61">
        <f t="shared" si="7"/>
        <v>252.64</v>
      </c>
      <c r="D58" s="61">
        <f t="shared" si="7"/>
        <v>218.64</v>
      </c>
      <c r="E58" s="61">
        <f t="shared" si="7"/>
        <v>219.14</v>
      </c>
      <c r="F58" s="61">
        <f t="shared" si="7"/>
        <v>219.14</v>
      </c>
      <c r="G58" s="61">
        <f t="shared" si="7"/>
        <v>244.33999999999997</v>
      </c>
      <c r="H58" s="61">
        <f t="shared" si="7"/>
        <v>264.64000000000004</v>
      </c>
      <c r="I58" s="61">
        <f t="shared" si="7"/>
        <v>322.64000000000004</v>
      </c>
      <c r="J58" s="61">
        <f t="shared" si="7"/>
        <v>403.74000000000007</v>
      </c>
      <c r="K58" s="61">
        <f t="shared" si="7"/>
        <v>403.74000000000007</v>
      </c>
      <c r="L58" s="61">
        <f t="shared" si="7"/>
        <v>403.74000000000007</v>
      </c>
      <c r="M58" s="61">
        <f t="shared" si="7"/>
        <v>445.54</v>
      </c>
      <c r="N58" s="61">
        <f t="shared" si="7"/>
        <v>443.84000000000003</v>
      </c>
      <c r="O58" s="61">
        <f t="shared" si="7"/>
        <v>427.84000000000003</v>
      </c>
      <c r="P58" s="61">
        <f t="shared" si="7"/>
        <v>401.94</v>
      </c>
      <c r="Q58" s="61">
        <f t="shared" si="7"/>
        <v>401.94</v>
      </c>
      <c r="R58" s="61">
        <f t="shared" si="7"/>
        <v>401.74</v>
      </c>
      <c r="S58" s="61">
        <f t="shared" si="7"/>
        <v>426.64</v>
      </c>
      <c r="T58" s="61">
        <f t="shared" si="7"/>
        <v>413.44</v>
      </c>
      <c r="U58" s="61">
        <f t="shared" si="7"/>
        <v>413.44</v>
      </c>
      <c r="V58" s="61">
        <f t="shared" si="7"/>
        <v>403.44</v>
      </c>
      <c r="W58" s="61">
        <f t="shared" si="7"/>
        <v>403.44</v>
      </c>
      <c r="X58" s="61">
        <f t="shared" si="7"/>
        <v>403.44</v>
      </c>
      <c r="Y58" s="61">
        <f t="shared" si="7"/>
        <v>403.44</v>
      </c>
      <c r="Z58" s="61">
        <f t="shared" si="7"/>
        <v>403.44</v>
      </c>
      <c r="AA58" s="61">
        <f t="shared" si="7"/>
        <v>403.44</v>
      </c>
      <c r="AB58" s="61">
        <f t="shared" si="7"/>
        <v>418.24</v>
      </c>
      <c r="AC58" s="61">
        <f t="shared" si="7"/>
        <v>417.54</v>
      </c>
      <c r="AD58" s="61">
        <f t="shared" si="7"/>
        <v>417.54</v>
      </c>
      <c r="AE58" s="61">
        <f t="shared" si="7"/>
        <v>405.34000000000003</v>
      </c>
      <c r="AF58" s="61">
        <f t="shared" si="7"/>
        <v>370.94000000000005</v>
      </c>
      <c r="AG58" s="62">
        <f t="shared" si="7"/>
        <v>489.91</v>
      </c>
      <c r="AH58" s="48">
        <f t="shared" si="2"/>
        <v>445.54</v>
      </c>
      <c r="AI58" s="49">
        <f t="shared" si="3"/>
        <v>218.64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/>
      <c r="U59" s="45"/>
      <c r="V59" s="45"/>
      <c r="W59" s="45"/>
      <c r="X59" s="45"/>
      <c r="Y59" s="45"/>
      <c r="Z59" s="45"/>
      <c r="AA59" s="45"/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3.9</v>
      </c>
      <c r="P60" s="65">
        <v>0</v>
      </c>
      <c r="Q60" s="65">
        <v>0</v>
      </c>
      <c r="R60" s="65">
        <v>0</v>
      </c>
      <c r="S60" s="65">
        <v>0</v>
      </c>
      <c r="T60" s="65"/>
      <c r="U60" s="65"/>
      <c r="V60" s="65"/>
      <c r="W60" s="65"/>
      <c r="X60" s="65"/>
      <c r="Y60" s="65"/>
      <c r="Z60" s="65"/>
      <c r="AA60" s="65"/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3.9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2</v>
      </c>
      <c r="P61" s="67">
        <v>0</v>
      </c>
      <c r="Q61" s="67">
        <v>0</v>
      </c>
      <c r="R61" s="67">
        <v>0</v>
      </c>
      <c r="S61" s="67">
        <v>0</v>
      </c>
      <c r="T61" s="67"/>
      <c r="U61" s="67"/>
      <c r="V61" s="67"/>
      <c r="W61" s="67"/>
      <c r="X61" s="67"/>
      <c r="Y61" s="67"/>
      <c r="Z61" s="67"/>
      <c r="AA61" s="67"/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2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8">SUM(B59:B61)</f>
        <v>0</v>
      </c>
      <c r="C62" s="61">
        <f t="shared" si="8"/>
        <v>0</v>
      </c>
      <c r="D62" s="61">
        <f t="shared" si="8"/>
        <v>0</v>
      </c>
      <c r="E62" s="61">
        <f t="shared" si="8"/>
        <v>0</v>
      </c>
      <c r="F62" s="61">
        <f t="shared" si="8"/>
        <v>0</v>
      </c>
      <c r="G62" s="61">
        <f t="shared" si="8"/>
        <v>0</v>
      </c>
      <c r="H62" s="61">
        <f t="shared" si="8"/>
        <v>0</v>
      </c>
      <c r="I62" s="61">
        <f t="shared" si="8"/>
        <v>0</v>
      </c>
      <c r="J62" s="61">
        <f t="shared" si="8"/>
        <v>0</v>
      </c>
      <c r="K62" s="61">
        <f t="shared" si="8"/>
        <v>0</v>
      </c>
      <c r="L62" s="61">
        <f t="shared" si="8"/>
        <v>0</v>
      </c>
      <c r="M62" s="61">
        <f t="shared" si="8"/>
        <v>0</v>
      </c>
      <c r="N62" s="61">
        <f t="shared" si="8"/>
        <v>0</v>
      </c>
      <c r="O62" s="61">
        <f t="shared" si="8"/>
        <v>5.9</v>
      </c>
      <c r="P62" s="61">
        <f t="shared" si="8"/>
        <v>0</v>
      </c>
      <c r="Q62" s="61">
        <f t="shared" si="8"/>
        <v>0</v>
      </c>
      <c r="R62" s="61">
        <f t="shared" si="8"/>
        <v>0</v>
      </c>
      <c r="S62" s="61">
        <f t="shared" si="8"/>
        <v>0</v>
      </c>
      <c r="T62" s="61">
        <f t="shared" si="8"/>
        <v>0</v>
      </c>
      <c r="U62" s="61">
        <f t="shared" si="8"/>
        <v>0</v>
      </c>
      <c r="V62" s="61">
        <f t="shared" si="8"/>
        <v>0</v>
      </c>
      <c r="W62" s="61">
        <f t="shared" si="8"/>
        <v>0</v>
      </c>
      <c r="X62" s="61">
        <f t="shared" si="8"/>
        <v>0</v>
      </c>
      <c r="Y62" s="61">
        <f t="shared" si="8"/>
        <v>0</v>
      </c>
      <c r="Z62" s="61">
        <f t="shared" si="8"/>
        <v>0</v>
      </c>
      <c r="AA62" s="61">
        <f t="shared" si="8"/>
        <v>0</v>
      </c>
      <c r="AB62" s="61">
        <f t="shared" si="8"/>
        <v>0</v>
      </c>
      <c r="AC62" s="61">
        <f t="shared" si="8"/>
        <v>0</v>
      </c>
      <c r="AD62" s="61">
        <f t="shared" si="8"/>
        <v>0</v>
      </c>
      <c r="AE62" s="61">
        <f t="shared" si="8"/>
        <v>0</v>
      </c>
      <c r="AF62" s="61">
        <f t="shared" si="8"/>
        <v>0</v>
      </c>
      <c r="AG62" s="62">
        <f t="shared" si="8"/>
        <v>106</v>
      </c>
      <c r="AH62" s="48">
        <f t="shared" si="2"/>
        <v>5.9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-400</v>
      </c>
      <c r="C65" s="65">
        <v>-380</v>
      </c>
      <c r="D65" s="65">
        <v>-370</v>
      </c>
      <c r="E65" s="65">
        <v>-352</v>
      </c>
      <c r="F65" s="65">
        <v>-347</v>
      </c>
      <c r="G65" s="65">
        <v>-350</v>
      </c>
      <c r="H65" s="65">
        <v>-340</v>
      </c>
      <c r="I65" s="65">
        <v>-350</v>
      </c>
      <c r="J65" s="65">
        <v>-350</v>
      </c>
      <c r="K65" s="65">
        <v>-300</v>
      </c>
      <c r="L65" s="65">
        <v>-260</v>
      </c>
      <c r="M65" s="65">
        <v>-270</v>
      </c>
      <c r="N65" s="65">
        <v>-280</v>
      </c>
      <c r="O65" s="65">
        <v>-316</v>
      </c>
      <c r="P65" s="65">
        <v>-311.7</v>
      </c>
      <c r="Q65" s="65">
        <v>-326</v>
      </c>
      <c r="R65" s="65">
        <v>-302</v>
      </c>
      <c r="S65" s="65">
        <v>-317.10000000000002</v>
      </c>
      <c r="T65" s="65">
        <v>-300</v>
      </c>
      <c r="U65" s="65">
        <v>-275</v>
      </c>
      <c r="V65" s="65">
        <v>-316</v>
      </c>
      <c r="W65" s="65">
        <v>-240</v>
      </c>
      <c r="X65" s="65">
        <v>-210</v>
      </c>
      <c r="Y65" s="65">
        <v>-229</v>
      </c>
      <c r="Z65" s="65">
        <v>-225</v>
      </c>
      <c r="AA65" s="65">
        <v>-262</v>
      </c>
      <c r="AB65" s="65">
        <v>-283.2</v>
      </c>
      <c r="AC65" s="65">
        <v>-310.89999999999998</v>
      </c>
      <c r="AD65" s="65">
        <v>-320</v>
      </c>
      <c r="AE65" s="65">
        <v>-321</v>
      </c>
      <c r="AF65" s="65">
        <v>-322</v>
      </c>
      <c r="AG65" s="75"/>
      <c r="AH65" s="48">
        <f t="shared" si="2"/>
        <v>-210</v>
      </c>
      <c r="AI65" s="49">
        <f t="shared" si="3"/>
        <v>-400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7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7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7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9">SUMIF(B63:B73,"&gt;0")</f>
        <v>0</v>
      </c>
      <c r="C74" s="61">
        <f t="shared" si="9"/>
        <v>0</v>
      </c>
      <c r="D74" s="61">
        <f t="shared" si="9"/>
        <v>0</v>
      </c>
      <c r="E74" s="61">
        <f t="shared" si="9"/>
        <v>0</v>
      </c>
      <c r="F74" s="61">
        <f t="shared" si="9"/>
        <v>0</v>
      </c>
      <c r="G74" s="61">
        <f t="shared" si="9"/>
        <v>0</v>
      </c>
      <c r="H74" s="61">
        <f t="shared" si="9"/>
        <v>0</v>
      </c>
      <c r="I74" s="61">
        <f t="shared" si="9"/>
        <v>0</v>
      </c>
      <c r="J74" s="61">
        <f t="shared" si="9"/>
        <v>0</v>
      </c>
      <c r="K74" s="61">
        <f t="shared" si="9"/>
        <v>0</v>
      </c>
      <c r="L74" s="61">
        <f t="shared" si="9"/>
        <v>0</v>
      </c>
      <c r="M74" s="61">
        <f t="shared" si="9"/>
        <v>0</v>
      </c>
      <c r="N74" s="61">
        <f t="shared" si="9"/>
        <v>0</v>
      </c>
      <c r="O74" s="61">
        <f t="shared" si="9"/>
        <v>0</v>
      </c>
      <c r="P74" s="61">
        <f t="shared" si="9"/>
        <v>0</v>
      </c>
      <c r="Q74" s="61">
        <f t="shared" si="9"/>
        <v>0</v>
      </c>
      <c r="R74" s="61">
        <f t="shared" si="9"/>
        <v>0</v>
      </c>
      <c r="S74" s="61">
        <f t="shared" si="9"/>
        <v>0</v>
      </c>
      <c r="T74" s="61">
        <f t="shared" si="9"/>
        <v>0</v>
      </c>
      <c r="U74" s="61">
        <f t="shared" si="9"/>
        <v>0</v>
      </c>
      <c r="V74" s="61">
        <f t="shared" si="9"/>
        <v>0</v>
      </c>
      <c r="W74" s="61">
        <f t="shared" si="9"/>
        <v>0</v>
      </c>
      <c r="X74" s="61">
        <f t="shared" si="9"/>
        <v>0</v>
      </c>
      <c r="Y74" s="61">
        <f t="shared" si="9"/>
        <v>0</v>
      </c>
      <c r="Z74" s="61">
        <f t="shared" si="9"/>
        <v>0</v>
      </c>
      <c r="AA74" s="61">
        <f t="shared" si="9"/>
        <v>0</v>
      </c>
      <c r="AB74" s="61">
        <f t="shared" si="9"/>
        <v>0</v>
      </c>
      <c r="AC74" s="61">
        <f t="shared" si="9"/>
        <v>0</v>
      </c>
      <c r="AD74" s="61">
        <f t="shared" si="9"/>
        <v>0</v>
      </c>
      <c r="AE74" s="61">
        <f t="shared" si="9"/>
        <v>0</v>
      </c>
      <c r="AF74" s="61">
        <f t="shared" si="9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10">MAX(B76:AF76)</f>
        <v>0</v>
      </c>
      <c r="AI76" s="49">
        <f t="shared" ref="AI76:AI109" si="11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10"/>
        <v>0</v>
      </c>
      <c r="AI77" s="49">
        <f t="shared" si="11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10"/>
        <v>0</v>
      </c>
      <c r="AI78" s="49">
        <f t="shared" si="11"/>
        <v>0</v>
      </c>
    </row>
    <row r="79" spans="1:37" ht="15.75" thickBot="1" x14ac:dyDescent="0.3">
      <c r="A79" s="74" t="s">
        <v>87</v>
      </c>
      <c r="B79" s="83">
        <f t="shared" ref="B79:AG79" si="12">B40+B44+B62+B58+B74+B78</f>
        <v>1084.2400000000002</v>
      </c>
      <c r="C79" s="83">
        <f t="shared" si="12"/>
        <v>1047.04</v>
      </c>
      <c r="D79" s="83">
        <f t="shared" si="12"/>
        <v>1013.0400000000001</v>
      </c>
      <c r="E79" s="83">
        <f t="shared" si="12"/>
        <v>1012.84</v>
      </c>
      <c r="F79" s="83">
        <f t="shared" si="12"/>
        <v>1012.84</v>
      </c>
      <c r="G79" s="83">
        <f t="shared" si="12"/>
        <v>1038.04</v>
      </c>
      <c r="H79" s="83">
        <f t="shared" si="12"/>
        <v>1068.3400000000001</v>
      </c>
      <c r="I79" s="83">
        <f t="shared" si="12"/>
        <v>1126.3400000000001</v>
      </c>
      <c r="J79" s="83">
        <f t="shared" si="12"/>
        <v>1227.44</v>
      </c>
      <c r="K79" s="83">
        <f t="shared" si="12"/>
        <v>1237.44</v>
      </c>
      <c r="L79" s="83">
        <f t="shared" si="12"/>
        <v>1259.44</v>
      </c>
      <c r="M79" s="83">
        <f t="shared" si="12"/>
        <v>1364.0400000000002</v>
      </c>
      <c r="N79" s="83">
        <f t="shared" si="12"/>
        <v>1408.44</v>
      </c>
      <c r="O79" s="83">
        <f t="shared" si="12"/>
        <v>1428.04</v>
      </c>
      <c r="P79" s="83">
        <f t="shared" si="12"/>
        <v>1367.54</v>
      </c>
      <c r="Q79" s="83">
        <f t="shared" si="12"/>
        <v>1322.14</v>
      </c>
      <c r="R79" s="83">
        <f t="shared" si="12"/>
        <v>1245.94</v>
      </c>
      <c r="S79" s="83">
        <f t="shared" si="12"/>
        <v>1319.8400000000001</v>
      </c>
      <c r="T79" s="83">
        <f t="shared" si="12"/>
        <v>1301.6400000000001</v>
      </c>
      <c r="U79" s="83">
        <f t="shared" si="12"/>
        <v>1301.6400000000001</v>
      </c>
      <c r="V79" s="83">
        <f t="shared" si="12"/>
        <v>1399.8400000000001</v>
      </c>
      <c r="W79" s="83">
        <f t="shared" si="12"/>
        <v>1460.8400000000001</v>
      </c>
      <c r="X79" s="83">
        <f t="shared" si="12"/>
        <v>1531.8400000000001</v>
      </c>
      <c r="Y79" s="83">
        <f t="shared" si="12"/>
        <v>1431.8400000000001</v>
      </c>
      <c r="Z79" s="83">
        <f t="shared" si="12"/>
        <v>1391.8400000000001</v>
      </c>
      <c r="AA79" s="83">
        <f t="shared" si="12"/>
        <v>1341.8400000000001</v>
      </c>
      <c r="AB79" s="83">
        <f t="shared" si="12"/>
        <v>1332.04</v>
      </c>
      <c r="AC79" s="83">
        <f t="shared" si="12"/>
        <v>1331.34</v>
      </c>
      <c r="AD79" s="83">
        <f t="shared" si="12"/>
        <v>1273.54</v>
      </c>
      <c r="AE79" s="83">
        <f t="shared" si="12"/>
        <v>1214.94</v>
      </c>
      <c r="AF79" s="83">
        <f t="shared" si="12"/>
        <v>1180.1400000000001</v>
      </c>
      <c r="AG79" s="62">
        <f t="shared" si="12"/>
        <v>1897.1900000000003</v>
      </c>
      <c r="AH79" s="48">
        <f t="shared" si="10"/>
        <v>1531.8400000000001</v>
      </c>
      <c r="AI79" s="49">
        <f t="shared" si="11"/>
        <v>1012.84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89</v>
      </c>
      <c r="B81" s="83">
        <f t="shared" ref="B81:AF81" si="13">B79+B80</f>
        <v>1084.2400000000002</v>
      </c>
      <c r="C81" s="83">
        <f t="shared" si="13"/>
        <v>1047.04</v>
      </c>
      <c r="D81" s="83">
        <f t="shared" si="13"/>
        <v>1013.0400000000001</v>
      </c>
      <c r="E81" s="83">
        <f t="shared" si="13"/>
        <v>1012.84</v>
      </c>
      <c r="F81" s="83">
        <f t="shared" si="13"/>
        <v>1012.84</v>
      </c>
      <c r="G81" s="83">
        <f t="shared" si="13"/>
        <v>1038.04</v>
      </c>
      <c r="H81" s="83">
        <f t="shared" si="13"/>
        <v>1068.3400000000001</v>
      </c>
      <c r="I81" s="83">
        <f t="shared" si="13"/>
        <v>1126.3400000000001</v>
      </c>
      <c r="J81" s="83">
        <f t="shared" si="13"/>
        <v>1227.44</v>
      </c>
      <c r="K81" s="83">
        <f t="shared" si="13"/>
        <v>1237.44</v>
      </c>
      <c r="L81" s="83">
        <f t="shared" si="13"/>
        <v>1259.44</v>
      </c>
      <c r="M81" s="83">
        <f t="shared" si="13"/>
        <v>1364.0400000000002</v>
      </c>
      <c r="N81" s="83">
        <f t="shared" si="13"/>
        <v>1408.44</v>
      </c>
      <c r="O81" s="83">
        <f t="shared" si="13"/>
        <v>1428.04</v>
      </c>
      <c r="P81" s="83">
        <f t="shared" si="13"/>
        <v>1367.54</v>
      </c>
      <c r="Q81" s="83">
        <f t="shared" si="13"/>
        <v>1322.14</v>
      </c>
      <c r="R81" s="83">
        <f t="shared" si="13"/>
        <v>1245.94</v>
      </c>
      <c r="S81" s="83">
        <f t="shared" si="13"/>
        <v>1319.8400000000001</v>
      </c>
      <c r="T81" s="83">
        <f t="shared" si="13"/>
        <v>1301.6400000000001</v>
      </c>
      <c r="U81" s="83">
        <f t="shared" si="13"/>
        <v>1301.6400000000001</v>
      </c>
      <c r="V81" s="83">
        <f t="shared" si="13"/>
        <v>1399.8400000000001</v>
      </c>
      <c r="W81" s="83">
        <f t="shared" si="13"/>
        <v>1460.8400000000001</v>
      </c>
      <c r="X81" s="83">
        <f t="shared" si="13"/>
        <v>1531.8400000000001</v>
      </c>
      <c r="Y81" s="83">
        <f t="shared" si="13"/>
        <v>1431.8400000000001</v>
      </c>
      <c r="Z81" s="83">
        <f t="shared" si="13"/>
        <v>1391.8400000000001</v>
      </c>
      <c r="AA81" s="83">
        <f t="shared" si="13"/>
        <v>1341.8400000000001</v>
      </c>
      <c r="AB81" s="83">
        <f t="shared" si="13"/>
        <v>1332.04</v>
      </c>
      <c r="AC81" s="83">
        <f t="shared" si="13"/>
        <v>1331.34</v>
      </c>
      <c r="AD81" s="83">
        <f t="shared" si="13"/>
        <v>1273.54</v>
      </c>
      <c r="AE81" s="83">
        <f t="shared" si="13"/>
        <v>1214.94</v>
      </c>
      <c r="AF81" s="83">
        <f t="shared" si="13"/>
        <v>1180.1400000000001</v>
      </c>
      <c r="AG81" s="81">
        <f>AG78+AG74+AG62+AG58+AG40+AG80</f>
        <v>1359.0900000000001</v>
      </c>
      <c r="AH81" s="48">
        <f t="shared" si="10"/>
        <v>1531.8400000000001</v>
      </c>
      <c r="AI81" s="49">
        <f t="shared" si="11"/>
        <v>1012.84</v>
      </c>
    </row>
    <row r="82" spans="1:37" ht="15.75" thickBot="1" x14ac:dyDescent="0.3">
      <c r="A82" s="74" t="s">
        <v>90</v>
      </c>
      <c r="B82" s="83">
        <f t="shared" ref="B82:AF82" si="14">B81-B89</f>
        <v>684.24000000000024</v>
      </c>
      <c r="C82" s="83">
        <f t="shared" si="14"/>
        <v>667.04</v>
      </c>
      <c r="D82" s="83">
        <f t="shared" si="14"/>
        <v>643.04000000000008</v>
      </c>
      <c r="E82" s="83">
        <f t="shared" si="14"/>
        <v>660.84</v>
      </c>
      <c r="F82" s="83">
        <f t="shared" si="14"/>
        <v>665.84</v>
      </c>
      <c r="G82" s="83">
        <f t="shared" si="14"/>
        <v>688.04</v>
      </c>
      <c r="H82" s="83">
        <f t="shared" si="14"/>
        <v>728.34000000000015</v>
      </c>
      <c r="I82" s="83">
        <f t="shared" si="14"/>
        <v>776.34000000000015</v>
      </c>
      <c r="J82" s="83">
        <f t="shared" si="14"/>
        <v>877.44</v>
      </c>
      <c r="K82" s="83">
        <f t="shared" si="14"/>
        <v>937.44</v>
      </c>
      <c r="L82" s="83">
        <f t="shared" si="14"/>
        <v>999.44</v>
      </c>
      <c r="M82" s="83">
        <f t="shared" si="14"/>
        <v>1094.0400000000002</v>
      </c>
      <c r="N82" s="83">
        <f t="shared" si="14"/>
        <v>1128.44</v>
      </c>
      <c r="O82" s="83">
        <f t="shared" si="14"/>
        <v>1112.04</v>
      </c>
      <c r="P82" s="83">
        <f t="shared" si="14"/>
        <v>1055.8399999999999</v>
      </c>
      <c r="Q82" s="83">
        <f t="shared" si="14"/>
        <v>996.1400000000001</v>
      </c>
      <c r="R82" s="83">
        <f t="shared" si="14"/>
        <v>943.94</v>
      </c>
      <c r="S82" s="83">
        <f t="shared" si="14"/>
        <v>1002.7400000000001</v>
      </c>
      <c r="T82" s="83">
        <f t="shared" si="14"/>
        <v>1001.6400000000001</v>
      </c>
      <c r="U82" s="83">
        <f t="shared" si="14"/>
        <v>1026.6400000000001</v>
      </c>
      <c r="V82" s="83">
        <f t="shared" si="14"/>
        <v>1083.8400000000001</v>
      </c>
      <c r="W82" s="83">
        <f t="shared" si="14"/>
        <v>1220.8400000000001</v>
      </c>
      <c r="X82" s="83">
        <f t="shared" si="14"/>
        <v>1321.8400000000001</v>
      </c>
      <c r="Y82" s="83">
        <f t="shared" si="14"/>
        <v>1202.8400000000001</v>
      </c>
      <c r="Z82" s="83">
        <f t="shared" si="14"/>
        <v>1166.8400000000001</v>
      </c>
      <c r="AA82" s="83">
        <f t="shared" si="14"/>
        <v>1079.8400000000001</v>
      </c>
      <c r="AB82" s="83">
        <f t="shared" si="14"/>
        <v>1048.8399999999999</v>
      </c>
      <c r="AC82" s="83">
        <f t="shared" si="14"/>
        <v>1020.4399999999999</v>
      </c>
      <c r="AD82" s="83">
        <f t="shared" si="14"/>
        <v>953.54</v>
      </c>
      <c r="AE82" s="83">
        <f t="shared" si="14"/>
        <v>893.94</v>
      </c>
      <c r="AF82" s="83">
        <f t="shared" si="14"/>
        <v>858.1400000000001</v>
      </c>
      <c r="AG82" s="81"/>
      <c r="AH82" s="48">
        <f t="shared" si="10"/>
        <v>1321.8400000000001</v>
      </c>
      <c r="AI82" s="49">
        <f t="shared" si="11"/>
        <v>643.04000000000008</v>
      </c>
    </row>
    <row r="83" spans="1:37" x14ac:dyDescent="0.25">
      <c r="A83" s="44" t="s">
        <v>74</v>
      </c>
      <c r="B83" s="76">
        <f t="shared" ref="B83:AF83" si="15">IF(B66&lt;0,B66*-1,0)</f>
        <v>0</v>
      </c>
      <c r="C83" s="76">
        <f t="shared" si="15"/>
        <v>0</v>
      </c>
      <c r="D83" s="76">
        <f t="shared" si="15"/>
        <v>0</v>
      </c>
      <c r="E83" s="76">
        <f t="shared" si="15"/>
        <v>0</v>
      </c>
      <c r="F83" s="76">
        <f t="shared" si="15"/>
        <v>0</v>
      </c>
      <c r="G83" s="76">
        <f t="shared" si="15"/>
        <v>0</v>
      </c>
      <c r="H83" s="76">
        <f t="shared" si="15"/>
        <v>0</v>
      </c>
      <c r="I83" s="76">
        <f t="shared" si="15"/>
        <v>0</v>
      </c>
      <c r="J83" s="76">
        <f t="shared" si="15"/>
        <v>0</v>
      </c>
      <c r="K83" s="76">
        <f t="shared" si="15"/>
        <v>0</v>
      </c>
      <c r="L83" s="76">
        <f t="shared" si="15"/>
        <v>0</v>
      </c>
      <c r="M83" s="76">
        <f t="shared" si="15"/>
        <v>0</v>
      </c>
      <c r="N83" s="76">
        <f t="shared" si="15"/>
        <v>0</v>
      </c>
      <c r="O83" s="76">
        <f t="shared" si="15"/>
        <v>0</v>
      </c>
      <c r="P83" s="76">
        <f t="shared" si="15"/>
        <v>0</v>
      </c>
      <c r="Q83" s="76">
        <f t="shared" si="15"/>
        <v>0</v>
      </c>
      <c r="R83" s="76">
        <f t="shared" si="15"/>
        <v>0</v>
      </c>
      <c r="S83" s="76">
        <f t="shared" si="15"/>
        <v>0</v>
      </c>
      <c r="T83" s="76">
        <f t="shared" si="15"/>
        <v>0</v>
      </c>
      <c r="U83" s="76">
        <f t="shared" si="15"/>
        <v>0</v>
      </c>
      <c r="V83" s="76">
        <f t="shared" si="15"/>
        <v>0</v>
      </c>
      <c r="W83" s="76">
        <f t="shared" si="15"/>
        <v>0</v>
      </c>
      <c r="X83" s="76">
        <f t="shared" si="15"/>
        <v>0</v>
      </c>
      <c r="Y83" s="76">
        <f t="shared" si="15"/>
        <v>0</v>
      </c>
      <c r="Z83" s="76">
        <f t="shared" si="15"/>
        <v>0</v>
      </c>
      <c r="AA83" s="76">
        <f t="shared" si="15"/>
        <v>0</v>
      </c>
      <c r="AB83" s="76">
        <f t="shared" si="15"/>
        <v>0</v>
      </c>
      <c r="AC83" s="76">
        <f t="shared" si="15"/>
        <v>0</v>
      </c>
      <c r="AD83" s="76">
        <f t="shared" si="15"/>
        <v>0</v>
      </c>
      <c r="AE83" s="76">
        <f t="shared" si="15"/>
        <v>0</v>
      </c>
      <c r="AF83" s="76">
        <f t="shared" si="15"/>
        <v>0</v>
      </c>
      <c r="AG83" s="52"/>
      <c r="AH83" s="48">
        <f t="shared" si="10"/>
        <v>0</v>
      </c>
      <c r="AI83" s="49">
        <f t="shared" si="11"/>
        <v>0</v>
      </c>
    </row>
    <row r="84" spans="1:37" x14ac:dyDescent="0.25">
      <c r="A84" s="54" t="s">
        <v>72</v>
      </c>
      <c r="B84" s="76">
        <f t="shared" ref="B84:AF84" si="16">IF(B64&lt;0,B64*-1,0)</f>
        <v>0</v>
      </c>
      <c r="C84" s="76">
        <f t="shared" si="16"/>
        <v>0</v>
      </c>
      <c r="D84" s="76">
        <f t="shared" si="16"/>
        <v>0</v>
      </c>
      <c r="E84" s="76">
        <f t="shared" si="16"/>
        <v>0</v>
      </c>
      <c r="F84" s="76">
        <f t="shared" si="16"/>
        <v>0</v>
      </c>
      <c r="G84" s="76">
        <f t="shared" si="16"/>
        <v>0</v>
      </c>
      <c r="H84" s="76">
        <f t="shared" si="16"/>
        <v>0</v>
      </c>
      <c r="I84" s="76">
        <f t="shared" si="16"/>
        <v>0</v>
      </c>
      <c r="J84" s="76">
        <f t="shared" si="16"/>
        <v>0</v>
      </c>
      <c r="K84" s="76">
        <f t="shared" si="16"/>
        <v>0</v>
      </c>
      <c r="L84" s="76">
        <f t="shared" si="16"/>
        <v>0</v>
      </c>
      <c r="M84" s="76">
        <f t="shared" si="16"/>
        <v>0</v>
      </c>
      <c r="N84" s="76">
        <f t="shared" si="16"/>
        <v>0</v>
      </c>
      <c r="O84" s="76">
        <f t="shared" si="16"/>
        <v>0</v>
      </c>
      <c r="P84" s="76">
        <f t="shared" si="16"/>
        <v>0</v>
      </c>
      <c r="Q84" s="76">
        <f t="shared" si="16"/>
        <v>0</v>
      </c>
      <c r="R84" s="76">
        <f t="shared" si="16"/>
        <v>0</v>
      </c>
      <c r="S84" s="76">
        <f t="shared" si="16"/>
        <v>0</v>
      </c>
      <c r="T84" s="76">
        <f t="shared" si="16"/>
        <v>0</v>
      </c>
      <c r="U84" s="76">
        <f t="shared" si="16"/>
        <v>0</v>
      </c>
      <c r="V84" s="76">
        <f t="shared" si="16"/>
        <v>0</v>
      </c>
      <c r="W84" s="76">
        <f t="shared" si="16"/>
        <v>0</v>
      </c>
      <c r="X84" s="76">
        <f t="shared" si="16"/>
        <v>0</v>
      </c>
      <c r="Y84" s="76">
        <f t="shared" si="16"/>
        <v>0</v>
      </c>
      <c r="Z84" s="76">
        <f t="shared" si="16"/>
        <v>0</v>
      </c>
      <c r="AA84" s="76">
        <f t="shared" si="16"/>
        <v>0</v>
      </c>
      <c r="AB84" s="76">
        <f t="shared" si="16"/>
        <v>0</v>
      </c>
      <c r="AC84" s="76">
        <f t="shared" si="16"/>
        <v>0</v>
      </c>
      <c r="AD84" s="76">
        <f t="shared" si="16"/>
        <v>0</v>
      </c>
      <c r="AE84" s="76">
        <f t="shared" si="16"/>
        <v>0</v>
      </c>
      <c r="AF84" s="76">
        <f t="shared" si="16"/>
        <v>0</v>
      </c>
      <c r="AG84" s="55"/>
      <c r="AH84" s="48">
        <f t="shared" si="10"/>
        <v>0</v>
      </c>
      <c r="AI84" s="49">
        <f t="shared" si="11"/>
        <v>0</v>
      </c>
    </row>
    <row r="85" spans="1:37" x14ac:dyDescent="0.25">
      <c r="A85" s="78" t="s">
        <v>91</v>
      </c>
      <c r="B85" s="76">
        <f t="shared" ref="B85:AF85" si="17">IF(B67&lt;0,B67*-1,0)</f>
        <v>0</v>
      </c>
      <c r="C85" s="76">
        <f t="shared" si="17"/>
        <v>0</v>
      </c>
      <c r="D85" s="76">
        <f t="shared" si="17"/>
        <v>0</v>
      </c>
      <c r="E85" s="76">
        <f t="shared" si="17"/>
        <v>0</v>
      </c>
      <c r="F85" s="76">
        <f t="shared" si="17"/>
        <v>0</v>
      </c>
      <c r="G85" s="76">
        <f t="shared" si="17"/>
        <v>0</v>
      </c>
      <c r="H85" s="76">
        <f t="shared" si="17"/>
        <v>0</v>
      </c>
      <c r="I85" s="76">
        <f t="shared" si="17"/>
        <v>0</v>
      </c>
      <c r="J85" s="76">
        <f t="shared" si="17"/>
        <v>0</v>
      </c>
      <c r="K85" s="76">
        <f t="shared" si="17"/>
        <v>0</v>
      </c>
      <c r="L85" s="76">
        <f t="shared" si="17"/>
        <v>0</v>
      </c>
      <c r="M85" s="76">
        <f t="shared" si="17"/>
        <v>0</v>
      </c>
      <c r="N85" s="76">
        <f t="shared" si="17"/>
        <v>0</v>
      </c>
      <c r="O85" s="76">
        <f t="shared" si="17"/>
        <v>0</v>
      </c>
      <c r="P85" s="76">
        <f t="shared" si="17"/>
        <v>0</v>
      </c>
      <c r="Q85" s="76">
        <f t="shared" si="17"/>
        <v>0</v>
      </c>
      <c r="R85" s="76">
        <f t="shared" si="17"/>
        <v>0</v>
      </c>
      <c r="S85" s="76">
        <f t="shared" si="17"/>
        <v>0</v>
      </c>
      <c r="T85" s="76">
        <f t="shared" si="17"/>
        <v>0</v>
      </c>
      <c r="U85" s="76">
        <f t="shared" si="17"/>
        <v>0</v>
      </c>
      <c r="V85" s="76">
        <f t="shared" si="17"/>
        <v>0</v>
      </c>
      <c r="W85" s="76">
        <f t="shared" si="17"/>
        <v>0</v>
      </c>
      <c r="X85" s="76">
        <f t="shared" si="17"/>
        <v>0</v>
      </c>
      <c r="Y85" s="76">
        <f t="shared" si="17"/>
        <v>0</v>
      </c>
      <c r="Z85" s="76">
        <f t="shared" si="17"/>
        <v>0</v>
      </c>
      <c r="AA85" s="76">
        <f t="shared" si="17"/>
        <v>0</v>
      </c>
      <c r="AB85" s="76">
        <f t="shared" si="17"/>
        <v>0</v>
      </c>
      <c r="AC85" s="76">
        <f t="shared" si="17"/>
        <v>0</v>
      </c>
      <c r="AD85" s="76">
        <f t="shared" si="17"/>
        <v>0</v>
      </c>
      <c r="AE85" s="76">
        <f t="shared" si="17"/>
        <v>0</v>
      </c>
      <c r="AF85" s="76">
        <f t="shared" si="17"/>
        <v>0</v>
      </c>
      <c r="AG85" s="86"/>
      <c r="AH85" s="48">
        <f t="shared" si="10"/>
        <v>0</v>
      </c>
      <c r="AI85" s="49">
        <f t="shared" si="11"/>
        <v>0</v>
      </c>
    </row>
    <row r="86" spans="1:37" x14ac:dyDescent="0.25">
      <c r="A86" s="78" t="s">
        <v>92</v>
      </c>
      <c r="B86" s="76">
        <f t="shared" ref="B86:AF86" si="18">IF(B65&lt;0,B65*-1,0)</f>
        <v>400</v>
      </c>
      <c r="C86" s="76">
        <f t="shared" si="18"/>
        <v>380</v>
      </c>
      <c r="D86" s="76">
        <f t="shared" si="18"/>
        <v>370</v>
      </c>
      <c r="E86" s="76">
        <f t="shared" si="18"/>
        <v>352</v>
      </c>
      <c r="F86" s="76">
        <f t="shared" si="18"/>
        <v>347</v>
      </c>
      <c r="G86" s="76">
        <f t="shared" si="18"/>
        <v>350</v>
      </c>
      <c r="H86" s="76">
        <f t="shared" si="18"/>
        <v>340</v>
      </c>
      <c r="I86" s="76">
        <f t="shared" si="18"/>
        <v>350</v>
      </c>
      <c r="J86" s="76">
        <f t="shared" si="18"/>
        <v>350</v>
      </c>
      <c r="K86" s="76">
        <f t="shared" si="18"/>
        <v>300</v>
      </c>
      <c r="L86" s="76">
        <f t="shared" si="18"/>
        <v>260</v>
      </c>
      <c r="M86" s="76">
        <f t="shared" si="18"/>
        <v>270</v>
      </c>
      <c r="N86" s="76">
        <f t="shared" si="18"/>
        <v>280</v>
      </c>
      <c r="O86" s="76">
        <f t="shared" si="18"/>
        <v>316</v>
      </c>
      <c r="P86" s="76">
        <f t="shared" si="18"/>
        <v>311.7</v>
      </c>
      <c r="Q86" s="76">
        <f t="shared" si="18"/>
        <v>326</v>
      </c>
      <c r="R86" s="76">
        <f t="shared" si="18"/>
        <v>302</v>
      </c>
      <c r="S86" s="76">
        <f t="shared" si="18"/>
        <v>317.10000000000002</v>
      </c>
      <c r="T86" s="76">
        <f t="shared" si="18"/>
        <v>300</v>
      </c>
      <c r="U86" s="76">
        <f t="shared" si="18"/>
        <v>275</v>
      </c>
      <c r="V86" s="76">
        <f t="shared" si="18"/>
        <v>316</v>
      </c>
      <c r="W86" s="76">
        <f t="shared" si="18"/>
        <v>240</v>
      </c>
      <c r="X86" s="76">
        <f t="shared" si="18"/>
        <v>210</v>
      </c>
      <c r="Y86" s="76">
        <f t="shared" si="18"/>
        <v>229</v>
      </c>
      <c r="Z86" s="76">
        <f t="shared" si="18"/>
        <v>225</v>
      </c>
      <c r="AA86" s="76">
        <f t="shared" si="18"/>
        <v>262</v>
      </c>
      <c r="AB86" s="76">
        <f t="shared" si="18"/>
        <v>283.2</v>
      </c>
      <c r="AC86" s="76">
        <f t="shared" si="18"/>
        <v>310.89999999999998</v>
      </c>
      <c r="AD86" s="76">
        <f t="shared" si="18"/>
        <v>320</v>
      </c>
      <c r="AE86" s="76">
        <f t="shared" si="18"/>
        <v>321</v>
      </c>
      <c r="AF86" s="76">
        <f t="shared" si="18"/>
        <v>322</v>
      </c>
      <c r="AG86" s="86"/>
      <c r="AH86" s="48">
        <f t="shared" si="10"/>
        <v>400</v>
      </c>
      <c r="AI86" s="49">
        <f t="shared" si="11"/>
        <v>210</v>
      </c>
    </row>
    <row r="87" spans="1:37" x14ac:dyDescent="0.25">
      <c r="A87" s="78" t="s">
        <v>71</v>
      </c>
      <c r="B87" s="76">
        <f t="shared" ref="B87:AF87" si="19">IF(B63&lt;0,B63*-1,0)</f>
        <v>0</v>
      </c>
      <c r="C87" s="76">
        <f t="shared" si="19"/>
        <v>0</v>
      </c>
      <c r="D87" s="76">
        <f t="shared" si="19"/>
        <v>0</v>
      </c>
      <c r="E87" s="76">
        <f t="shared" si="19"/>
        <v>0</v>
      </c>
      <c r="F87" s="76">
        <f t="shared" si="19"/>
        <v>0</v>
      </c>
      <c r="G87" s="76">
        <f t="shared" si="19"/>
        <v>0</v>
      </c>
      <c r="H87" s="76">
        <f t="shared" si="19"/>
        <v>0</v>
      </c>
      <c r="I87" s="76">
        <f t="shared" si="19"/>
        <v>0</v>
      </c>
      <c r="J87" s="76">
        <f t="shared" si="19"/>
        <v>0</v>
      </c>
      <c r="K87" s="76">
        <f t="shared" si="19"/>
        <v>0</v>
      </c>
      <c r="L87" s="76">
        <f t="shared" si="19"/>
        <v>0</v>
      </c>
      <c r="M87" s="76">
        <f t="shared" si="19"/>
        <v>0</v>
      </c>
      <c r="N87" s="76">
        <f t="shared" si="19"/>
        <v>0</v>
      </c>
      <c r="O87" s="76">
        <f t="shared" si="19"/>
        <v>0</v>
      </c>
      <c r="P87" s="76">
        <f t="shared" si="19"/>
        <v>0</v>
      </c>
      <c r="Q87" s="76">
        <f t="shared" si="19"/>
        <v>0</v>
      </c>
      <c r="R87" s="76">
        <f t="shared" si="19"/>
        <v>0</v>
      </c>
      <c r="S87" s="76">
        <f t="shared" si="19"/>
        <v>0</v>
      </c>
      <c r="T87" s="76">
        <f t="shared" si="19"/>
        <v>0</v>
      </c>
      <c r="U87" s="76">
        <f t="shared" si="19"/>
        <v>0</v>
      </c>
      <c r="V87" s="76">
        <f t="shared" si="19"/>
        <v>0</v>
      </c>
      <c r="W87" s="76">
        <f t="shared" si="19"/>
        <v>0</v>
      </c>
      <c r="X87" s="76">
        <f t="shared" si="19"/>
        <v>0</v>
      </c>
      <c r="Y87" s="76">
        <f t="shared" si="19"/>
        <v>0</v>
      </c>
      <c r="Z87" s="76">
        <f t="shared" si="19"/>
        <v>0</v>
      </c>
      <c r="AA87" s="76">
        <f t="shared" si="19"/>
        <v>0</v>
      </c>
      <c r="AB87" s="76">
        <f t="shared" si="19"/>
        <v>0</v>
      </c>
      <c r="AC87" s="76">
        <f t="shared" si="19"/>
        <v>0</v>
      </c>
      <c r="AD87" s="76">
        <f t="shared" si="19"/>
        <v>0</v>
      </c>
      <c r="AE87" s="76">
        <f t="shared" si="19"/>
        <v>0</v>
      </c>
      <c r="AF87" s="76">
        <f t="shared" si="19"/>
        <v>0</v>
      </c>
      <c r="AG87" s="86"/>
      <c r="AH87" s="48">
        <f t="shared" si="10"/>
        <v>0</v>
      </c>
      <c r="AI87" s="49">
        <f t="shared" si="11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10"/>
        <v>0</v>
      </c>
      <c r="AI88" s="49">
        <f t="shared" si="11"/>
        <v>0</v>
      </c>
    </row>
    <row r="89" spans="1:37" ht="15.75" thickBot="1" x14ac:dyDescent="0.3">
      <c r="A89" s="87" t="s">
        <v>94</v>
      </c>
      <c r="B89" s="61">
        <f t="shared" ref="B89:AF89" si="20">SUM(B83:B88)</f>
        <v>400</v>
      </c>
      <c r="C89" s="61">
        <f t="shared" si="20"/>
        <v>380</v>
      </c>
      <c r="D89" s="61">
        <f t="shared" si="20"/>
        <v>370</v>
      </c>
      <c r="E89" s="61">
        <f t="shared" si="20"/>
        <v>352</v>
      </c>
      <c r="F89" s="61">
        <f t="shared" si="20"/>
        <v>347</v>
      </c>
      <c r="G89" s="61">
        <f t="shared" si="20"/>
        <v>350</v>
      </c>
      <c r="H89" s="61">
        <f t="shared" si="20"/>
        <v>340</v>
      </c>
      <c r="I89" s="61">
        <f t="shared" si="20"/>
        <v>350</v>
      </c>
      <c r="J89" s="61">
        <f t="shared" si="20"/>
        <v>350</v>
      </c>
      <c r="K89" s="61">
        <f t="shared" si="20"/>
        <v>300</v>
      </c>
      <c r="L89" s="61">
        <f t="shared" si="20"/>
        <v>260</v>
      </c>
      <c r="M89" s="61">
        <f t="shared" si="20"/>
        <v>270</v>
      </c>
      <c r="N89" s="61">
        <f t="shared" si="20"/>
        <v>280</v>
      </c>
      <c r="O89" s="61">
        <f t="shared" si="20"/>
        <v>316</v>
      </c>
      <c r="P89" s="61">
        <f t="shared" si="20"/>
        <v>311.7</v>
      </c>
      <c r="Q89" s="61">
        <f t="shared" si="20"/>
        <v>326</v>
      </c>
      <c r="R89" s="61">
        <f t="shared" si="20"/>
        <v>302</v>
      </c>
      <c r="S89" s="61">
        <f t="shared" si="20"/>
        <v>317.10000000000002</v>
      </c>
      <c r="T89" s="61">
        <f t="shared" si="20"/>
        <v>300</v>
      </c>
      <c r="U89" s="61">
        <f t="shared" si="20"/>
        <v>275</v>
      </c>
      <c r="V89" s="61">
        <f t="shared" si="20"/>
        <v>316</v>
      </c>
      <c r="W89" s="61">
        <f t="shared" si="20"/>
        <v>240</v>
      </c>
      <c r="X89" s="61">
        <f t="shared" si="20"/>
        <v>210</v>
      </c>
      <c r="Y89" s="61">
        <f t="shared" si="20"/>
        <v>229</v>
      </c>
      <c r="Z89" s="61">
        <f t="shared" si="20"/>
        <v>225</v>
      </c>
      <c r="AA89" s="61">
        <f t="shared" si="20"/>
        <v>262</v>
      </c>
      <c r="AB89" s="61">
        <f t="shared" si="20"/>
        <v>283.2</v>
      </c>
      <c r="AC89" s="61">
        <f t="shared" si="20"/>
        <v>310.89999999999998</v>
      </c>
      <c r="AD89" s="61">
        <f t="shared" si="20"/>
        <v>320</v>
      </c>
      <c r="AE89" s="61">
        <f t="shared" si="20"/>
        <v>321</v>
      </c>
      <c r="AF89" s="61">
        <f t="shared" si="20"/>
        <v>322</v>
      </c>
      <c r="AG89" s="81"/>
      <c r="AH89" s="48">
        <f t="shared" si="10"/>
        <v>400</v>
      </c>
      <c r="AI89" s="49">
        <f t="shared" si="11"/>
        <v>210</v>
      </c>
      <c r="AK89" s="50"/>
    </row>
    <row r="90" spans="1:37" ht="15.75" thickBot="1" x14ac:dyDescent="0.3">
      <c r="A90" s="74" t="s">
        <v>95</v>
      </c>
      <c r="B90" s="61">
        <f t="shared" ref="B90:AF90" si="21">B74-B89</f>
        <v>-400</v>
      </c>
      <c r="C90" s="61">
        <f t="shared" si="21"/>
        <v>-380</v>
      </c>
      <c r="D90" s="61">
        <f t="shared" si="21"/>
        <v>-370</v>
      </c>
      <c r="E90" s="61">
        <f t="shared" si="21"/>
        <v>-352</v>
      </c>
      <c r="F90" s="61">
        <f t="shared" si="21"/>
        <v>-347</v>
      </c>
      <c r="G90" s="61">
        <f t="shared" si="21"/>
        <v>-350</v>
      </c>
      <c r="H90" s="61">
        <f t="shared" si="21"/>
        <v>-340</v>
      </c>
      <c r="I90" s="61">
        <f t="shared" si="21"/>
        <v>-350</v>
      </c>
      <c r="J90" s="61">
        <f t="shared" si="21"/>
        <v>-350</v>
      </c>
      <c r="K90" s="61">
        <f t="shared" si="21"/>
        <v>-300</v>
      </c>
      <c r="L90" s="61">
        <f t="shared" si="21"/>
        <v>-260</v>
      </c>
      <c r="M90" s="61">
        <f t="shared" si="21"/>
        <v>-270</v>
      </c>
      <c r="N90" s="61">
        <f t="shared" si="21"/>
        <v>-280</v>
      </c>
      <c r="O90" s="61">
        <f t="shared" si="21"/>
        <v>-316</v>
      </c>
      <c r="P90" s="61">
        <f t="shared" si="21"/>
        <v>-311.7</v>
      </c>
      <c r="Q90" s="61">
        <f t="shared" si="21"/>
        <v>-326</v>
      </c>
      <c r="R90" s="61">
        <f t="shared" si="21"/>
        <v>-302</v>
      </c>
      <c r="S90" s="61">
        <f t="shared" si="21"/>
        <v>-317.10000000000002</v>
      </c>
      <c r="T90" s="61">
        <f t="shared" si="21"/>
        <v>-300</v>
      </c>
      <c r="U90" s="61">
        <f t="shared" si="21"/>
        <v>-275</v>
      </c>
      <c r="V90" s="61">
        <f t="shared" si="21"/>
        <v>-316</v>
      </c>
      <c r="W90" s="61">
        <f t="shared" si="21"/>
        <v>-240</v>
      </c>
      <c r="X90" s="61">
        <f t="shared" si="21"/>
        <v>-210</v>
      </c>
      <c r="Y90" s="61">
        <f t="shared" si="21"/>
        <v>-229</v>
      </c>
      <c r="Z90" s="61">
        <f t="shared" si="21"/>
        <v>-225</v>
      </c>
      <c r="AA90" s="61">
        <f t="shared" si="21"/>
        <v>-262</v>
      </c>
      <c r="AB90" s="61">
        <f t="shared" si="21"/>
        <v>-283.2</v>
      </c>
      <c r="AC90" s="61">
        <f t="shared" si="21"/>
        <v>-310.89999999999998</v>
      </c>
      <c r="AD90" s="61">
        <f t="shared" si="21"/>
        <v>-320</v>
      </c>
      <c r="AE90" s="61">
        <f t="shared" si="21"/>
        <v>-321</v>
      </c>
      <c r="AF90" s="61">
        <f t="shared" si="21"/>
        <v>-322</v>
      </c>
      <c r="AG90" s="81"/>
      <c r="AH90" s="48">
        <f t="shared" si="10"/>
        <v>-210</v>
      </c>
      <c r="AI90" s="49">
        <f t="shared" si="11"/>
        <v>-400</v>
      </c>
    </row>
    <row r="91" spans="1:37" x14ac:dyDescent="0.25">
      <c r="A91" s="88" t="s">
        <v>96</v>
      </c>
      <c r="B91" s="89">
        <v>50.125999999999998</v>
      </c>
      <c r="C91" s="89">
        <v>50.01</v>
      </c>
      <c r="D91" s="89">
        <v>50.04</v>
      </c>
      <c r="E91" s="89">
        <v>50.08</v>
      </c>
      <c r="F91" s="89">
        <v>50.03</v>
      </c>
      <c r="G91" s="89">
        <v>50.06</v>
      </c>
      <c r="H91" s="89">
        <v>50.02</v>
      </c>
      <c r="I91" s="89">
        <v>50.02</v>
      </c>
      <c r="J91" s="89">
        <v>50.02</v>
      </c>
      <c r="K91" s="89">
        <v>50.02</v>
      </c>
      <c r="L91" s="89">
        <v>50.02</v>
      </c>
      <c r="M91" s="89">
        <v>50.012999999999998</v>
      </c>
      <c r="N91" s="89">
        <v>50.07</v>
      </c>
      <c r="O91" s="89">
        <v>49.994999999999997</v>
      </c>
      <c r="P91" s="89">
        <v>49.926000000000002</v>
      </c>
      <c r="Q91" s="89">
        <v>49.966000000000001</v>
      </c>
      <c r="R91" s="89">
        <v>49.95</v>
      </c>
      <c r="S91" s="89">
        <v>49.914000000000001</v>
      </c>
      <c r="T91" s="89">
        <v>49.92</v>
      </c>
      <c r="U91" s="89">
        <v>49.94</v>
      </c>
      <c r="V91" s="89">
        <v>49.999000000000002</v>
      </c>
      <c r="W91" s="89">
        <v>50.091000000000001</v>
      </c>
      <c r="X91" s="89">
        <v>50.091000000000001</v>
      </c>
      <c r="Y91" s="89">
        <v>50.045000000000002</v>
      </c>
      <c r="Z91" s="89">
        <v>49.981999999999999</v>
      </c>
      <c r="AA91" s="89">
        <v>50.015000000000001</v>
      </c>
      <c r="AB91" s="89">
        <v>50.093000000000004</v>
      </c>
      <c r="AC91" s="89">
        <v>49.942999999999998</v>
      </c>
      <c r="AD91" s="89">
        <v>49.953000000000003</v>
      </c>
      <c r="AE91" s="89">
        <v>49.93</v>
      </c>
      <c r="AF91" s="89">
        <v>49.89</v>
      </c>
      <c r="AG91" s="90"/>
      <c r="AH91" s="48">
        <f t="shared" si="10"/>
        <v>50.125999999999998</v>
      </c>
      <c r="AI91" s="49">
        <f t="shared" si="11"/>
        <v>49.89</v>
      </c>
    </row>
    <row r="92" spans="1:37" x14ac:dyDescent="0.25">
      <c r="A92" s="91" t="s">
        <v>97</v>
      </c>
      <c r="B92" s="65">
        <v>130</v>
      </c>
      <c r="C92" s="65">
        <v>130</v>
      </c>
      <c r="D92" s="65">
        <v>131</v>
      </c>
      <c r="E92" s="65">
        <v>130.6</v>
      </c>
      <c r="F92" s="65">
        <v>129.80000000000001</v>
      </c>
      <c r="G92" s="65">
        <v>129.80000000000001</v>
      </c>
      <c r="H92" s="65">
        <v>128</v>
      </c>
      <c r="I92" s="65">
        <v>127.8</v>
      </c>
      <c r="J92" s="65">
        <v>127.8</v>
      </c>
      <c r="K92" s="65">
        <v>127.8</v>
      </c>
      <c r="L92" s="65">
        <v>125</v>
      </c>
      <c r="M92" s="65">
        <v>125.6</v>
      </c>
      <c r="N92" s="65">
        <v>125.2</v>
      </c>
      <c r="O92" s="65">
        <v>126.6</v>
      </c>
      <c r="P92" s="65">
        <v>126</v>
      </c>
      <c r="Q92" s="65">
        <v>126.3</v>
      </c>
      <c r="R92" s="65">
        <v>125.7</v>
      </c>
      <c r="S92" s="65">
        <v>125.9</v>
      </c>
      <c r="T92" s="65">
        <v>125.3</v>
      </c>
      <c r="U92" s="65">
        <v>126.1</v>
      </c>
      <c r="V92" s="65">
        <v>127.3</v>
      </c>
      <c r="W92" s="65">
        <v>127</v>
      </c>
      <c r="X92" s="65">
        <v>127</v>
      </c>
      <c r="Y92" s="65">
        <v>128.80000000000001</v>
      </c>
      <c r="Z92" s="65">
        <v>129.19999999999999</v>
      </c>
      <c r="AA92" s="65">
        <v>128.80000000000001</v>
      </c>
      <c r="AB92" s="65">
        <v>127.8</v>
      </c>
      <c r="AC92" s="65">
        <v>127.4</v>
      </c>
      <c r="AD92" s="65">
        <v>126.6</v>
      </c>
      <c r="AE92" s="65">
        <v>127.8</v>
      </c>
      <c r="AF92" s="65">
        <v>127.2</v>
      </c>
      <c r="AG92" s="92"/>
      <c r="AH92" s="48">
        <f t="shared" si="10"/>
        <v>131</v>
      </c>
      <c r="AI92" s="49">
        <f t="shared" si="11"/>
        <v>125</v>
      </c>
    </row>
    <row r="93" spans="1:37" x14ac:dyDescent="0.25">
      <c r="A93" s="91" t="s">
        <v>98</v>
      </c>
      <c r="B93" s="65">
        <v>132.6</v>
      </c>
      <c r="C93" s="65">
        <v>132.6</v>
      </c>
      <c r="D93" s="65">
        <v>133.5</v>
      </c>
      <c r="E93" s="65">
        <v>133.1</v>
      </c>
      <c r="F93" s="65">
        <v>132.4</v>
      </c>
      <c r="G93" s="65">
        <v>132.4</v>
      </c>
      <c r="H93" s="65">
        <v>130.9</v>
      </c>
      <c r="I93" s="65">
        <v>130.6</v>
      </c>
      <c r="J93" s="65">
        <v>130.6</v>
      </c>
      <c r="K93" s="65">
        <v>130.6</v>
      </c>
      <c r="L93" s="65">
        <v>128.1</v>
      </c>
      <c r="M93" s="65">
        <v>128.19999999999999</v>
      </c>
      <c r="N93" s="65">
        <v>127.8</v>
      </c>
      <c r="O93" s="65">
        <v>129</v>
      </c>
      <c r="P93" s="65">
        <v>128.69999999999999</v>
      </c>
      <c r="Q93" s="65">
        <v>129.30000000000001</v>
      </c>
      <c r="R93" s="65">
        <v>128.80000000000001</v>
      </c>
      <c r="S93" s="65">
        <v>129</v>
      </c>
      <c r="T93" s="65">
        <v>128.6</v>
      </c>
      <c r="U93" s="65">
        <v>129</v>
      </c>
      <c r="V93" s="65">
        <v>130</v>
      </c>
      <c r="W93" s="65">
        <v>129</v>
      </c>
      <c r="X93" s="65">
        <v>129</v>
      </c>
      <c r="Y93" s="65">
        <v>130.6</v>
      </c>
      <c r="Z93" s="65">
        <v>131.1</v>
      </c>
      <c r="AA93" s="65">
        <v>130.69999999999999</v>
      </c>
      <c r="AB93" s="65">
        <v>130.6</v>
      </c>
      <c r="AC93" s="65">
        <v>130.6</v>
      </c>
      <c r="AD93" s="65">
        <v>130.4</v>
      </c>
      <c r="AE93" s="65">
        <v>131.6</v>
      </c>
      <c r="AF93" s="65">
        <v>131.4</v>
      </c>
      <c r="AG93" s="92"/>
      <c r="AH93" s="48">
        <f t="shared" si="10"/>
        <v>133.5</v>
      </c>
      <c r="AI93" s="49">
        <f t="shared" si="11"/>
        <v>127.8</v>
      </c>
    </row>
    <row r="94" spans="1:37" x14ac:dyDescent="0.25">
      <c r="A94" s="91" t="s">
        <v>99</v>
      </c>
      <c r="B94" s="65">
        <v>133.30000000000001</v>
      </c>
      <c r="C94" s="65">
        <v>133.30000000000001</v>
      </c>
      <c r="D94" s="65">
        <v>134</v>
      </c>
      <c r="E94" s="65">
        <v>133.5</v>
      </c>
      <c r="F94" s="65">
        <v>132.1</v>
      </c>
      <c r="G94" s="65">
        <v>132.1</v>
      </c>
      <c r="H94" s="65">
        <v>130.6</v>
      </c>
      <c r="I94" s="65">
        <v>130.19999999999999</v>
      </c>
      <c r="J94" s="65">
        <v>130.19999999999999</v>
      </c>
      <c r="K94" s="65">
        <v>130.19999999999999</v>
      </c>
      <c r="L94" s="65">
        <v>127.8</v>
      </c>
      <c r="M94" s="65">
        <v>130.19999999999999</v>
      </c>
      <c r="N94" s="65">
        <v>127.8</v>
      </c>
      <c r="O94" s="65">
        <v>129.4</v>
      </c>
      <c r="P94" s="65">
        <v>129.4</v>
      </c>
      <c r="Q94" s="65">
        <v>129.80000000000001</v>
      </c>
      <c r="R94" s="65">
        <v>131.1</v>
      </c>
      <c r="S94" s="65">
        <v>129.5</v>
      </c>
      <c r="T94" s="65">
        <v>128.69999999999999</v>
      </c>
      <c r="U94" s="65">
        <v>128.19999999999999</v>
      </c>
      <c r="V94" s="65">
        <v>128.80000000000001</v>
      </c>
      <c r="W94" s="65">
        <v>127</v>
      </c>
      <c r="X94" s="65">
        <v>127</v>
      </c>
      <c r="Y94" s="65">
        <v>130.80000000000001</v>
      </c>
      <c r="Z94" s="65">
        <v>131.4</v>
      </c>
      <c r="AA94" s="65">
        <v>131.80000000000001</v>
      </c>
      <c r="AB94" s="65">
        <v>132.1</v>
      </c>
      <c r="AC94" s="65">
        <v>132.1</v>
      </c>
      <c r="AD94" s="65">
        <v>130.80000000000001</v>
      </c>
      <c r="AE94" s="65">
        <v>131</v>
      </c>
      <c r="AF94" s="65">
        <v>130</v>
      </c>
      <c r="AG94" s="92"/>
      <c r="AH94" s="48">
        <f t="shared" si="10"/>
        <v>134</v>
      </c>
      <c r="AI94" s="49">
        <f t="shared" si="11"/>
        <v>127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10"/>
        <v>0</v>
      </c>
      <c r="AI95" s="49">
        <f t="shared" si="11"/>
        <v>0</v>
      </c>
    </row>
    <row r="96" spans="1:37" x14ac:dyDescent="0.25">
      <c r="A96" s="93" t="s">
        <v>101</v>
      </c>
      <c r="B96" s="94">
        <v>132.5</v>
      </c>
      <c r="C96" s="94">
        <v>132.5</v>
      </c>
      <c r="D96" s="94">
        <v>135</v>
      </c>
      <c r="E96" s="94">
        <v>134.5</v>
      </c>
      <c r="F96" s="94">
        <v>134.6</v>
      </c>
      <c r="G96" s="94">
        <v>134.6</v>
      </c>
      <c r="H96" s="94">
        <v>133.4</v>
      </c>
      <c r="I96" s="94">
        <v>133.1</v>
      </c>
      <c r="J96" s="94">
        <v>133.1</v>
      </c>
      <c r="K96" s="94">
        <v>133.1</v>
      </c>
      <c r="L96" s="94">
        <v>130.4</v>
      </c>
      <c r="M96" s="94">
        <v>132</v>
      </c>
      <c r="N96" s="94">
        <v>132.5</v>
      </c>
      <c r="O96" s="94">
        <v>135.1</v>
      </c>
      <c r="P96" s="94">
        <v>132.30000000000001</v>
      </c>
      <c r="Q96" s="94">
        <v>135</v>
      </c>
      <c r="R96" s="94">
        <v>133</v>
      </c>
      <c r="S96" s="94">
        <v>133.30000000000001</v>
      </c>
      <c r="T96" s="94">
        <v>132.69999999999999</v>
      </c>
      <c r="U96" s="94">
        <v>131.4</v>
      </c>
      <c r="V96" s="94">
        <v>132.9</v>
      </c>
      <c r="W96" s="94">
        <v>130.30000000000001</v>
      </c>
      <c r="X96" s="94">
        <v>130.30000000000001</v>
      </c>
      <c r="Y96" s="94">
        <v>135.30000000000001</v>
      </c>
      <c r="Z96" s="94">
        <v>134.4</v>
      </c>
      <c r="AA96" s="94">
        <v>132.4</v>
      </c>
      <c r="AB96" s="94">
        <v>134.6</v>
      </c>
      <c r="AC96" s="94">
        <v>133.5</v>
      </c>
      <c r="AD96" s="94">
        <v>133.5</v>
      </c>
      <c r="AE96" s="94">
        <v>134.80000000000001</v>
      </c>
      <c r="AF96" s="94">
        <v>133.30000000000001</v>
      </c>
      <c r="AG96" s="95"/>
      <c r="AH96" s="48">
        <f t="shared" si="10"/>
        <v>135.30000000000001</v>
      </c>
      <c r="AI96" s="49">
        <f t="shared" si="11"/>
        <v>130.30000000000001</v>
      </c>
    </row>
    <row r="97" spans="1:37" x14ac:dyDescent="0.25">
      <c r="A97" s="91" t="s">
        <v>102</v>
      </c>
      <c r="B97" s="65">
        <v>132</v>
      </c>
      <c r="C97" s="65">
        <v>132</v>
      </c>
      <c r="D97" s="65">
        <v>134</v>
      </c>
      <c r="E97" s="65">
        <v>134.1</v>
      </c>
      <c r="F97" s="65">
        <v>134.9</v>
      </c>
      <c r="G97" s="65">
        <v>134.9</v>
      </c>
      <c r="H97" s="65">
        <v>131</v>
      </c>
      <c r="I97" s="65">
        <v>131.69999999999999</v>
      </c>
      <c r="J97" s="65">
        <v>131.69999999999999</v>
      </c>
      <c r="K97" s="65">
        <v>131.69999999999999</v>
      </c>
      <c r="L97" s="65">
        <v>127.6</v>
      </c>
      <c r="M97" s="65">
        <v>126.6</v>
      </c>
      <c r="N97" s="65">
        <v>129</v>
      </c>
      <c r="O97" s="65">
        <v>132.30000000000001</v>
      </c>
      <c r="P97" s="65">
        <v>129.6</v>
      </c>
      <c r="Q97" s="65">
        <v>132.30000000000001</v>
      </c>
      <c r="R97" s="65">
        <v>133</v>
      </c>
      <c r="S97" s="65">
        <v>132.1</v>
      </c>
      <c r="T97" s="65">
        <v>131.30000000000001</v>
      </c>
      <c r="U97" s="65">
        <v>129.80000000000001</v>
      </c>
      <c r="V97" s="65">
        <v>131.19999999999999</v>
      </c>
      <c r="W97" s="65">
        <v>129.1</v>
      </c>
      <c r="X97" s="65">
        <v>129.1</v>
      </c>
      <c r="Y97" s="65">
        <v>135.5</v>
      </c>
      <c r="Z97" s="65">
        <v>133.5</v>
      </c>
      <c r="AA97" s="65">
        <v>132.9</v>
      </c>
      <c r="AB97" s="65">
        <v>135.69999999999999</v>
      </c>
      <c r="AC97" s="65">
        <v>133.30000000000001</v>
      </c>
      <c r="AD97" s="65">
        <v>133.80000000000001</v>
      </c>
      <c r="AE97" s="65">
        <v>136</v>
      </c>
      <c r="AF97" s="65">
        <v>134.1</v>
      </c>
      <c r="AG97" s="92"/>
      <c r="AH97" s="48">
        <f t="shared" si="10"/>
        <v>136</v>
      </c>
      <c r="AI97" s="49">
        <f t="shared" si="11"/>
        <v>126.6</v>
      </c>
    </row>
    <row r="98" spans="1:37" ht="15.75" thickBot="1" x14ac:dyDescent="0.3">
      <c r="A98" s="91" t="s">
        <v>104</v>
      </c>
      <c r="B98" s="96">
        <v>66.400000000000006</v>
      </c>
      <c r="C98" s="96">
        <v>66.400000000000006</v>
      </c>
      <c r="D98" s="96">
        <v>67</v>
      </c>
      <c r="E98" s="96">
        <v>66.7</v>
      </c>
      <c r="F98" s="96">
        <v>66.099999999999994</v>
      </c>
      <c r="G98" s="96">
        <v>66.099999999999994</v>
      </c>
      <c r="H98" s="96">
        <v>65.3</v>
      </c>
      <c r="I98" s="96">
        <v>65.099999999999994</v>
      </c>
      <c r="J98" s="96">
        <v>65.099999999999994</v>
      </c>
      <c r="K98" s="96">
        <v>65.099999999999994</v>
      </c>
      <c r="L98" s="96">
        <v>64.5</v>
      </c>
      <c r="M98" s="96">
        <v>64.3</v>
      </c>
      <c r="N98" s="96">
        <v>64.099999999999994</v>
      </c>
      <c r="O98" s="96">
        <v>64.7</v>
      </c>
      <c r="P98" s="96">
        <v>64.5</v>
      </c>
      <c r="Q98" s="96">
        <v>64.400000000000006</v>
      </c>
      <c r="R98" s="96">
        <v>64.2</v>
      </c>
      <c r="S98" s="96">
        <v>64.3</v>
      </c>
      <c r="T98" s="96">
        <v>64</v>
      </c>
      <c r="U98" s="96">
        <v>64.7</v>
      </c>
      <c r="V98" s="96">
        <v>65.099999999999994</v>
      </c>
      <c r="W98" s="96">
        <v>64.599999999999994</v>
      </c>
      <c r="X98" s="96">
        <v>64.599999999999994</v>
      </c>
      <c r="Y98" s="96">
        <v>65.5</v>
      </c>
      <c r="Z98" s="96">
        <v>65.900000000000006</v>
      </c>
      <c r="AA98" s="96">
        <v>65.5</v>
      </c>
      <c r="AB98" s="96">
        <v>65.599999999999994</v>
      </c>
      <c r="AC98" s="96">
        <v>65.599999999999994</v>
      </c>
      <c r="AD98" s="96">
        <v>65.7</v>
      </c>
      <c r="AE98" s="96">
        <v>66.3</v>
      </c>
      <c r="AF98" s="96">
        <v>66.2</v>
      </c>
      <c r="AG98" s="97"/>
      <c r="AH98" s="48">
        <f t="shared" si="10"/>
        <v>67</v>
      </c>
      <c r="AI98" s="49">
        <f t="shared" si="11"/>
        <v>64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10"/>
        <v>0</v>
      </c>
      <c r="AI99" s="49">
        <f t="shared" si="11"/>
        <v>0</v>
      </c>
    </row>
    <row r="100" spans="1:37" ht="15.75" thickBot="1" x14ac:dyDescent="0.3">
      <c r="A100" s="99" t="s">
        <v>105</v>
      </c>
      <c r="B100" s="100">
        <f t="shared" ref="B100:AF100" si="22">SUM(B15,B20,B22:B23,B48,B50:B51,B53,B55,B101:B105,B127,B133,B139,B148,B150,B162,B169,B172:B173,B180,B182,B184,B188:B190,B192:B194,B199,B205:B206,B208:B210,B218,B223)</f>
        <v>29.599999999999994</v>
      </c>
      <c r="C100" s="100">
        <f t="shared" si="22"/>
        <v>13.13999999999999</v>
      </c>
      <c r="D100" s="100">
        <f t="shared" si="22"/>
        <v>14.13999999999999</v>
      </c>
      <c r="E100" s="100">
        <f t="shared" si="22"/>
        <v>10.739999999999998</v>
      </c>
      <c r="F100" s="100">
        <f t="shared" si="22"/>
        <v>13.940000000000001</v>
      </c>
      <c r="G100" s="100">
        <f t="shared" si="22"/>
        <v>28.94</v>
      </c>
      <c r="H100" s="100">
        <f t="shared" si="22"/>
        <v>45.539999999999992</v>
      </c>
      <c r="I100" s="100">
        <f t="shared" si="22"/>
        <v>78.639999999999986</v>
      </c>
      <c r="J100" s="100">
        <f t="shared" si="22"/>
        <v>78.639999999999986</v>
      </c>
      <c r="K100" s="100">
        <f t="shared" si="22"/>
        <v>78.639999999999986</v>
      </c>
      <c r="L100" s="100">
        <f t="shared" si="22"/>
        <v>166.53999999999994</v>
      </c>
      <c r="M100" s="100">
        <f t="shared" si="22"/>
        <v>226.54</v>
      </c>
      <c r="N100" s="100">
        <f t="shared" si="22"/>
        <v>227.24000000000004</v>
      </c>
      <c r="O100" s="100">
        <f t="shared" si="22"/>
        <v>220.24</v>
      </c>
      <c r="P100" s="100">
        <f t="shared" si="22"/>
        <v>195.53999999999996</v>
      </c>
      <c r="Q100" s="100">
        <f t="shared" si="22"/>
        <v>173.09999999999997</v>
      </c>
      <c r="R100" s="100">
        <f t="shared" si="22"/>
        <v>160.9</v>
      </c>
      <c r="S100" s="100">
        <f t="shared" si="22"/>
        <v>158.19999999999996</v>
      </c>
      <c r="T100" s="100">
        <f t="shared" si="22"/>
        <v>163.29999999999998</v>
      </c>
      <c r="U100" s="100">
        <f t="shared" si="22"/>
        <v>179.49999999999997</v>
      </c>
      <c r="V100" s="100">
        <f t="shared" si="22"/>
        <v>187.9</v>
      </c>
      <c r="W100" s="100">
        <f t="shared" si="22"/>
        <v>274.2</v>
      </c>
      <c r="X100" s="100">
        <f t="shared" si="22"/>
        <v>274.2</v>
      </c>
      <c r="Y100" s="100">
        <f t="shared" si="22"/>
        <v>267.39999999999992</v>
      </c>
      <c r="Z100" s="100">
        <f t="shared" si="22"/>
        <v>252.1</v>
      </c>
      <c r="AA100" s="100">
        <f t="shared" si="22"/>
        <v>236.20000000000002</v>
      </c>
      <c r="AB100" s="100">
        <f t="shared" si="22"/>
        <v>211.7</v>
      </c>
      <c r="AC100" s="100">
        <f t="shared" si="22"/>
        <v>191.6</v>
      </c>
      <c r="AD100" s="100">
        <f t="shared" si="22"/>
        <v>150.20000000000002</v>
      </c>
      <c r="AE100" s="100">
        <f t="shared" si="22"/>
        <v>100.1</v>
      </c>
      <c r="AF100" s="100">
        <f t="shared" si="22"/>
        <v>77.200000000000031</v>
      </c>
      <c r="AG100" s="101"/>
      <c r="AH100" s="48">
        <f t="shared" si="10"/>
        <v>274.2</v>
      </c>
      <c r="AI100" s="49">
        <f t="shared" si="11"/>
        <v>10.739999999999998</v>
      </c>
    </row>
    <row r="101" spans="1:37" x14ac:dyDescent="0.25">
      <c r="A101" s="88" t="s">
        <v>106</v>
      </c>
      <c r="B101" s="102">
        <v>28</v>
      </c>
      <c r="C101" s="102">
        <v>28</v>
      </c>
      <c r="D101" s="102">
        <v>26</v>
      </c>
      <c r="E101" s="102">
        <v>23.9</v>
      </c>
      <c r="F101" s="102">
        <v>27.2</v>
      </c>
      <c r="G101" s="102">
        <v>27.2</v>
      </c>
      <c r="H101" s="102">
        <v>37.799999999999997</v>
      </c>
      <c r="I101" s="102">
        <v>40.1</v>
      </c>
      <c r="J101" s="102">
        <v>40.1</v>
      </c>
      <c r="K101" s="102">
        <v>40.1</v>
      </c>
      <c r="L101" s="102">
        <v>57</v>
      </c>
      <c r="M101" s="102">
        <v>59.2</v>
      </c>
      <c r="N101" s="102">
        <v>61.2</v>
      </c>
      <c r="O101" s="102">
        <v>56.1</v>
      </c>
      <c r="P101" s="102">
        <v>54.3</v>
      </c>
      <c r="Q101" s="102">
        <v>54.5</v>
      </c>
      <c r="R101" s="102">
        <v>53.4</v>
      </c>
      <c r="S101" s="102">
        <v>50.5</v>
      </c>
      <c r="T101" s="102">
        <v>52.5</v>
      </c>
      <c r="U101" s="102">
        <v>52.1</v>
      </c>
      <c r="V101" s="102">
        <v>53.1</v>
      </c>
      <c r="W101" s="102">
        <v>44.8</v>
      </c>
      <c r="X101" s="102">
        <v>44.8</v>
      </c>
      <c r="Y101" s="102">
        <v>51.3</v>
      </c>
      <c r="Z101" s="102">
        <v>54.5</v>
      </c>
      <c r="AA101" s="102">
        <v>57.7</v>
      </c>
      <c r="AB101" s="102">
        <v>62.6</v>
      </c>
      <c r="AC101" s="102">
        <v>64.3</v>
      </c>
      <c r="AD101" s="102">
        <v>60.6</v>
      </c>
      <c r="AE101" s="102">
        <v>51.9</v>
      </c>
      <c r="AF101" s="102">
        <v>46.5</v>
      </c>
      <c r="AG101" s="103">
        <v>75</v>
      </c>
      <c r="AH101" s="48">
        <f t="shared" si="10"/>
        <v>64.3</v>
      </c>
      <c r="AI101" s="49">
        <f t="shared" si="11"/>
        <v>23.9</v>
      </c>
    </row>
    <row r="102" spans="1:37" x14ac:dyDescent="0.25">
      <c r="A102" s="91" t="s">
        <v>107</v>
      </c>
      <c r="B102" s="104">
        <v>48</v>
      </c>
      <c r="C102" s="104">
        <v>48</v>
      </c>
      <c r="D102" s="104">
        <v>45</v>
      </c>
      <c r="E102" s="104">
        <v>41.8</v>
      </c>
      <c r="F102" s="104">
        <v>44.1</v>
      </c>
      <c r="G102" s="104">
        <v>44.1</v>
      </c>
      <c r="H102" s="104">
        <v>58.7</v>
      </c>
      <c r="I102" s="104">
        <v>62.7</v>
      </c>
      <c r="J102" s="104">
        <v>62.7</v>
      </c>
      <c r="K102" s="104">
        <v>62.7</v>
      </c>
      <c r="L102" s="104">
        <v>87.6</v>
      </c>
      <c r="M102" s="104">
        <v>90.4</v>
      </c>
      <c r="N102" s="104">
        <v>93.6</v>
      </c>
      <c r="O102" s="104">
        <v>85.6</v>
      </c>
      <c r="P102" s="104">
        <v>84.2</v>
      </c>
      <c r="Q102" s="104">
        <v>84.9</v>
      </c>
      <c r="R102" s="104">
        <v>83.8</v>
      </c>
      <c r="S102" s="104">
        <v>80</v>
      </c>
      <c r="T102" s="104">
        <v>82.8</v>
      </c>
      <c r="U102" s="104">
        <v>81.900000000000006</v>
      </c>
      <c r="V102" s="104">
        <v>82.8</v>
      </c>
      <c r="W102" s="104">
        <v>64.3</v>
      </c>
      <c r="X102" s="104">
        <v>64.3</v>
      </c>
      <c r="Y102" s="104">
        <v>73.099999999999994</v>
      </c>
      <c r="Z102" s="104">
        <v>79</v>
      </c>
      <c r="AA102" s="104">
        <v>84</v>
      </c>
      <c r="AB102" s="104">
        <v>92.5</v>
      </c>
      <c r="AC102" s="104">
        <v>94.8</v>
      </c>
      <c r="AD102" s="104">
        <v>90.4</v>
      </c>
      <c r="AE102" s="104">
        <v>74.900000000000006</v>
      </c>
      <c r="AF102" s="104">
        <v>71.900000000000006</v>
      </c>
      <c r="AG102" s="103">
        <v>240</v>
      </c>
      <c r="AH102" s="48">
        <f t="shared" si="10"/>
        <v>94.8</v>
      </c>
      <c r="AI102" s="49">
        <f t="shared" si="11"/>
        <v>41.8</v>
      </c>
    </row>
    <row r="103" spans="1:37" x14ac:dyDescent="0.25">
      <c r="A103" s="91" t="s">
        <v>108</v>
      </c>
      <c r="B103" s="104">
        <v>-135</v>
      </c>
      <c r="C103" s="104">
        <v>-146</v>
      </c>
      <c r="D103" s="104">
        <v>-120</v>
      </c>
      <c r="E103" s="104">
        <f>-57.1-61</f>
        <v>-118.1</v>
      </c>
      <c r="F103" s="104">
        <f>-58.2-62.3</f>
        <v>-120.5</v>
      </c>
      <c r="G103" s="104">
        <f>-58.2-62.3</f>
        <v>-120.5</v>
      </c>
      <c r="H103" s="104">
        <f>-64.5-69.6</f>
        <v>-134.1</v>
      </c>
      <c r="I103" s="104">
        <f>-66.4-70.9</f>
        <v>-137.30000000000001</v>
      </c>
      <c r="J103" s="104">
        <f>-66.4-70.9</f>
        <v>-137.30000000000001</v>
      </c>
      <c r="K103" s="104">
        <f>-66.4-70.9</f>
        <v>-137.30000000000001</v>
      </c>
      <c r="L103" s="104">
        <f>-50.4-49.9</f>
        <v>-100.3</v>
      </c>
      <c r="M103" s="104">
        <v>-88</v>
      </c>
      <c r="N103" s="104">
        <v>-91.6</v>
      </c>
      <c r="O103" s="104">
        <v>-86</v>
      </c>
      <c r="P103" s="104">
        <v>-104</v>
      </c>
      <c r="Q103" s="104">
        <v>-127</v>
      </c>
      <c r="R103" s="104">
        <v>-130.30000000000001</v>
      </c>
      <c r="S103" s="104">
        <f>-60.2-65.1</f>
        <v>-125.3</v>
      </c>
      <c r="T103" s="104">
        <f>-63-68</f>
        <v>-131</v>
      </c>
      <c r="U103" s="104">
        <f>-55-59</f>
        <v>-114</v>
      </c>
      <c r="V103" s="104">
        <f>-49.3-52.6</f>
        <v>-101.9</v>
      </c>
      <c r="W103" s="104">
        <f>-1.2-3.2</f>
        <v>-4.4000000000000004</v>
      </c>
      <c r="X103" s="104">
        <f>-1.2-3.2</f>
        <v>-4.4000000000000004</v>
      </c>
      <c r="Y103" s="104">
        <f>-12.1-13.2</f>
        <v>-25.299999999999997</v>
      </c>
      <c r="Z103" s="104">
        <f>-22.1-24.5</f>
        <v>-46.6</v>
      </c>
      <c r="AA103" s="104">
        <f>-33-35</f>
        <v>-68</v>
      </c>
      <c r="AB103" s="104">
        <v>-100</v>
      </c>
      <c r="AC103" s="104">
        <v>-121</v>
      </c>
      <c r="AD103" s="104">
        <v>-140</v>
      </c>
      <c r="AE103" s="104">
        <f>-73.6-77.2</f>
        <v>-150.80000000000001</v>
      </c>
      <c r="AF103" s="104">
        <f>-69.3-73.1</f>
        <v>-142.39999999999998</v>
      </c>
      <c r="AG103" s="103">
        <v>240</v>
      </c>
      <c r="AH103" s="48">
        <f t="shared" si="10"/>
        <v>-4.4000000000000004</v>
      </c>
      <c r="AI103" s="49">
        <f t="shared" si="11"/>
        <v>-150.80000000000001</v>
      </c>
    </row>
    <row r="104" spans="1:37" x14ac:dyDescent="0.25">
      <c r="A104" s="91" t="s">
        <v>109</v>
      </c>
      <c r="B104" s="104">
        <v>0</v>
      </c>
      <c r="C104" s="104">
        <v>0</v>
      </c>
      <c r="D104" s="104">
        <v>0</v>
      </c>
      <c r="E104" s="104">
        <v>0</v>
      </c>
      <c r="F104" s="104">
        <v>0</v>
      </c>
      <c r="G104" s="104">
        <v>0</v>
      </c>
      <c r="H104" s="104">
        <v>0</v>
      </c>
      <c r="I104" s="104">
        <v>0</v>
      </c>
      <c r="J104" s="104">
        <v>0</v>
      </c>
      <c r="K104" s="104">
        <v>0</v>
      </c>
      <c r="L104" s="104">
        <v>9.1</v>
      </c>
      <c r="M104" s="104">
        <v>7.1</v>
      </c>
      <c r="N104" s="104">
        <v>6.7</v>
      </c>
      <c r="O104" s="104">
        <v>7.2</v>
      </c>
      <c r="P104" s="104">
        <v>4.7</v>
      </c>
      <c r="Q104" s="104">
        <v>5.2</v>
      </c>
      <c r="R104" s="104">
        <v>2.6</v>
      </c>
      <c r="S104" s="104">
        <v>1.6</v>
      </c>
      <c r="T104" s="104">
        <v>1.6</v>
      </c>
      <c r="U104" s="104">
        <v>2.1</v>
      </c>
      <c r="V104" s="104">
        <v>6.5</v>
      </c>
      <c r="W104" s="104">
        <v>22.1</v>
      </c>
      <c r="X104" s="104">
        <v>22.1</v>
      </c>
      <c r="Y104" s="104">
        <v>20.9</v>
      </c>
      <c r="Z104" s="104">
        <v>17.8</v>
      </c>
      <c r="AA104" s="104">
        <v>15.1</v>
      </c>
      <c r="AB104" s="104">
        <v>11.5</v>
      </c>
      <c r="AC104" s="104">
        <v>8.4</v>
      </c>
      <c r="AD104" s="104">
        <v>1.9</v>
      </c>
      <c r="AE104" s="104">
        <v>-2.1</v>
      </c>
      <c r="AF104" s="104">
        <v>-6.7</v>
      </c>
      <c r="AG104" s="103">
        <v>60</v>
      </c>
      <c r="AH104" s="48">
        <f t="shared" si="10"/>
        <v>22.1</v>
      </c>
      <c r="AI104" s="49">
        <f t="shared" si="11"/>
        <v>-6.7</v>
      </c>
    </row>
    <row r="105" spans="1:37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10"/>
        <v>0</v>
      </c>
      <c r="AI105" s="49">
        <f t="shared" si="11"/>
        <v>0</v>
      </c>
    </row>
    <row r="106" spans="1:37" x14ac:dyDescent="0.25">
      <c r="A106" s="105" t="s">
        <v>111</v>
      </c>
      <c r="B106" s="106">
        <v>-54</v>
      </c>
      <c r="C106" s="106">
        <v>-66</v>
      </c>
      <c r="D106" s="106">
        <v>53</v>
      </c>
      <c r="E106" s="106">
        <v>-44.2</v>
      </c>
      <c r="F106" s="106">
        <v>-49.7</v>
      </c>
      <c r="G106" s="106">
        <v>-49.7</v>
      </c>
      <c r="H106" s="106">
        <v>-54</v>
      </c>
      <c r="I106" s="106">
        <v>-57.1</v>
      </c>
      <c r="J106" s="106">
        <v>-57.1</v>
      </c>
      <c r="K106" s="106">
        <v>-57.1</v>
      </c>
      <c r="L106" s="106">
        <v>-57.1</v>
      </c>
      <c r="M106" s="106">
        <v>-16.5</v>
      </c>
      <c r="N106" s="106">
        <v>-19.600000000000001</v>
      </c>
      <c r="O106" s="106">
        <v>-15.3</v>
      </c>
      <c r="P106" s="106">
        <v>-2.5</v>
      </c>
      <c r="Q106" s="106">
        <v>-42</v>
      </c>
      <c r="R106" s="106">
        <v>-44.5</v>
      </c>
      <c r="S106" s="106">
        <v>-37.799999999999997</v>
      </c>
      <c r="T106" s="106">
        <v>-36.200000000000003</v>
      </c>
      <c r="U106" s="106">
        <v>-28</v>
      </c>
      <c r="V106" s="106">
        <v>-21</v>
      </c>
      <c r="W106" s="106">
        <v>60.2</v>
      </c>
      <c r="X106" s="106">
        <v>60.2</v>
      </c>
      <c r="Y106" s="106">
        <v>40.299999999999997</v>
      </c>
      <c r="Z106" s="106">
        <v>22.9</v>
      </c>
      <c r="AA106" s="106">
        <v>0</v>
      </c>
      <c r="AB106" s="106">
        <v>-31.9</v>
      </c>
      <c r="AC106" s="106">
        <v>-48.9</v>
      </c>
      <c r="AD106" s="106">
        <v>-60.3</v>
      </c>
      <c r="AE106" s="106">
        <v>-34.700000000000003</v>
      </c>
      <c r="AF106" s="106">
        <v>-48.8</v>
      </c>
      <c r="AG106" s="107"/>
      <c r="AH106" s="48">
        <f t="shared" si="10"/>
        <v>60.2</v>
      </c>
      <c r="AI106" s="49">
        <f t="shared" si="11"/>
        <v>-66</v>
      </c>
    </row>
    <row r="107" spans="1:37" x14ac:dyDescent="0.25">
      <c r="A107" s="105" t="s">
        <v>112</v>
      </c>
      <c r="B107" s="106">
        <v>9</v>
      </c>
      <c r="C107" s="106">
        <v>3</v>
      </c>
      <c r="D107" s="106">
        <v>13</v>
      </c>
      <c r="E107" s="106">
        <v>-14.2</v>
      </c>
      <c r="F107" s="106">
        <v>-1.1000000000000001</v>
      </c>
      <c r="G107" s="106">
        <v>-1.1000000000000001</v>
      </c>
      <c r="H107" s="106">
        <v>1.7</v>
      </c>
      <c r="I107" s="106">
        <v>-5.2</v>
      </c>
      <c r="J107" s="106">
        <v>-5.2</v>
      </c>
      <c r="K107" s="106">
        <v>-5.2</v>
      </c>
      <c r="L107" s="106">
        <v>-5.2</v>
      </c>
      <c r="M107" s="106">
        <v>-3.6</v>
      </c>
      <c r="N107" s="106">
        <v>-13</v>
      </c>
      <c r="O107" s="106">
        <v>2.2000000000000002</v>
      </c>
      <c r="P107" s="106">
        <v>-2.5</v>
      </c>
      <c r="Q107" s="106">
        <v>0.1</v>
      </c>
      <c r="R107" s="106">
        <v>-4.4000000000000004</v>
      </c>
      <c r="S107" s="106">
        <v>-4.0999999999999996</v>
      </c>
      <c r="T107" s="106">
        <v>-5.2</v>
      </c>
      <c r="U107" s="106">
        <v>4.4000000000000004</v>
      </c>
      <c r="V107" s="106">
        <v>2.6</v>
      </c>
      <c r="W107" s="106">
        <v>39.200000000000003</v>
      </c>
      <c r="X107" s="106">
        <v>39.200000000000003</v>
      </c>
      <c r="Y107" s="106">
        <v>24</v>
      </c>
      <c r="Z107" s="106">
        <v>19</v>
      </c>
      <c r="AA107" s="106">
        <v>4.3</v>
      </c>
      <c r="AB107" s="106">
        <v>-6.3</v>
      </c>
      <c r="AC107" s="106">
        <v>12</v>
      </c>
      <c r="AD107" s="106">
        <v>16.8</v>
      </c>
      <c r="AE107" s="106">
        <v>-15.2</v>
      </c>
      <c r="AF107" s="106">
        <v>-24.2</v>
      </c>
      <c r="AG107" s="108"/>
      <c r="AH107" s="48">
        <f t="shared" si="10"/>
        <v>39.200000000000003</v>
      </c>
      <c r="AI107" s="49">
        <f t="shared" si="11"/>
        <v>-24.2</v>
      </c>
    </row>
    <row r="108" spans="1:37" x14ac:dyDescent="0.25">
      <c r="A108" s="109" t="s">
        <v>113</v>
      </c>
      <c r="B108" s="94">
        <v>74</v>
      </c>
      <c r="C108" s="94">
        <v>75</v>
      </c>
      <c r="D108" s="94">
        <v>79</v>
      </c>
      <c r="E108" s="94">
        <v>79</v>
      </c>
      <c r="F108" s="94">
        <v>75.5</v>
      </c>
      <c r="G108" s="94">
        <v>75.5</v>
      </c>
      <c r="H108" s="94">
        <v>66.7</v>
      </c>
      <c r="I108" s="94">
        <v>66.900000000000006</v>
      </c>
      <c r="J108" s="94">
        <v>66.900000000000006</v>
      </c>
      <c r="K108" s="94">
        <v>66.900000000000006</v>
      </c>
      <c r="L108" s="94">
        <v>66.900000000000006</v>
      </c>
      <c r="M108" s="94">
        <v>59.5</v>
      </c>
      <c r="N108" s="94">
        <v>55.4</v>
      </c>
      <c r="O108" s="94">
        <v>59</v>
      </c>
      <c r="P108" s="94">
        <v>60.7</v>
      </c>
      <c r="Q108" s="94">
        <v>56</v>
      </c>
      <c r="R108" s="94">
        <v>60.2</v>
      </c>
      <c r="S108" s="94">
        <v>56.1</v>
      </c>
      <c r="T108" s="94">
        <v>60.8</v>
      </c>
      <c r="U108" s="94">
        <v>59</v>
      </c>
      <c r="V108" s="94">
        <v>46.2</v>
      </c>
      <c r="W108" s="94">
        <v>30.2</v>
      </c>
      <c r="X108" s="94">
        <v>30.2</v>
      </c>
      <c r="Y108" s="94">
        <v>37.200000000000003</v>
      </c>
      <c r="Z108" s="94">
        <v>44.7</v>
      </c>
      <c r="AA108" s="94">
        <v>47.5</v>
      </c>
      <c r="AB108" s="94">
        <v>54.7</v>
      </c>
      <c r="AC108" s="94">
        <v>58.1</v>
      </c>
      <c r="AD108" s="94">
        <v>61.4</v>
      </c>
      <c r="AE108" s="94">
        <v>59.3</v>
      </c>
      <c r="AF108" s="94">
        <v>64.900000000000006</v>
      </c>
      <c r="AG108" s="108"/>
      <c r="AH108" s="48">
        <f t="shared" si="10"/>
        <v>79</v>
      </c>
      <c r="AI108" s="49">
        <f t="shared" si="11"/>
        <v>30.2</v>
      </c>
    </row>
    <row r="109" spans="1:37" ht="15.75" thickBot="1" x14ac:dyDescent="0.3">
      <c r="A109" s="109" t="s">
        <v>114</v>
      </c>
      <c r="B109" s="94">
        <v>98</v>
      </c>
      <c r="C109" s="94">
        <v>105</v>
      </c>
      <c r="D109" s="94">
        <v>93</v>
      </c>
      <c r="E109" s="94">
        <v>89</v>
      </c>
      <c r="F109" s="94">
        <v>92</v>
      </c>
      <c r="G109" s="94">
        <v>97</v>
      </c>
      <c r="H109" s="94">
        <v>100</v>
      </c>
      <c r="I109" s="94">
        <v>100.7</v>
      </c>
      <c r="J109" s="94">
        <v>100.7</v>
      </c>
      <c r="K109" s="94">
        <v>100.7</v>
      </c>
      <c r="L109" s="94">
        <v>79.8</v>
      </c>
      <c r="M109" s="94">
        <v>68</v>
      </c>
      <c r="N109" s="94">
        <v>73.5</v>
      </c>
      <c r="O109" s="94">
        <v>69.400000000000006</v>
      </c>
      <c r="P109" s="94">
        <v>77</v>
      </c>
      <c r="Q109" s="94">
        <v>91</v>
      </c>
      <c r="R109" s="94">
        <v>96</v>
      </c>
      <c r="S109" s="94">
        <v>95</v>
      </c>
      <c r="T109" s="94">
        <v>100</v>
      </c>
      <c r="U109" s="94">
        <v>83</v>
      </c>
      <c r="V109" s="94">
        <v>75.599999999999994</v>
      </c>
      <c r="W109" s="94">
        <v>2.5</v>
      </c>
      <c r="X109" s="94">
        <v>2.5</v>
      </c>
      <c r="Y109" s="94">
        <v>24.2</v>
      </c>
      <c r="Z109" s="94">
        <v>36.299999999999997</v>
      </c>
      <c r="AA109" s="94">
        <v>57.3</v>
      </c>
      <c r="AB109" s="94">
        <v>81.3</v>
      </c>
      <c r="AC109" s="94">
        <v>97.7</v>
      </c>
      <c r="AD109" s="94">
        <v>109.7</v>
      </c>
      <c r="AE109" s="94">
        <v>111</v>
      </c>
      <c r="AF109" s="94">
        <v>107.2</v>
      </c>
      <c r="AG109" s="108"/>
      <c r="AH109" s="48">
        <f t="shared" si="10"/>
        <v>111</v>
      </c>
      <c r="AI109" s="49">
        <f t="shared" si="11"/>
        <v>2.5</v>
      </c>
    </row>
    <row r="110" spans="1:37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3">SUM(B111:B215)</f>
        <v>0</v>
      </c>
      <c r="C216" s="125">
        <f t="shared" si="23"/>
        <v>0</v>
      </c>
      <c r="D216" s="125">
        <f t="shared" si="23"/>
        <v>0</v>
      </c>
      <c r="E216" s="125">
        <f t="shared" si="23"/>
        <v>0</v>
      </c>
      <c r="F216" s="125">
        <f t="shared" si="23"/>
        <v>0</v>
      </c>
      <c r="G216" s="125">
        <f t="shared" si="23"/>
        <v>0</v>
      </c>
      <c r="H216" s="125">
        <f t="shared" si="23"/>
        <v>0</v>
      </c>
      <c r="I216" s="125">
        <f t="shared" si="23"/>
        <v>0</v>
      </c>
      <c r="J216" s="125">
        <f t="shared" si="23"/>
        <v>0</v>
      </c>
      <c r="K216" s="125">
        <f t="shared" si="23"/>
        <v>0</v>
      </c>
      <c r="L216" s="125">
        <f t="shared" si="23"/>
        <v>0</v>
      </c>
      <c r="M216" s="125">
        <f t="shared" si="23"/>
        <v>0</v>
      </c>
      <c r="N216" s="125">
        <f t="shared" si="23"/>
        <v>0</v>
      </c>
      <c r="O216" s="125">
        <f t="shared" si="23"/>
        <v>0</v>
      </c>
      <c r="P216" s="125">
        <f t="shared" si="23"/>
        <v>0</v>
      </c>
      <c r="Q216" s="125">
        <f t="shared" si="23"/>
        <v>0</v>
      </c>
      <c r="R216" s="125">
        <f t="shared" si="23"/>
        <v>0</v>
      </c>
      <c r="S216" s="125">
        <f t="shared" si="23"/>
        <v>0</v>
      </c>
      <c r="T216" s="125">
        <f t="shared" si="23"/>
        <v>0</v>
      </c>
      <c r="U216" s="125">
        <f t="shared" si="23"/>
        <v>0</v>
      </c>
      <c r="V216" s="125">
        <f t="shared" si="23"/>
        <v>0</v>
      </c>
      <c r="W216" s="125">
        <f t="shared" si="23"/>
        <v>0</v>
      </c>
      <c r="X216" s="125">
        <f t="shared" si="23"/>
        <v>0</v>
      </c>
      <c r="Y216" s="125">
        <f t="shared" si="23"/>
        <v>0</v>
      </c>
      <c r="Z216" s="125">
        <f t="shared" si="23"/>
        <v>0</v>
      </c>
      <c r="AA216" s="125">
        <f t="shared" si="23"/>
        <v>0</v>
      </c>
      <c r="AB216" s="125">
        <f t="shared" si="23"/>
        <v>0</v>
      </c>
      <c r="AC216" s="125">
        <f t="shared" si="23"/>
        <v>0</v>
      </c>
      <c r="AD216" s="125">
        <f t="shared" si="23"/>
        <v>0</v>
      </c>
      <c r="AE216" s="125">
        <f t="shared" si="23"/>
        <v>0</v>
      </c>
      <c r="AF216" s="126">
        <f t="shared" si="23"/>
        <v>0</v>
      </c>
      <c r="AG216" s="127">
        <f t="shared" si="23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4">AF218</f>
        <v>0</v>
      </c>
      <c r="C218" s="129">
        <v>0.3</v>
      </c>
      <c r="D218" s="129">
        <f t="shared" ref="D218:P223" si="25">C218</f>
        <v>0.3</v>
      </c>
      <c r="E218" s="129">
        <f t="shared" si="25"/>
        <v>0.3</v>
      </c>
      <c r="F218" s="129">
        <f t="shared" si="25"/>
        <v>0.3</v>
      </c>
      <c r="G218" s="129">
        <f t="shared" si="25"/>
        <v>0.3</v>
      </c>
      <c r="H218" s="129">
        <f t="shared" si="25"/>
        <v>0.3</v>
      </c>
      <c r="I218" s="129">
        <f t="shared" si="25"/>
        <v>0.3</v>
      </c>
      <c r="J218" s="129">
        <f t="shared" si="25"/>
        <v>0.3</v>
      </c>
      <c r="K218" s="129">
        <f t="shared" si="25"/>
        <v>0.3</v>
      </c>
      <c r="L218" s="129">
        <f t="shared" si="25"/>
        <v>0.3</v>
      </c>
      <c r="M218" s="129">
        <f t="shared" si="25"/>
        <v>0.3</v>
      </c>
      <c r="N218" s="129">
        <f t="shared" si="25"/>
        <v>0.3</v>
      </c>
      <c r="O218" s="129">
        <f t="shared" si="25"/>
        <v>0.3</v>
      </c>
      <c r="P218" s="129">
        <f t="shared" si="25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4"/>
        <v>0</v>
      </c>
      <c r="C219" s="117">
        <v>0.4</v>
      </c>
      <c r="D219" s="117">
        <f t="shared" si="25"/>
        <v>0.4</v>
      </c>
      <c r="E219" s="117">
        <f t="shared" si="25"/>
        <v>0.4</v>
      </c>
      <c r="F219" s="117">
        <f t="shared" si="25"/>
        <v>0.4</v>
      </c>
      <c r="G219" s="117">
        <f t="shared" si="25"/>
        <v>0.4</v>
      </c>
      <c r="H219" s="117">
        <f t="shared" si="25"/>
        <v>0.4</v>
      </c>
      <c r="I219" s="117">
        <f t="shared" si="25"/>
        <v>0.4</v>
      </c>
      <c r="J219" s="117">
        <f t="shared" si="25"/>
        <v>0.4</v>
      </c>
      <c r="K219" s="117">
        <f t="shared" si="25"/>
        <v>0.4</v>
      </c>
      <c r="L219" s="117">
        <f t="shared" si="25"/>
        <v>0.4</v>
      </c>
      <c r="M219" s="117">
        <f t="shared" si="25"/>
        <v>0.4</v>
      </c>
      <c r="N219" s="117">
        <f t="shared" si="25"/>
        <v>0.4</v>
      </c>
      <c r="O219" s="117">
        <f t="shared" si="25"/>
        <v>0.4</v>
      </c>
      <c r="P219" s="117">
        <f t="shared" si="25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4"/>
        <v>0</v>
      </c>
      <c r="C220" s="117">
        <v>1.5</v>
      </c>
      <c r="D220" s="117">
        <f t="shared" si="25"/>
        <v>1.5</v>
      </c>
      <c r="E220" s="117">
        <f t="shared" si="25"/>
        <v>1.5</v>
      </c>
      <c r="F220" s="117">
        <f t="shared" si="25"/>
        <v>1.5</v>
      </c>
      <c r="G220" s="117">
        <f t="shared" si="25"/>
        <v>1.5</v>
      </c>
      <c r="H220" s="117">
        <f t="shared" si="25"/>
        <v>1.5</v>
      </c>
      <c r="I220" s="117">
        <f t="shared" si="25"/>
        <v>1.5</v>
      </c>
      <c r="J220" s="117">
        <f t="shared" si="25"/>
        <v>1.5</v>
      </c>
      <c r="K220" s="117">
        <f t="shared" si="25"/>
        <v>1.5</v>
      </c>
      <c r="L220" s="117">
        <f t="shared" si="25"/>
        <v>1.5</v>
      </c>
      <c r="M220" s="117">
        <f t="shared" si="25"/>
        <v>1.5</v>
      </c>
      <c r="N220" s="117">
        <f t="shared" si="25"/>
        <v>1.5</v>
      </c>
      <c r="O220" s="117">
        <f t="shared" si="25"/>
        <v>1.5</v>
      </c>
      <c r="P220" s="117">
        <f t="shared" si="25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4"/>
        <v>0</v>
      </c>
      <c r="C221" s="117">
        <v>0.3</v>
      </c>
      <c r="D221" s="117">
        <f t="shared" si="25"/>
        <v>0.3</v>
      </c>
      <c r="E221" s="117">
        <f t="shared" si="25"/>
        <v>0.3</v>
      </c>
      <c r="F221" s="117">
        <f t="shared" si="25"/>
        <v>0.3</v>
      </c>
      <c r="G221" s="117">
        <f t="shared" si="25"/>
        <v>0.3</v>
      </c>
      <c r="H221" s="117">
        <f t="shared" si="25"/>
        <v>0.3</v>
      </c>
      <c r="I221" s="117">
        <f t="shared" si="25"/>
        <v>0.3</v>
      </c>
      <c r="J221" s="117">
        <f t="shared" si="25"/>
        <v>0.3</v>
      </c>
      <c r="K221" s="117">
        <f t="shared" si="25"/>
        <v>0.3</v>
      </c>
      <c r="L221" s="117">
        <f t="shared" si="25"/>
        <v>0.3</v>
      </c>
      <c r="M221" s="117">
        <f t="shared" si="25"/>
        <v>0.3</v>
      </c>
      <c r="N221" s="117">
        <f t="shared" si="25"/>
        <v>0.3</v>
      </c>
      <c r="O221" s="117">
        <f t="shared" si="25"/>
        <v>0.3</v>
      </c>
      <c r="P221" s="117">
        <f t="shared" si="25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4"/>
        <v>0</v>
      </c>
      <c r="C223" s="121">
        <v>0.64</v>
      </c>
      <c r="D223" s="121">
        <f t="shared" si="25"/>
        <v>0.64</v>
      </c>
      <c r="E223" s="121">
        <f t="shared" si="25"/>
        <v>0.64</v>
      </c>
      <c r="F223" s="121">
        <f t="shared" si="25"/>
        <v>0.64</v>
      </c>
      <c r="G223" s="121">
        <f t="shared" si="25"/>
        <v>0.64</v>
      </c>
      <c r="H223" s="121">
        <f t="shared" si="25"/>
        <v>0.64</v>
      </c>
      <c r="I223" s="121">
        <f t="shared" si="25"/>
        <v>0.64</v>
      </c>
      <c r="J223" s="121">
        <f t="shared" si="25"/>
        <v>0.64</v>
      </c>
      <c r="K223" s="121">
        <f t="shared" si="25"/>
        <v>0.64</v>
      </c>
      <c r="L223" s="121">
        <f t="shared" si="25"/>
        <v>0.64</v>
      </c>
      <c r="M223" s="121">
        <f t="shared" si="25"/>
        <v>0.64</v>
      </c>
      <c r="N223" s="121">
        <f t="shared" si="25"/>
        <v>0.64</v>
      </c>
      <c r="O223" s="121">
        <f t="shared" si="25"/>
        <v>0.64</v>
      </c>
      <c r="P223" s="121">
        <f t="shared" si="25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6">SUM(B218:B223)</f>
        <v>0</v>
      </c>
      <c r="C224" s="125">
        <f t="shared" si="26"/>
        <v>3.54</v>
      </c>
      <c r="D224" s="125">
        <f t="shared" si="26"/>
        <v>3.54</v>
      </c>
      <c r="E224" s="125">
        <f t="shared" si="26"/>
        <v>3.54</v>
      </c>
      <c r="F224" s="125">
        <f t="shared" si="26"/>
        <v>3.54</v>
      </c>
      <c r="G224" s="125">
        <f t="shared" si="26"/>
        <v>3.54</v>
      </c>
      <c r="H224" s="125">
        <f t="shared" si="26"/>
        <v>3.54</v>
      </c>
      <c r="I224" s="125">
        <f t="shared" si="26"/>
        <v>3.54</v>
      </c>
      <c r="J224" s="125">
        <f t="shared" si="26"/>
        <v>3.54</v>
      </c>
      <c r="K224" s="125">
        <f t="shared" si="26"/>
        <v>3.54</v>
      </c>
      <c r="L224" s="125">
        <f t="shared" si="26"/>
        <v>3.54</v>
      </c>
      <c r="M224" s="125">
        <f t="shared" si="26"/>
        <v>3.54</v>
      </c>
      <c r="N224" s="125">
        <f t="shared" si="26"/>
        <v>3.54</v>
      </c>
      <c r="O224" s="125">
        <f t="shared" si="26"/>
        <v>3.54</v>
      </c>
      <c r="P224" s="125">
        <f t="shared" si="26"/>
        <v>3.54</v>
      </c>
      <c r="Q224" s="125">
        <f t="shared" si="26"/>
        <v>0</v>
      </c>
      <c r="R224" s="125">
        <f t="shared" si="26"/>
        <v>0</v>
      </c>
      <c r="S224" s="125">
        <f t="shared" si="26"/>
        <v>0</v>
      </c>
      <c r="T224" s="125">
        <f t="shared" si="26"/>
        <v>0</v>
      </c>
      <c r="U224" s="125">
        <f t="shared" si="26"/>
        <v>0</v>
      </c>
      <c r="V224" s="125">
        <f t="shared" si="26"/>
        <v>0</v>
      </c>
      <c r="W224" s="125">
        <f t="shared" si="26"/>
        <v>0</v>
      </c>
      <c r="X224" s="125">
        <f t="shared" si="26"/>
        <v>0</v>
      </c>
      <c r="Y224" s="125">
        <f t="shared" si="26"/>
        <v>0</v>
      </c>
      <c r="Z224" s="125">
        <f t="shared" si="26"/>
        <v>0</v>
      </c>
      <c r="AA224" s="125">
        <f t="shared" si="26"/>
        <v>0</v>
      </c>
      <c r="AB224" s="125">
        <f t="shared" si="26"/>
        <v>0</v>
      </c>
      <c r="AC224" s="125">
        <f t="shared" si="26"/>
        <v>0</v>
      </c>
      <c r="AD224" s="125">
        <f t="shared" si="26"/>
        <v>0</v>
      </c>
      <c r="AE224" s="125">
        <f t="shared" si="26"/>
        <v>0</v>
      </c>
      <c r="AF224" s="125">
        <f t="shared" si="26"/>
        <v>0</v>
      </c>
      <c r="AG224" s="134">
        <f t="shared" si="26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1408.44</v>
      </c>
      <c r="C233" s="150">
        <f>INDEX(G9:N9,1,MATCH(MAX(G81:N81),G81:N81,0))</f>
        <v>0.375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5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2079/08/5)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2079/08/5)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7">B81</f>
        <v>1084.2400000000002</v>
      </c>
      <c r="U238" s="159">
        <f t="shared" si="27"/>
        <v>1047.04</v>
      </c>
      <c r="V238" s="159">
        <f t="shared" si="27"/>
        <v>1013.0400000000001</v>
      </c>
      <c r="W238" s="159">
        <f t="shared" si="27"/>
        <v>1012.84</v>
      </c>
      <c r="X238" s="159">
        <f t="shared" si="27"/>
        <v>1012.84</v>
      </c>
      <c r="Y238" s="159">
        <f t="shared" si="27"/>
        <v>1038.04</v>
      </c>
      <c r="Z238" s="159">
        <f t="shared" si="27"/>
        <v>1068.3400000000001</v>
      </c>
      <c r="AA238" s="159">
        <f t="shared" si="27"/>
        <v>1126.3400000000001</v>
      </c>
      <c r="AB238" s="159">
        <f t="shared" si="27"/>
        <v>1227.44</v>
      </c>
      <c r="AC238" s="159">
        <f t="shared" si="27"/>
        <v>1237.44</v>
      </c>
      <c r="AD238" s="159">
        <f t="shared" si="27"/>
        <v>1259.44</v>
      </c>
      <c r="AE238" s="159">
        <f t="shared" si="27"/>
        <v>1364.0400000000002</v>
      </c>
      <c r="AF238" s="159">
        <f t="shared" si="27"/>
        <v>1408.44</v>
      </c>
      <c r="AG238" s="159">
        <f t="shared" si="27"/>
        <v>1428.04</v>
      </c>
      <c r="AH238" s="159">
        <f t="shared" si="27"/>
        <v>1367.54</v>
      </c>
      <c r="AI238" s="159">
        <f t="shared" si="27"/>
        <v>1322.14</v>
      </c>
      <c r="AJ238" s="159">
        <f t="shared" si="27"/>
        <v>1245.94</v>
      </c>
      <c r="AK238" s="159">
        <f t="shared" si="27"/>
        <v>1319.8400000000001</v>
      </c>
      <c r="AL238" s="159">
        <f t="shared" si="27"/>
        <v>1301.6400000000001</v>
      </c>
      <c r="AM238" s="159">
        <f t="shared" si="27"/>
        <v>1301.6400000000001</v>
      </c>
      <c r="AN238" s="159">
        <f t="shared" si="27"/>
        <v>1399.8400000000001</v>
      </c>
      <c r="AO238" s="159">
        <f t="shared" si="27"/>
        <v>1460.8400000000001</v>
      </c>
      <c r="AP238" s="159">
        <f t="shared" si="27"/>
        <v>1531.8400000000001</v>
      </c>
      <c r="AQ238" s="159">
        <f t="shared" si="27"/>
        <v>1431.8400000000001</v>
      </c>
      <c r="AR238" s="159">
        <f t="shared" si="27"/>
        <v>1391.8400000000001</v>
      </c>
      <c r="AS238" s="159">
        <f t="shared" si="27"/>
        <v>1341.8400000000001</v>
      </c>
      <c r="AT238" s="159">
        <f t="shared" si="27"/>
        <v>1332.04</v>
      </c>
      <c r="AU238" s="159">
        <f t="shared" si="27"/>
        <v>1331.34</v>
      </c>
      <c r="AV238" s="159">
        <f t="shared" si="27"/>
        <v>1273.54</v>
      </c>
      <c r="AW238" s="159">
        <f t="shared" si="27"/>
        <v>1214.94</v>
      </c>
      <c r="AX238" s="159">
        <f t="shared" si="27"/>
        <v>1180.1400000000001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8">C223</f>
        <v>0.64</v>
      </c>
      <c r="C259" s="162">
        <f t="shared" si="28"/>
        <v>0.64</v>
      </c>
      <c r="D259" s="162">
        <f t="shared" si="28"/>
        <v>0.64</v>
      </c>
      <c r="E259" s="162">
        <f t="shared" si="28"/>
        <v>0.64</v>
      </c>
      <c r="F259" s="162">
        <f t="shared" si="28"/>
        <v>0.64</v>
      </c>
      <c r="G259" s="162">
        <f t="shared" si="28"/>
        <v>0.64</v>
      </c>
      <c r="H259" s="162">
        <f t="shared" si="28"/>
        <v>0.64</v>
      </c>
      <c r="I259" s="162">
        <f t="shared" si="28"/>
        <v>0.64</v>
      </c>
      <c r="J259" s="162">
        <f t="shared" si="28"/>
        <v>0.64</v>
      </c>
      <c r="K259" s="162">
        <f t="shared" si="28"/>
        <v>0.64</v>
      </c>
      <c r="L259" s="162">
        <f t="shared" si="28"/>
        <v>0.64</v>
      </c>
      <c r="M259" s="162">
        <f t="shared" si="28"/>
        <v>0.64</v>
      </c>
      <c r="N259" s="162">
        <f t="shared" si="28"/>
        <v>0.64</v>
      </c>
      <c r="O259" s="162">
        <f t="shared" si="28"/>
        <v>0.64</v>
      </c>
      <c r="P259" s="162">
        <f t="shared" si="28"/>
        <v>0</v>
      </c>
      <c r="Q259" s="162">
        <f t="shared" si="28"/>
        <v>0</v>
      </c>
      <c r="R259" s="162">
        <f t="shared" si="28"/>
        <v>0</v>
      </c>
      <c r="S259" s="162">
        <f t="shared" si="28"/>
        <v>0</v>
      </c>
      <c r="T259" s="162">
        <f t="shared" si="28"/>
        <v>0</v>
      </c>
      <c r="U259" s="162">
        <f t="shared" si="28"/>
        <v>0</v>
      </c>
      <c r="V259" s="162">
        <f t="shared" si="28"/>
        <v>0</v>
      </c>
      <c r="W259" s="162">
        <f t="shared" si="28"/>
        <v>0</v>
      </c>
      <c r="X259" s="162">
        <f t="shared" si="28"/>
        <v>0</v>
      </c>
      <c r="Y259" s="162">
        <f t="shared" si="28"/>
        <v>0</v>
      </c>
      <c r="Z259" s="162">
        <f t="shared" si="28"/>
        <v>0</v>
      </c>
      <c r="AA259" s="162">
        <f t="shared" si="28"/>
        <v>0</v>
      </c>
      <c r="AB259" s="162">
        <f t="shared" si="28"/>
        <v>0</v>
      </c>
      <c r="AC259" s="162">
        <f t="shared" si="28"/>
        <v>0</v>
      </c>
      <c r="AD259" s="162">
        <f t="shared" si="28"/>
        <v>0</v>
      </c>
      <c r="AE259" s="162">
        <f t="shared" si="28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9">IF(B227&lt;100,"",B227-520)</f>
        <v/>
      </c>
      <c r="C260" s="163" t="str">
        <f t="shared" si="29"/>
        <v/>
      </c>
      <c r="D260" s="163" t="str">
        <f t="shared" si="29"/>
        <v/>
      </c>
      <c r="E260" s="163" t="str">
        <f t="shared" si="29"/>
        <v/>
      </c>
      <c r="F260" s="163" t="str">
        <f t="shared" si="29"/>
        <v/>
      </c>
      <c r="G260" s="163" t="str">
        <f t="shared" si="29"/>
        <v/>
      </c>
      <c r="H260" s="163" t="str">
        <f t="shared" si="29"/>
        <v/>
      </c>
      <c r="I260" s="163" t="str">
        <f t="shared" si="29"/>
        <v/>
      </c>
      <c r="J260" s="163" t="str">
        <f t="shared" si="29"/>
        <v/>
      </c>
      <c r="K260" s="163" t="str">
        <f t="shared" si="29"/>
        <v/>
      </c>
      <c r="L260" s="163" t="str">
        <f t="shared" si="29"/>
        <v/>
      </c>
      <c r="M260" s="163" t="str">
        <f t="shared" si="29"/>
        <v/>
      </c>
      <c r="N260" s="163" t="str">
        <f t="shared" si="29"/>
        <v/>
      </c>
      <c r="O260" s="163" t="str">
        <f t="shared" si="29"/>
        <v/>
      </c>
      <c r="P260" s="163" t="str">
        <f t="shared" si="29"/>
        <v/>
      </c>
      <c r="Q260" s="163" t="str">
        <f t="shared" si="29"/>
        <v/>
      </c>
      <c r="R260" s="163" t="str">
        <f t="shared" si="29"/>
        <v/>
      </c>
      <c r="S260" s="163" t="str">
        <f t="shared" si="29"/>
        <v/>
      </c>
      <c r="T260" s="163" t="str">
        <f t="shared" si="29"/>
        <v/>
      </c>
      <c r="U260" s="163" t="str">
        <f t="shared" si="29"/>
        <v/>
      </c>
      <c r="V260" s="163" t="str">
        <f t="shared" si="29"/>
        <v/>
      </c>
      <c r="W260" s="163" t="str">
        <f t="shared" si="29"/>
        <v/>
      </c>
      <c r="X260" s="163" t="str">
        <f t="shared" si="29"/>
        <v/>
      </c>
      <c r="Y260" s="163" t="str">
        <f t="shared" si="29"/>
        <v/>
      </c>
      <c r="Z260" s="163" t="str">
        <f t="shared" si="29"/>
        <v/>
      </c>
      <c r="AA260" s="163" t="str">
        <f t="shared" si="29"/>
        <v/>
      </c>
      <c r="AB260" s="163" t="str">
        <f t="shared" si="29"/>
        <v/>
      </c>
      <c r="AC260" s="163" t="str">
        <f t="shared" si="29"/>
        <v/>
      </c>
      <c r="AD260" s="163" t="str">
        <f t="shared" si="29"/>
        <v/>
      </c>
      <c r="AE260" s="163" t="str">
        <f t="shared" si="29"/>
        <v/>
      </c>
      <c r="AF260" s="163" t="str">
        <f t="shared" si="29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30">IF(B228&lt;100,"",B228-620)</f>
        <v/>
      </c>
      <c r="C261" s="163" t="str">
        <f t="shared" si="30"/>
        <v/>
      </c>
      <c r="D261" s="163" t="str">
        <f t="shared" si="30"/>
        <v/>
      </c>
      <c r="E261" s="163" t="str">
        <f t="shared" si="30"/>
        <v/>
      </c>
      <c r="F261" s="163" t="str">
        <f t="shared" si="30"/>
        <v/>
      </c>
      <c r="G261" s="163" t="str">
        <f t="shared" si="30"/>
        <v/>
      </c>
      <c r="H261" s="163" t="str">
        <f t="shared" si="30"/>
        <v/>
      </c>
      <c r="I261" s="163" t="str">
        <f t="shared" si="30"/>
        <v/>
      </c>
      <c r="J261" s="163" t="str">
        <f t="shared" si="30"/>
        <v/>
      </c>
      <c r="K261" s="163" t="str">
        <f t="shared" si="30"/>
        <v/>
      </c>
      <c r="L261" s="163" t="str">
        <f t="shared" si="30"/>
        <v/>
      </c>
      <c r="M261" s="163" t="str">
        <f t="shared" si="30"/>
        <v/>
      </c>
      <c r="N261" s="163" t="str">
        <f t="shared" si="30"/>
        <v/>
      </c>
      <c r="O261" s="163" t="str">
        <f t="shared" si="30"/>
        <v/>
      </c>
      <c r="P261" s="163" t="str">
        <f t="shared" si="30"/>
        <v/>
      </c>
      <c r="Q261" s="163" t="str">
        <f t="shared" si="30"/>
        <v/>
      </c>
      <c r="R261" s="163" t="str">
        <f t="shared" si="30"/>
        <v/>
      </c>
      <c r="S261" s="163" t="str">
        <f t="shared" si="30"/>
        <v/>
      </c>
      <c r="T261" s="163" t="str">
        <f t="shared" si="30"/>
        <v/>
      </c>
      <c r="U261" s="163" t="str">
        <f t="shared" si="30"/>
        <v/>
      </c>
      <c r="V261" s="163" t="str">
        <f t="shared" si="30"/>
        <v/>
      </c>
      <c r="W261" s="163" t="str">
        <f t="shared" si="30"/>
        <v/>
      </c>
      <c r="X261" s="163" t="str">
        <f t="shared" si="30"/>
        <v/>
      </c>
      <c r="Y261" s="163" t="str">
        <f t="shared" si="30"/>
        <v/>
      </c>
      <c r="Z261" s="163" t="str">
        <f t="shared" si="30"/>
        <v/>
      </c>
      <c r="AA261" s="163" t="str">
        <f t="shared" si="30"/>
        <v/>
      </c>
      <c r="AB261" s="163" t="str">
        <f t="shared" si="30"/>
        <v/>
      </c>
      <c r="AC261" s="163" t="str">
        <f t="shared" si="30"/>
        <v/>
      </c>
      <c r="AD261" s="163" t="str">
        <f t="shared" si="30"/>
        <v/>
      </c>
      <c r="AE261" s="163" t="str">
        <f t="shared" si="30"/>
        <v/>
      </c>
      <c r="AF261" s="163" t="str">
        <f t="shared" si="30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1">IF(B229&lt;100,"",B229-330)</f>
        <v/>
      </c>
      <c r="C262" s="163" t="str">
        <f t="shared" si="31"/>
        <v/>
      </c>
      <c r="D262" s="163" t="str">
        <f t="shared" si="31"/>
        <v/>
      </c>
      <c r="E262" s="163" t="str">
        <f t="shared" si="31"/>
        <v/>
      </c>
      <c r="F262" s="163" t="str">
        <f t="shared" si="31"/>
        <v/>
      </c>
      <c r="G262" s="163" t="str">
        <f t="shared" si="31"/>
        <v/>
      </c>
      <c r="H262" s="163" t="str">
        <f t="shared" si="31"/>
        <v/>
      </c>
      <c r="I262" s="163" t="str">
        <f t="shared" si="31"/>
        <v/>
      </c>
      <c r="J262" s="163" t="str">
        <f t="shared" si="31"/>
        <v/>
      </c>
      <c r="K262" s="163" t="str">
        <f t="shared" si="31"/>
        <v/>
      </c>
      <c r="L262" s="163" t="str">
        <f t="shared" si="31"/>
        <v/>
      </c>
      <c r="M262" s="163" t="str">
        <f t="shared" si="31"/>
        <v/>
      </c>
      <c r="N262" s="163" t="str">
        <f t="shared" si="31"/>
        <v/>
      </c>
      <c r="O262" s="163" t="str">
        <f t="shared" si="31"/>
        <v/>
      </c>
      <c r="P262" s="163" t="str">
        <f t="shared" si="31"/>
        <v/>
      </c>
      <c r="Q262" s="163" t="str">
        <f t="shared" si="31"/>
        <v/>
      </c>
      <c r="R262" s="163" t="str">
        <f t="shared" si="31"/>
        <v/>
      </c>
      <c r="S262" s="163" t="str">
        <f t="shared" si="31"/>
        <v/>
      </c>
      <c r="T262" s="163" t="str">
        <f t="shared" si="31"/>
        <v/>
      </c>
      <c r="U262" s="163" t="str">
        <f t="shared" si="31"/>
        <v/>
      </c>
      <c r="V262" s="163" t="str">
        <f t="shared" si="31"/>
        <v/>
      </c>
      <c r="W262" s="163" t="str">
        <f t="shared" si="31"/>
        <v/>
      </c>
      <c r="X262" s="163" t="str">
        <f t="shared" si="31"/>
        <v/>
      </c>
      <c r="Y262" s="163" t="str">
        <f t="shared" si="31"/>
        <v/>
      </c>
      <c r="Z262" s="163" t="str">
        <f t="shared" si="31"/>
        <v/>
      </c>
      <c r="AA262" s="163" t="str">
        <f t="shared" si="31"/>
        <v/>
      </c>
      <c r="AB262" s="163" t="str">
        <f t="shared" si="31"/>
        <v/>
      </c>
      <c r="AC262" s="163" t="str">
        <f t="shared" si="31"/>
        <v/>
      </c>
      <c r="AD262" s="163" t="str">
        <f t="shared" si="31"/>
        <v/>
      </c>
      <c r="AE262" s="163" t="str">
        <f t="shared" si="31"/>
        <v/>
      </c>
      <c r="AF262" s="163" t="str">
        <f t="shared" si="31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2">IF(B230&lt;100,"",B230-1500)</f>
        <v/>
      </c>
      <c r="C263" s="163" t="str">
        <f t="shared" si="32"/>
        <v/>
      </c>
      <c r="D263" s="163" t="str">
        <f t="shared" si="32"/>
        <v/>
      </c>
      <c r="E263" s="163" t="str">
        <f t="shared" si="32"/>
        <v/>
      </c>
      <c r="F263" s="163" t="str">
        <f t="shared" si="32"/>
        <v/>
      </c>
      <c r="G263" s="163" t="str">
        <f t="shared" si="32"/>
        <v/>
      </c>
      <c r="H263" s="163" t="str">
        <f t="shared" si="32"/>
        <v/>
      </c>
      <c r="I263" s="163" t="str">
        <f t="shared" si="32"/>
        <v/>
      </c>
      <c r="J263" s="163" t="str">
        <f t="shared" si="32"/>
        <v/>
      </c>
      <c r="K263" s="163" t="str">
        <f t="shared" si="32"/>
        <v/>
      </c>
      <c r="L263" s="163" t="str">
        <f t="shared" si="32"/>
        <v/>
      </c>
      <c r="M263" s="163" t="str">
        <f t="shared" si="32"/>
        <v/>
      </c>
      <c r="N263" s="163" t="str">
        <f t="shared" si="32"/>
        <v/>
      </c>
      <c r="O263" s="163" t="str">
        <f t="shared" si="32"/>
        <v/>
      </c>
      <c r="P263" s="163" t="str">
        <f t="shared" si="32"/>
        <v/>
      </c>
      <c r="Q263" s="163" t="str">
        <f t="shared" si="32"/>
        <v/>
      </c>
      <c r="R263" s="163" t="str">
        <f t="shared" si="32"/>
        <v/>
      </c>
      <c r="S263" s="163" t="str">
        <f t="shared" si="32"/>
        <v/>
      </c>
      <c r="T263" s="163" t="str">
        <f t="shared" si="32"/>
        <v/>
      </c>
      <c r="U263" s="163" t="str">
        <f t="shared" si="32"/>
        <v/>
      </c>
      <c r="V263" s="163" t="str">
        <f t="shared" si="32"/>
        <v/>
      </c>
      <c r="W263" s="163" t="str">
        <f t="shared" si="32"/>
        <v/>
      </c>
      <c r="X263" s="163" t="str">
        <f t="shared" si="32"/>
        <v/>
      </c>
      <c r="Y263" s="163" t="str">
        <f t="shared" si="32"/>
        <v/>
      </c>
      <c r="Z263" s="163" t="str">
        <f t="shared" si="32"/>
        <v/>
      </c>
      <c r="AA263" s="163" t="str">
        <f t="shared" si="32"/>
        <v/>
      </c>
      <c r="AB263" s="163" t="str">
        <f t="shared" si="32"/>
        <v/>
      </c>
      <c r="AC263" s="163" t="str">
        <f t="shared" si="32"/>
        <v/>
      </c>
      <c r="AD263" s="163" t="str">
        <f t="shared" si="32"/>
        <v/>
      </c>
      <c r="AE263" s="163" t="str">
        <f t="shared" si="32"/>
        <v/>
      </c>
      <c r="AF263" s="163" t="str">
        <f t="shared" si="32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482" priority="16">
      <formula>$AH11=0</formula>
    </cfRule>
  </conditionalFormatting>
  <conditionalFormatting sqref="B8 M8 S8 AB8">
    <cfRule type="expression" dxfId="481" priority="248">
      <formula>C$9&lt;8/24</formula>
    </cfRule>
    <cfRule type="expression" dxfId="480" priority="246">
      <formula>AND(C$9&gt;=14/24,C$9&lt;20/24)</formula>
    </cfRule>
    <cfRule type="expression" dxfId="479" priority="247">
      <formula>AND(C$9&gt;=8/24,C$9&lt;14/24)</formula>
    </cfRule>
  </conditionalFormatting>
  <conditionalFormatting sqref="B45:C45">
    <cfRule type="expression" dxfId="478" priority="124">
      <formula>B$9&gt;=20/24</formula>
    </cfRule>
    <cfRule type="expression" dxfId="477" priority="125">
      <formula>AND(B$9&gt;=14/24,B$9&lt;20/24)</formula>
    </cfRule>
    <cfRule type="expression" dxfId="476" priority="126">
      <formula>AND(B$9&gt;=8/24,B$9&lt;14/24)</formula>
    </cfRule>
    <cfRule type="expression" dxfId="475" priority="127">
      <formula>B$9&lt;8/24</formula>
    </cfRule>
  </conditionalFormatting>
  <conditionalFormatting sqref="B11:Q11">
    <cfRule type="expression" dxfId="474" priority="141">
      <formula>B$9&gt;=20/24</formula>
    </cfRule>
    <cfRule type="expression" dxfId="473" priority="142">
      <formula>AND(B$9&gt;=14/24,B$9&lt;20/24)</formula>
    </cfRule>
    <cfRule type="expression" dxfId="472" priority="143">
      <formula>AND(B$9&gt;=8/24,B$9&lt;14/24)</formula>
    </cfRule>
    <cfRule type="expression" dxfId="471" priority="144">
      <formula>B$9&lt;8/24</formula>
    </cfRule>
  </conditionalFormatting>
  <conditionalFormatting sqref="B11:Q16">
    <cfRule type="expression" dxfId="470" priority="136">
      <formula>B11&gt;$AG11</formula>
    </cfRule>
  </conditionalFormatting>
  <conditionalFormatting sqref="B12:Q15">
    <cfRule type="expression" dxfId="469" priority="106">
      <formula>B$9&gt;=20/24</formula>
    </cfRule>
    <cfRule type="expression" dxfId="468" priority="107">
      <formula>AND(B$9&gt;=14/24,B$9&lt;20/24)</formula>
    </cfRule>
    <cfRule type="expression" dxfId="467" priority="109">
      <formula>B$9&lt;8/24</formula>
    </cfRule>
    <cfRule type="expression" dxfId="466" priority="108">
      <formula>AND(B$9&gt;=8/24,B$9&lt;14/24)</formula>
    </cfRule>
  </conditionalFormatting>
  <conditionalFormatting sqref="B50:AD56">
    <cfRule type="expression" dxfId="465" priority="100">
      <formula>B$9&lt;8/24</formula>
    </cfRule>
    <cfRule type="expression" dxfId="464" priority="96">
      <formula>B50&gt;$AG50</formula>
    </cfRule>
    <cfRule type="expression" dxfId="463" priority="99">
      <formula>AND(B$9&gt;=8/24,B$9&lt;14/24)</formula>
    </cfRule>
    <cfRule type="expression" dxfId="462" priority="97">
      <formula>B$9&gt;=20/24</formula>
    </cfRule>
    <cfRule type="expression" dxfId="461" priority="98">
      <formula>AND(B$9&gt;=14/24,B$9&lt;20/24)</formula>
    </cfRule>
  </conditionalFormatting>
  <conditionalFormatting sqref="B9:AF10 X11:AF11 B16:AF16 B216:AF216 B218:B224 D218:AF224 U237:AF237">
    <cfRule type="expression" dxfId="460" priority="242">
      <formula>B$9&lt;8/24</formula>
    </cfRule>
    <cfRule type="expression" dxfId="459" priority="241">
      <formula>AND(B$9&gt;=8/24,B$9&lt;14/24)</formula>
    </cfRule>
    <cfRule type="expression" dxfId="458" priority="240">
      <formula>AND(B$9&gt;=14/24,B$9&lt;20/24)</formula>
    </cfRule>
  </conditionalFormatting>
  <conditionalFormatting sqref="B17:AF17">
    <cfRule type="expression" dxfId="457" priority="27">
      <formula>B17&gt;$AG17</formula>
    </cfRule>
    <cfRule type="expression" dxfId="456" priority="21">
      <formula>B$9&lt;8/24</formula>
    </cfRule>
    <cfRule type="expression" dxfId="455" priority="20">
      <formula>AND(B$9&gt;=8/24,B$9&lt;14/24)</formula>
    </cfRule>
    <cfRule type="expression" dxfId="454" priority="19">
      <formula>AND(B$9&gt;=14/24,B$9&lt;20/24)</formula>
    </cfRule>
    <cfRule type="expression" dxfId="453" priority="18">
      <formula>B$9&gt;=20/24</formula>
    </cfRule>
  </conditionalFormatting>
  <conditionalFormatting sqref="B18:AF24">
    <cfRule type="expression" dxfId="452" priority="88">
      <formula>B$9&gt;=20/24</formula>
    </cfRule>
    <cfRule type="expression" dxfId="451" priority="89">
      <formula>AND(B$9&gt;=14/24,B$9&lt;20/24)</formula>
    </cfRule>
    <cfRule type="expression" dxfId="450" priority="90">
      <formula>AND(B$9&gt;=8/24,B$9&lt;14/24)</formula>
    </cfRule>
    <cfRule type="expression" dxfId="449" priority="91">
      <formula>B$9&lt;8/24</formula>
    </cfRule>
  </conditionalFormatting>
  <conditionalFormatting sqref="B19:AF24">
    <cfRule type="expression" dxfId="448" priority="87">
      <formula>B19&gt;$AG19</formula>
    </cfRule>
  </conditionalFormatting>
  <conditionalFormatting sqref="B25:AF27 B29:AF29 C59:AF61 B59:B62 C62:AG62 B75:B79 C79:AG79 B80:AF81">
    <cfRule type="expression" dxfId="447" priority="119">
      <formula>B$9&gt;=20/24</formula>
    </cfRule>
    <cfRule type="expression" dxfId="446" priority="121">
      <formula>AND(B$9&gt;=8/24,B$9&lt;14/24)</formula>
    </cfRule>
    <cfRule type="expression" dxfId="445" priority="122">
      <formula>B$9&lt;8/24</formula>
    </cfRule>
    <cfRule type="expression" dxfId="444" priority="120">
      <formula>AND(B$9&gt;=14/24,B$9&lt;20/24)</formula>
    </cfRule>
  </conditionalFormatting>
  <conditionalFormatting sqref="B25:AF29 B40:AG40 B48:M49 C57:AG58 B57:B62 C59:AF61 C62:AG62">
    <cfRule type="expression" dxfId="443" priority="114">
      <formula>B25&gt;$AG25</formula>
    </cfRule>
  </conditionalFormatting>
  <conditionalFormatting sqref="B28:AF28">
    <cfRule type="expression" dxfId="442" priority="95">
      <formula>B$9&lt;8/24</formula>
    </cfRule>
    <cfRule type="expression" dxfId="441" priority="94">
      <formula>AND(B$9&gt;=8/24,B$9&lt;14/24)</formula>
    </cfRule>
    <cfRule type="expression" dxfId="440" priority="92">
      <formula>B$9&gt;=20/24</formula>
    </cfRule>
    <cfRule type="expression" dxfId="439" priority="93">
      <formula>AND(B$9&gt;=14/24,B$9&lt;20/24)</formula>
    </cfRule>
  </conditionalFormatting>
  <conditionalFormatting sqref="B30:AF36">
    <cfRule type="expression" dxfId="438" priority="1">
      <formula>B30&gt;$AG30</formula>
    </cfRule>
  </conditionalFormatting>
  <conditionalFormatting sqref="B30:AF37">
    <cfRule type="expression" dxfId="437" priority="3">
      <formula>AND(B$9&gt;=14/24,B$9&lt;20/24)</formula>
    </cfRule>
    <cfRule type="expression" dxfId="436" priority="2">
      <formula>B$9&gt;=20/24</formula>
    </cfRule>
    <cfRule type="expression" dxfId="435" priority="5">
      <formula>B$9&lt;8/24</formula>
    </cfRule>
    <cfRule type="expression" dxfId="434" priority="4">
      <formula>AND(B$9&gt;=8/24,B$9&lt;14/24)</formula>
    </cfRule>
  </conditionalFormatting>
  <conditionalFormatting sqref="B37:AF39 B45:C47 D46:M47">
    <cfRule type="expression" dxfId="433" priority="123">
      <formula>B37&gt;$AG37</formula>
    </cfRule>
  </conditionalFormatting>
  <conditionalFormatting sqref="B38:AF39 B46:M47">
    <cfRule type="expression" dxfId="432" priority="130">
      <formula>AND(B$9&gt;=8/24,B$9&lt;14/24)</formula>
    </cfRule>
    <cfRule type="expression" dxfId="431" priority="128">
      <formula>B$9&gt;=20/24</formula>
    </cfRule>
    <cfRule type="expression" dxfId="430" priority="129">
      <formula>AND(B$9&gt;=14/24,B$9&lt;20/24)</formula>
    </cfRule>
    <cfRule type="expression" dxfId="429" priority="131">
      <formula>B$9&lt;8/24</formula>
    </cfRule>
  </conditionalFormatting>
  <conditionalFormatting sqref="B63:AF74">
    <cfRule type="expression" dxfId="428" priority="85">
      <formula>B$9&lt;8/24</formula>
    </cfRule>
    <cfRule type="expression" dxfId="427" priority="84">
      <formula>AND(B$9&gt;=8/24,B$9&lt;14/24)</formula>
    </cfRule>
    <cfRule type="expression" dxfId="426" priority="83">
      <formula>AND(B$9&gt;=14/24,B$9&lt;20/24)</formula>
    </cfRule>
    <cfRule type="expression" dxfId="425" priority="82">
      <formula>B$9&gt;=20/24</formula>
    </cfRule>
  </conditionalFormatting>
  <conditionalFormatting sqref="B83:AF99">
    <cfRule type="expression" dxfId="420" priority="60">
      <formula>B$9&gt;=20/24</formula>
    </cfRule>
    <cfRule type="expression" dxfId="419" priority="61">
      <formula>AND(B$9&gt;=14/24,B$9&lt;20/24)</formula>
    </cfRule>
    <cfRule type="expression" dxfId="418" priority="62">
      <formula>AND(B$9&gt;=8/24,B$9&lt;14/24)</formula>
    </cfRule>
    <cfRule type="expression" dxfId="417" priority="63">
      <formula>B$9&lt;8/24</formula>
    </cfRule>
  </conditionalFormatting>
  <conditionalFormatting sqref="B101:AF108">
    <cfRule type="expression" dxfId="416" priority="37">
      <formula>B$9&lt;8/24</formula>
    </cfRule>
    <cfRule type="expression" dxfId="415" priority="34">
      <formula>B$9&gt;=20/24</formula>
    </cfRule>
    <cfRule type="expression" dxfId="414" priority="35">
      <formula>AND(B$9&gt;=14/24,B$9&lt;20/24)</formula>
    </cfRule>
    <cfRule type="expression" dxfId="413" priority="36">
      <formula>AND(B$9&gt;=8/24,B$9&lt;14/24)</formula>
    </cfRule>
  </conditionalFormatting>
  <conditionalFormatting sqref="C41:AF43 B41:B44 C44:AG44">
    <cfRule type="expression" dxfId="408" priority="69">
      <formula>B$9&gt;=20/24</formula>
    </cfRule>
    <cfRule type="expression" dxfId="407" priority="71">
      <formula>AND(B$9&gt;=8/24,B$9&lt;14/24)</formula>
    </cfRule>
    <cfRule type="expression" dxfId="406" priority="70">
      <formula>AND(B$9&gt;=14/24,B$9&lt;20/24)</formula>
    </cfRule>
    <cfRule type="expression" dxfId="405" priority="72">
      <formula>B$9&lt;8/24</formula>
    </cfRule>
    <cfRule type="expression" dxfId="404" priority="68">
      <formula>B41&gt;$AG41</formula>
    </cfRule>
  </conditionalFormatting>
  <conditionalFormatting sqref="D45:N45">
    <cfRule type="expression" dxfId="403" priority="154">
      <formula>D45&gt;$AG45</formula>
    </cfRule>
    <cfRule type="expression" dxfId="402" priority="155">
      <formula>D$9&gt;=20/24</formula>
    </cfRule>
    <cfRule type="expression" dxfId="401" priority="156">
      <formula>AND(D$9&gt;=14/24,D$9&lt;20/24)</formula>
    </cfRule>
    <cfRule type="expression" dxfId="400" priority="157">
      <formula>AND(D$9&gt;=8/24,D$9&lt;14/24)</formula>
    </cfRule>
    <cfRule type="expression" dxfId="399" priority="158">
      <formula>D$9&lt;8/24</formula>
    </cfRule>
  </conditionalFormatting>
  <conditionalFormatting sqref="M48:M49">
    <cfRule type="expression" dxfId="398" priority="208">
      <formula>M$9&lt;8/24</formula>
    </cfRule>
    <cfRule type="expression" dxfId="397" priority="207">
      <formula>AND(M$9&gt;=8/24,M$9&lt;14/24)</formula>
    </cfRule>
    <cfRule type="expression" dxfId="396" priority="206">
      <formula>AND(M$9&gt;=14/24,M$9&lt;20/24)</formula>
    </cfRule>
    <cfRule type="expression" dxfId="395" priority="205">
      <formula>M$9&gt;=20/24</formula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O45:R49 N46:N49 S48:AD49">
    <cfRule type="expression" dxfId="394" priority="171">
      <formula>AND(N$9&gt;=8/24,N$9&lt;14/24)</formula>
    </cfRule>
    <cfRule type="expression" dxfId="393" priority="172">
      <formula>N$9&lt;8/24</formula>
    </cfRule>
    <cfRule type="expression" dxfId="392" priority="168">
      <formula>N45&gt;$AG45</formula>
    </cfRule>
    <cfRule type="expression" dxfId="391" priority="169">
      <formula>N$9&gt;=20/24</formula>
    </cfRule>
    <cfRule type="expression" dxfId="390" priority="170">
      <formula>AND(N$9&gt;=14/24,N$9&lt;20/24)</formula>
    </cfRule>
  </conditionalFormatting>
  <conditionalFormatting sqref="R11:W11">
    <cfRule type="expression" dxfId="389" priority="191">
      <formula>R11&gt;$AG11</formula>
    </cfRule>
  </conditionalFormatting>
  <conditionalFormatting sqref="R11:W14 X12:AF14 C75:AF78">
    <cfRule type="expression" dxfId="388" priority="196">
      <formula>C$9&gt;=20/24</formula>
    </cfRule>
    <cfRule type="expression" dxfId="387" priority="197">
      <formula>AND(C$9&gt;=14/24,C$9&lt;20/24)</formula>
    </cfRule>
    <cfRule type="expression" dxfId="386" priority="198">
      <formula>AND(C$9&gt;=8/24,C$9&lt;14/24)</formula>
    </cfRule>
    <cfRule type="expression" dxfId="385" priority="199">
      <formula>C$9&lt;8/24</formula>
    </cfRule>
  </conditionalFormatting>
  <conditionalFormatting sqref="R11:AF16 B18:AF18">
    <cfRule type="expression" dxfId="384" priority="233">
      <formula>B11&gt;$AG11</formula>
    </cfRule>
  </conditionalFormatting>
  <conditionalFormatting sqref="R15:AF15">
    <cfRule type="expression" dxfId="383" priority="183">
      <formula>R$9&gt;=20/24</formula>
    </cfRule>
    <cfRule type="expression" dxfId="382" priority="184">
      <formula>AND(R$9&gt;=14/24,R$9&lt;20/24)</formula>
    </cfRule>
    <cfRule type="expression" dxfId="381" priority="185">
      <formula>AND(R$9&gt;=8/24,R$9&lt;14/24)</formula>
    </cfRule>
    <cfRule type="expression" dxfId="380" priority="186">
      <formula>R$9&lt;8/24</formula>
    </cfRule>
  </conditionalFormatting>
  <conditionalFormatting sqref="S8 AB8 B8 M8">
    <cfRule type="expression" dxfId="379" priority="245">
      <formula>C$9&gt;=20/24</formula>
    </cfRule>
  </conditionalFormatting>
  <conditionalFormatting sqref="S8">
    <cfRule type="expression" dxfId="378" priority="217">
      <formula>U$9&lt;8/24</formula>
    </cfRule>
    <cfRule type="expression" dxfId="377" priority="216">
      <formula>AND(U$9&gt;=8/24,U$9&lt;14/24)</formula>
    </cfRule>
    <cfRule type="expression" dxfId="376" priority="214">
      <formula>U$9&gt;=20/24</formula>
    </cfRule>
    <cfRule type="expression" dxfId="375" priority="215">
      <formula>AND(U$9&gt;=14/24,U$9&lt;20/24)</formula>
    </cfRule>
  </conditionalFormatting>
  <conditionalFormatting sqref="S45:AF47">
    <cfRule type="expression" dxfId="374" priority="203">
      <formula>AND(S$9&gt;=8/24,S$9&lt;14/24)</formula>
    </cfRule>
    <cfRule type="expression" dxfId="373" priority="204">
      <formula>S$9&lt;8/24</formula>
    </cfRule>
    <cfRule type="expression" dxfId="372" priority="200">
      <formula>S45&gt;$AG45</formula>
    </cfRule>
    <cfRule type="expression" dxfId="371" priority="201">
      <formula>S$9&gt;=20/24</formula>
    </cfRule>
    <cfRule type="expression" dxfId="370" priority="202">
      <formula>AND(S$9&gt;=14/24,S$9&lt;20/24)</formula>
    </cfRule>
  </conditionalFormatting>
  <conditionalFormatting sqref="T237">
    <cfRule type="expression" dxfId="369" priority="261">
      <formula>AX$9&lt;8/24</formula>
    </cfRule>
    <cfRule type="expression" dxfId="368" priority="258">
      <formula>AX$9&gt;=20/24</formula>
    </cfRule>
    <cfRule type="expression" dxfId="367" priority="259">
      <formula>AND(AX$9&gt;=14/24,AX$9&lt;20/24)</formula>
    </cfRule>
    <cfRule type="expression" dxfId="366" priority="260">
      <formula>AND(AX$9&gt;=8/24,AX$9&lt;14/24)</formula>
    </cfRule>
  </conditionalFormatting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X11:AF11 B16:AF16 B9:AF10 B216:AF216 B218:B224 D218:AF224 U237:AF237">
    <cfRule type="expression" dxfId="365" priority="239">
      <formula>B$9&gt;=20/24</formula>
    </cfRule>
  </conditionalFormatting>
  <conditionalFormatting sqref="AB8">
    <cfRule type="expression" dxfId="364" priority="210">
      <formula>AD$9&gt;=20/24</formula>
    </cfRule>
    <cfRule type="expression" dxfId="363" priority="211">
      <formula>AND(AD$9&gt;=14/24,AD$9&lt;20/24)</formula>
    </cfRule>
    <cfRule type="expression" dxfId="362" priority="212">
      <formula>AND(AD$9&gt;=8/24,AD$9&lt;14/24)</formula>
    </cfRule>
    <cfRule type="expression" dxfId="361" priority="213">
      <formula>AD$9&lt;8/24</formula>
    </cfRule>
  </conditionalFormatting>
  <conditionalFormatting sqref="AE48:AF56">
    <cfRule type="expression" dxfId="360" priority="173">
      <formula>AE48&gt;$AG48</formula>
    </cfRule>
  </conditionalFormatting>
  <conditionalFormatting sqref="AE50:AF56">
    <cfRule type="expression" dxfId="359" priority="174">
      <formula>AE$9&gt;=20/24</formula>
    </cfRule>
    <cfRule type="expression" dxfId="358" priority="177">
      <formula>AE$9&lt;8/24</formula>
    </cfRule>
    <cfRule type="expression" dxfId="357" priority="176">
      <formula>AND(AE$9&gt;=8/24,AE$9&lt;14/24)</formula>
    </cfRule>
    <cfRule type="expression" dxfId="356" priority="175">
      <formula>AND(AE$9&gt;=14/24,AE$9&lt;20/24)</formula>
    </cfRule>
  </conditionalFormatting>
  <conditionalFormatting sqref="AG237">
    <cfRule type="expression" dxfId="355" priority="250">
      <formula>B$9&gt;=20/24</formula>
    </cfRule>
    <cfRule type="expression" dxfId="354" priority="251">
      <formula>AND(B$9&gt;=14/24,B$9&lt;20/24)</formula>
    </cfRule>
    <cfRule type="expression" dxfId="353" priority="252">
      <formula>AND(B$9&gt;=8/24,B$9&lt;14/24)</formula>
    </cfRule>
    <cfRule type="expression" dxfId="352" priority="253">
      <formula>B$9&lt;8/24</formula>
    </cfRule>
  </conditionalFormatting>
  <conditionalFormatting sqref="AH237:AX237">
    <cfRule type="expression" dxfId="351" priority="254">
      <formula>AG$9&gt;=20/24</formula>
    </cfRule>
    <cfRule type="expression" dxfId="350" priority="255">
      <formula>AND(AG$9&gt;=14/24,AG$9&lt;20/24)</formula>
    </cfRule>
    <cfRule type="expression" dxfId="349" priority="256">
      <formula>AND(AG$9&gt;=8/24,AG$9&lt;14/24)</formula>
    </cfRule>
    <cfRule type="expression" dxfId="348" priority="257">
      <formula>AG$9&lt;8/24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6" id="{9E752E66-355D-4A94-ACCD-E128F1B0C2A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0BF34BA2-EF4C-489D-9499-2DB9D2FAEB8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21184E0C-4A9D-4D0D-BAEC-E0A01F2889B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D03641F0-FFBE-4489-9789-63941635C99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6" id="{0F1EE697-1CD4-4EDA-BB41-BA67646F946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562AA3B9-9158-41C7-B084-799D65F6E32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7A456F25-68B4-4AE8-9B6C-CC4336AA90D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3EE7D172-41BD-46A6-AA3A-533976EE5ED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43" sqref="A4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2079/08/6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1525MW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Load=1015</v>
      </c>
      <c r="B7" s="35">
        <f t="shared" ref="B7:AF7" si="1">B81</f>
        <v>1177.2400000000002</v>
      </c>
      <c r="C7" s="35">
        <f t="shared" si="1"/>
        <v>1123.24</v>
      </c>
      <c r="D7" s="35">
        <f t="shared" si="1"/>
        <v>1107.94</v>
      </c>
      <c r="E7" s="35">
        <f t="shared" si="1"/>
        <v>1015.6399999999999</v>
      </c>
      <c r="F7" s="35">
        <f t="shared" si="1"/>
        <v>1015.1400000000001</v>
      </c>
      <c r="G7" s="35">
        <f t="shared" si="1"/>
        <v>1073.24</v>
      </c>
      <c r="H7" s="35">
        <f t="shared" si="1"/>
        <v>1156.3400000000001</v>
      </c>
      <c r="I7" s="35">
        <f t="shared" si="1"/>
        <v>1247.6400000000001</v>
      </c>
      <c r="J7" s="35">
        <f t="shared" si="1"/>
        <v>1279.7400000000002</v>
      </c>
      <c r="K7" s="35">
        <f t="shared" si="1"/>
        <v>1475.2400000000002</v>
      </c>
      <c r="L7" s="35">
        <f t="shared" si="1"/>
        <v>1524.8400000000001</v>
      </c>
      <c r="M7" s="35">
        <f t="shared" si="1"/>
        <v>1517.44</v>
      </c>
      <c r="N7" s="35">
        <f t="shared" si="1"/>
        <v>1469.7400000000002</v>
      </c>
      <c r="O7" s="35">
        <f t="shared" si="1"/>
        <v>1397.14</v>
      </c>
      <c r="P7" s="35">
        <f t="shared" si="1"/>
        <v>1322.14</v>
      </c>
      <c r="Q7" s="35">
        <f t="shared" si="1"/>
        <v>1266.44</v>
      </c>
      <c r="R7" s="35">
        <f t="shared" si="1"/>
        <v>1241.44</v>
      </c>
      <c r="S7" s="35">
        <f t="shared" si="1"/>
        <v>1283.94</v>
      </c>
      <c r="T7" s="35">
        <f t="shared" si="1"/>
        <v>1302.6400000000001</v>
      </c>
      <c r="U7" s="35">
        <f t="shared" si="1"/>
        <v>1353.3400000000001</v>
      </c>
      <c r="V7" s="35">
        <f t="shared" si="1"/>
        <v>1418.7400000000002</v>
      </c>
      <c r="W7" s="35">
        <f t="shared" si="1"/>
        <v>1501.74</v>
      </c>
      <c r="X7" s="35">
        <f t="shared" si="1"/>
        <v>1112.6400000000001</v>
      </c>
      <c r="Y7" s="35">
        <f t="shared" si="1"/>
        <v>1536.8400000000001</v>
      </c>
      <c r="Z7" s="35">
        <f t="shared" si="1"/>
        <v>1466.74</v>
      </c>
      <c r="AA7" s="35">
        <f t="shared" si="1"/>
        <v>1345.8400000000001</v>
      </c>
      <c r="AB7" s="35">
        <f t="shared" si="1"/>
        <v>1325.8400000000001</v>
      </c>
      <c r="AC7" s="35">
        <f t="shared" si="1"/>
        <v>1258.24</v>
      </c>
      <c r="AD7" s="35">
        <f t="shared" si="1"/>
        <v>1217.3400000000001</v>
      </c>
      <c r="AE7" s="35">
        <f t="shared" si="1"/>
        <v>1107.1400000000001</v>
      </c>
      <c r="AF7" s="35">
        <f t="shared" si="1"/>
        <v>1246.04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34.700000000000003</v>
      </c>
      <c r="C11" s="46">
        <v>34.6</v>
      </c>
      <c r="D11" s="46">
        <v>34.6</v>
      </c>
      <c r="E11" s="46">
        <v>34.6</v>
      </c>
      <c r="F11" s="46">
        <v>34.6</v>
      </c>
      <c r="G11" s="46">
        <v>34.6</v>
      </c>
      <c r="H11" s="46">
        <v>34.6</v>
      </c>
      <c r="I11" s="46">
        <v>35.6</v>
      </c>
      <c r="J11" s="46">
        <v>35.6</v>
      </c>
      <c r="K11" s="46">
        <v>35.6</v>
      </c>
      <c r="L11" s="46">
        <v>35.6</v>
      </c>
      <c r="M11" s="46">
        <v>35</v>
      </c>
      <c r="N11" s="46">
        <v>35</v>
      </c>
      <c r="O11" s="46">
        <v>37</v>
      </c>
      <c r="P11" s="46">
        <v>37</v>
      </c>
      <c r="Q11" s="46">
        <v>37</v>
      </c>
      <c r="R11" s="46">
        <v>37</v>
      </c>
      <c r="S11" s="45">
        <v>37.1</v>
      </c>
      <c r="T11" s="45">
        <v>37.1</v>
      </c>
      <c r="U11" s="45">
        <v>37.1</v>
      </c>
      <c r="V11" s="45">
        <v>35.200000000000003</v>
      </c>
      <c r="W11" s="45">
        <v>35.200000000000003</v>
      </c>
      <c r="X11" s="46">
        <v>35.200000000000003</v>
      </c>
      <c r="Y11" s="46">
        <v>35.200000000000003</v>
      </c>
      <c r="Z11" s="46">
        <v>35.200000000000003</v>
      </c>
      <c r="AA11" s="46">
        <v>34.6</v>
      </c>
      <c r="AB11" s="46">
        <v>34.6</v>
      </c>
      <c r="AC11" s="46">
        <v>34.6</v>
      </c>
      <c r="AD11" s="46">
        <v>34.6</v>
      </c>
      <c r="AE11" s="46">
        <v>34.5</v>
      </c>
      <c r="AF11" s="46">
        <v>34.5</v>
      </c>
      <c r="AG11" s="47">
        <v>52.4</v>
      </c>
      <c r="AH11" s="48">
        <f>MAX(B11:AF11)</f>
        <v>37.1</v>
      </c>
      <c r="AI11" s="49">
        <f>MIN(B11:AF11)</f>
        <v>34.5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50.1</v>
      </c>
      <c r="C12" s="45">
        <v>50.7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50.3</v>
      </c>
      <c r="S12" s="45">
        <v>50.4</v>
      </c>
      <c r="T12" s="45">
        <v>50.4</v>
      </c>
      <c r="U12" s="45">
        <v>50.4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50.4</v>
      </c>
      <c r="AF12" s="45">
        <v>50.4</v>
      </c>
      <c r="AG12" s="51">
        <v>50</v>
      </c>
      <c r="AH12" s="48">
        <f t="shared" ref="AH12:AH75" si="2">MAX(B12:AF12)</f>
        <v>50.7</v>
      </c>
      <c r="AI12" s="49">
        <f t="shared" ref="AI12:AI75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32.299999999999997</v>
      </c>
      <c r="C13" s="45">
        <v>33.4</v>
      </c>
      <c r="D13" s="45">
        <v>32.9</v>
      </c>
      <c r="E13" s="45">
        <v>32.9</v>
      </c>
      <c r="F13" s="45">
        <v>30.8</v>
      </c>
      <c r="G13" s="45">
        <v>30.8</v>
      </c>
      <c r="H13" s="45">
        <v>30.8</v>
      </c>
      <c r="I13" s="45">
        <v>30.4</v>
      </c>
      <c r="J13" s="45">
        <v>30.4</v>
      </c>
      <c r="K13" s="45">
        <v>30.4</v>
      </c>
      <c r="L13" s="45">
        <v>30.4</v>
      </c>
      <c r="M13" s="45">
        <v>30.4</v>
      </c>
      <c r="N13" s="45">
        <v>30.4</v>
      </c>
      <c r="O13" s="45">
        <v>30.1</v>
      </c>
      <c r="P13" s="45">
        <v>30.1</v>
      </c>
      <c r="Q13" s="45">
        <v>30.1</v>
      </c>
      <c r="R13" s="45">
        <v>30.1</v>
      </c>
      <c r="S13" s="45">
        <v>29.7</v>
      </c>
      <c r="T13" s="45">
        <v>29.7</v>
      </c>
      <c r="U13" s="45">
        <v>29.7</v>
      </c>
      <c r="V13" s="45">
        <v>31.1</v>
      </c>
      <c r="W13" s="45">
        <v>30.5</v>
      </c>
      <c r="X13" s="45">
        <v>32.200000000000003</v>
      </c>
      <c r="Y13" s="45">
        <v>32.200000000000003</v>
      </c>
      <c r="Z13" s="45">
        <v>32.200000000000003</v>
      </c>
      <c r="AA13" s="45">
        <v>32.5</v>
      </c>
      <c r="AB13" s="45">
        <v>32.5</v>
      </c>
      <c r="AC13" s="45">
        <v>32.5</v>
      </c>
      <c r="AD13" s="45">
        <v>32.5</v>
      </c>
      <c r="AE13" s="45">
        <v>31.2</v>
      </c>
      <c r="AF13" s="45">
        <v>31.2</v>
      </c>
      <c r="AG13" s="51">
        <v>45</v>
      </c>
      <c r="AH13" s="48">
        <f t="shared" si="2"/>
        <v>33.4</v>
      </c>
      <c r="AI13" s="49">
        <f t="shared" si="3"/>
        <v>29.7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21</v>
      </c>
      <c r="C14" s="45">
        <v>20</v>
      </c>
      <c r="D14" s="45">
        <v>20</v>
      </c>
      <c r="E14" s="45">
        <v>20</v>
      </c>
      <c r="F14" s="45">
        <v>15</v>
      </c>
      <c r="G14" s="45">
        <v>15</v>
      </c>
      <c r="H14" s="45">
        <v>15</v>
      </c>
      <c r="I14" s="45">
        <v>20</v>
      </c>
      <c r="J14" s="45">
        <v>20</v>
      </c>
      <c r="K14" s="45">
        <v>20</v>
      </c>
      <c r="L14" s="45">
        <v>20</v>
      </c>
      <c r="M14" s="45">
        <v>20</v>
      </c>
      <c r="N14" s="45">
        <v>21</v>
      </c>
      <c r="O14" s="45">
        <v>20</v>
      </c>
      <c r="P14" s="45">
        <v>20</v>
      </c>
      <c r="Q14" s="45">
        <v>18.5</v>
      </c>
      <c r="R14" s="45">
        <v>18.5</v>
      </c>
      <c r="S14" s="45">
        <v>19</v>
      </c>
      <c r="T14" s="45">
        <v>19</v>
      </c>
      <c r="U14" s="45">
        <v>19</v>
      </c>
      <c r="V14" s="45">
        <v>19</v>
      </c>
      <c r="W14" s="45">
        <v>19</v>
      </c>
      <c r="X14" s="45">
        <v>19</v>
      </c>
      <c r="Y14" s="45">
        <v>19</v>
      </c>
      <c r="Z14" s="45">
        <v>19</v>
      </c>
      <c r="AA14" s="45">
        <v>19</v>
      </c>
      <c r="AB14" s="45">
        <v>19</v>
      </c>
      <c r="AC14" s="45">
        <v>19</v>
      </c>
      <c r="AD14" s="45">
        <v>19</v>
      </c>
      <c r="AE14" s="45">
        <v>15</v>
      </c>
      <c r="AF14" s="45">
        <v>19</v>
      </c>
      <c r="AG14" s="51">
        <v>42</v>
      </c>
      <c r="AH14" s="48">
        <f t="shared" si="2"/>
        <v>21</v>
      </c>
      <c r="AI14" s="49">
        <f t="shared" si="3"/>
        <v>15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19.8</v>
      </c>
      <c r="J15" s="45">
        <v>20</v>
      </c>
      <c r="K15" s="45">
        <v>20</v>
      </c>
      <c r="L15" s="45">
        <v>20</v>
      </c>
      <c r="M15" s="45">
        <v>20</v>
      </c>
      <c r="N15" s="45">
        <v>20</v>
      </c>
      <c r="O15" s="45">
        <v>19.7</v>
      </c>
      <c r="P15" s="45">
        <v>19.7</v>
      </c>
      <c r="Q15" s="45">
        <v>18.600000000000001</v>
      </c>
      <c r="R15" s="45">
        <v>18.600000000000001</v>
      </c>
      <c r="S15" s="45">
        <v>19</v>
      </c>
      <c r="T15" s="45">
        <v>19</v>
      </c>
      <c r="U15" s="45">
        <v>19</v>
      </c>
      <c r="V15" s="45">
        <v>19</v>
      </c>
      <c r="W15" s="45">
        <v>18.5</v>
      </c>
      <c r="X15" s="45">
        <v>18.5</v>
      </c>
      <c r="Y15" s="45">
        <v>18.5</v>
      </c>
      <c r="Z15" s="45">
        <v>18.5</v>
      </c>
      <c r="AA15" s="45">
        <v>18.899999999999999</v>
      </c>
      <c r="AB15" s="45">
        <v>18.899999999999999</v>
      </c>
      <c r="AC15" s="45">
        <v>18.899999999999999</v>
      </c>
      <c r="AD15" s="45">
        <v>18.899999999999999</v>
      </c>
      <c r="AE15" s="45">
        <v>10.6</v>
      </c>
      <c r="AF15" s="45">
        <v>0</v>
      </c>
      <c r="AG15" s="52">
        <v>30</v>
      </c>
      <c r="AH15" s="48">
        <f t="shared" si="2"/>
        <v>20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15.6</v>
      </c>
      <c r="C16" s="45">
        <v>15.6</v>
      </c>
      <c r="D16" s="45">
        <v>15.6</v>
      </c>
      <c r="E16" s="45">
        <v>15.6</v>
      </c>
      <c r="F16" s="45">
        <v>15.6</v>
      </c>
      <c r="G16" s="45">
        <v>15.6</v>
      </c>
      <c r="H16" s="45">
        <v>15.6</v>
      </c>
      <c r="I16" s="45">
        <v>15.6</v>
      </c>
      <c r="J16" s="45">
        <v>15.6</v>
      </c>
      <c r="K16" s="45">
        <v>15.6</v>
      </c>
      <c r="L16" s="45">
        <v>15.6</v>
      </c>
      <c r="M16" s="45">
        <v>15.6</v>
      </c>
      <c r="N16" s="45">
        <v>17.399999999999999</v>
      </c>
      <c r="O16" s="45">
        <v>17.399999999999999</v>
      </c>
      <c r="P16" s="45">
        <v>17.399999999999999</v>
      </c>
      <c r="Q16" s="45">
        <v>17.3</v>
      </c>
      <c r="R16" s="45">
        <v>17.3</v>
      </c>
      <c r="S16" s="45">
        <v>17.3</v>
      </c>
      <c r="T16" s="45">
        <v>17.3</v>
      </c>
      <c r="U16" s="45">
        <v>17.3</v>
      </c>
      <c r="V16" s="45">
        <v>16.100000000000001</v>
      </c>
      <c r="W16" s="45">
        <v>16.100000000000001</v>
      </c>
      <c r="X16" s="45">
        <v>16.100000000000001</v>
      </c>
      <c r="Y16" s="45">
        <v>16.100000000000001</v>
      </c>
      <c r="Z16" s="45">
        <v>16.100000000000001</v>
      </c>
      <c r="AA16" s="45">
        <v>16.100000000000001</v>
      </c>
      <c r="AB16" s="45">
        <v>16.100000000000001</v>
      </c>
      <c r="AC16" s="45">
        <v>16.100000000000001</v>
      </c>
      <c r="AD16" s="45">
        <v>16.100000000000001</v>
      </c>
      <c r="AE16" s="45">
        <v>16.100000000000001</v>
      </c>
      <c r="AF16" s="45">
        <v>16.100000000000001</v>
      </c>
      <c r="AG16" s="51">
        <v>24.2</v>
      </c>
      <c r="AH16" s="48">
        <f t="shared" si="2"/>
        <v>17.399999999999999</v>
      </c>
      <c r="AI16" s="49">
        <f t="shared" si="3"/>
        <v>15.6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5">
        <v>22</v>
      </c>
      <c r="J17" s="45">
        <v>25</v>
      </c>
      <c r="K17" s="45">
        <v>25</v>
      </c>
      <c r="L17" s="45">
        <v>25</v>
      </c>
      <c r="M17" s="45">
        <v>25</v>
      </c>
      <c r="N17" s="45">
        <v>25</v>
      </c>
      <c r="O17" s="45">
        <v>25</v>
      </c>
      <c r="P17" s="45">
        <v>25</v>
      </c>
      <c r="Q17" s="45">
        <v>25</v>
      </c>
      <c r="R17" s="45">
        <v>25</v>
      </c>
      <c r="S17" s="45">
        <v>25</v>
      </c>
      <c r="T17" s="45">
        <v>25</v>
      </c>
      <c r="U17" s="45">
        <v>25</v>
      </c>
      <c r="V17" s="45">
        <v>18</v>
      </c>
      <c r="W17" s="45">
        <v>18</v>
      </c>
      <c r="X17" s="45">
        <v>19</v>
      </c>
      <c r="Y17" s="45">
        <v>19</v>
      </c>
      <c r="Z17" s="45">
        <v>19</v>
      </c>
      <c r="AA17" s="45">
        <v>19</v>
      </c>
      <c r="AB17" s="45">
        <v>19</v>
      </c>
      <c r="AC17" s="45">
        <v>19</v>
      </c>
      <c r="AD17" s="45">
        <v>19</v>
      </c>
      <c r="AE17" s="45">
        <v>5</v>
      </c>
      <c r="AF17" s="45">
        <v>0</v>
      </c>
      <c r="AG17" s="52">
        <v>30</v>
      </c>
      <c r="AH17" s="48">
        <f t="shared" si="2"/>
        <v>25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18.899999999999999</v>
      </c>
      <c r="C18" s="45">
        <v>18.899999999999999</v>
      </c>
      <c r="D18" s="45">
        <v>18.899999999999999</v>
      </c>
      <c r="E18" s="45">
        <v>18.899999999999999</v>
      </c>
      <c r="F18" s="45">
        <v>18.899999999999999</v>
      </c>
      <c r="G18" s="45">
        <v>18.899999999999999</v>
      </c>
      <c r="H18" s="45">
        <v>18.899999999999999</v>
      </c>
      <c r="I18" s="45">
        <v>18.899999999999999</v>
      </c>
      <c r="J18" s="45">
        <v>18.899999999999999</v>
      </c>
      <c r="K18" s="45">
        <v>18.899999999999999</v>
      </c>
      <c r="L18" s="45">
        <v>18.899999999999999</v>
      </c>
      <c r="M18" s="45">
        <v>18.899999999999999</v>
      </c>
      <c r="N18" s="45">
        <v>18.899999999999999</v>
      </c>
      <c r="O18" s="45">
        <v>18.899999999999999</v>
      </c>
      <c r="P18" s="45">
        <v>18.899999999999999</v>
      </c>
      <c r="Q18" s="45">
        <v>18.899999999999999</v>
      </c>
      <c r="R18" s="45">
        <v>18.899999999999999</v>
      </c>
      <c r="S18" s="45">
        <v>18.899999999999999</v>
      </c>
      <c r="T18" s="45">
        <v>18.899999999999999</v>
      </c>
      <c r="U18" s="45">
        <v>18.899999999999999</v>
      </c>
      <c r="V18" s="45">
        <v>18.899999999999999</v>
      </c>
      <c r="W18" s="45">
        <v>18.899999999999999</v>
      </c>
      <c r="X18" s="45">
        <v>17</v>
      </c>
      <c r="Y18" s="45">
        <v>17</v>
      </c>
      <c r="Z18" s="45">
        <v>17</v>
      </c>
      <c r="AA18" s="45">
        <v>17</v>
      </c>
      <c r="AB18" s="45">
        <v>17</v>
      </c>
      <c r="AC18" s="45">
        <v>17</v>
      </c>
      <c r="AD18" s="45">
        <v>17</v>
      </c>
      <c r="AE18" s="45">
        <v>17</v>
      </c>
      <c r="AF18" s="45">
        <v>17</v>
      </c>
      <c r="AG18" s="51">
        <v>25</v>
      </c>
      <c r="AH18" s="48">
        <f t="shared" si="2"/>
        <v>18.899999999999999</v>
      </c>
      <c r="AI18" s="49">
        <f t="shared" si="3"/>
        <v>17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18</v>
      </c>
      <c r="C19" s="45">
        <v>18</v>
      </c>
      <c r="D19" s="45">
        <v>18</v>
      </c>
      <c r="E19" s="45">
        <v>18</v>
      </c>
      <c r="F19" s="45">
        <v>18</v>
      </c>
      <c r="G19" s="45">
        <v>18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51">
        <v>25</v>
      </c>
      <c r="AH19" s="48">
        <f t="shared" si="2"/>
        <v>18</v>
      </c>
      <c r="AI19" s="49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15.6</v>
      </c>
      <c r="C21" s="45">
        <v>15.6</v>
      </c>
      <c r="D21" s="45">
        <v>15.6</v>
      </c>
      <c r="E21" s="45">
        <v>15.6</v>
      </c>
      <c r="F21" s="45">
        <v>15.6</v>
      </c>
      <c r="G21" s="45">
        <v>15.6</v>
      </c>
      <c r="H21" s="45">
        <v>15.6</v>
      </c>
      <c r="I21" s="45">
        <v>15.6</v>
      </c>
      <c r="J21" s="45">
        <v>15.6</v>
      </c>
      <c r="K21" s="45">
        <v>15.6</v>
      </c>
      <c r="L21" s="45">
        <v>15.6</v>
      </c>
      <c r="M21" s="45">
        <v>15.6</v>
      </c>
      <c r="N21" s="45">
        <v>15.6</v>
      </c>
      <c r="O21" s="45">
        <v>15.6</v>
      </c>
      <c r="P21" s="45">
        <v>15.6</v>
      </c>
      <c r="Q21" s="45">
        <v>15.6</v>
      </c>
      <c r="R21" s="45">
        <v>15.6</v>
      </c>
      <c r="S21" s="45">
        <v>15.6</v>
      </c>
      <c r="T21" s="45">
        <v>15.6</v>
      </c>
      <c r="U21" s="45">
        <v>15.6</v>
      </c>
      <c r="V21" s="45">
        <v>15.6</v>
      </c>
      <c r="W21" s="45">
        <v>15.6</v>
      </c>
      <c r="X21" s="45">
        <v>15.6</v>
      </c>
      <c r="Y21" s="45">
        <v>15.6</v>
      </c>
      <c r="Z21" s="45">
        <v>15.6</v>
      </c>
      <c r="AA21" s="45">
        <v>15.6</v>
      </c>
      <c r="AB21" s="45">
        <v>15.6</v>
      </c>
      <c r="AC21" s="45">
        <v>15.6</v>
      </c>
      <c r="AD21" s="45">
        <v>15.6</v>
      </c>
      <c r="AE21" s="45">
        <v>15.4</v>
      </c>
      <c r="AF21" s="45">
        <v>15.4</v>
      </c>
      <c r="AG21" s="51">
        <v>23.5</v>
      </c>
      <c r="AH21" s="48">
        <f t="shared" si="2"/>
        <v>15.6</v>
      </c>
      <c r="AI21" s="49">
        <f t="shared" si="3"/>
        <v>15.4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22.2</v>
      </c>
      <c r="AH22" s="48">
        <f t="shared" si="2"/>
        <v>0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10.6</v>
      </c>
      <c r="C23" s="45">
        <v>10.6</v>
      </c>
      <c r="D23" s="45">
        <v>10.6</v>
      </c>
      <c r="E23" s="45">
        <v>10.6</v>
      </c>
      <c r="F23" s="45">
        <v>10.6</v>
      </c>
      <c r="G23" s="45">
        <v>10.6</v>
      </c>
      <c r="H23" s="45">
        <v>10.6</v>
      </c>
      <c r="I23" s="45">
        <v>10.6</v>
      </c>
      <c r="J23" s="45">
        <v>10.6</v>
      </c>
      <c r="K23" s="45">
        <v>10.6</v>
      </c>
      <c r="L23" s="45">
        <v>10.6</v>
      </c>
      <c r="M23" s="45">
        <v>10.6</v>
      </c>
      <c r="N23" s="45">
        <v>10.6</v>
      </c>
      <c r="O23" s="45">
        <v>10.6</v>
      </c>
      <c r="P23" s="45">
        <v>10.6</v>
      </c>
      <c r="Q23" s="45">
        <v>10.6</v>
      </c>
      <c r="R23" s="45">
        <v>10.6</v>
      </c>
      <c r="S23" s="45">
        <v>10.6</v>
      </c>
      <c r="T23" s="45">
        <v>10.6</v>
      </c>
      <c r="U23" s="45">
        <v>10.6</v>
      </c>
      <c r="V23" s="45">
        <v>10.6</v>
      </c>
      <c r="W23" s="45">
        <v>10.6</v>
      </c>
      <c r="X23" s="45">
        <v>10.6</v>
      </c>
      <c r="Y23" s="45">
        <v>10.6</v>
      </c>
      <c r="Z23" s="45">
        <v>10.6</v>
      </c>
      <c r="AA23" s="45">
        <v>10.6</v>
      </c>
      <c r="AB23" s="45">
        <v>10.6</v>
      </c>
      <c r="AC23" s="45">
        <v>10.6</v>
      </c>
      <c r="AD23" s="45">
        <v>10.6</v>
      </c>
      <c r="AE23" s="45">
        <v>10.6</v>
      </c>
      <c r="AF23" s="45">
        <v>10.6</v>
      </c>
      <c r="AG23" s="51">
        <v>22.1</v>
      </c>
      <c r="AH23" s="48">
        <f t="shared" si="2"/>
        <v>10.6</v>
      </c>
      <c r="AI23" s="49">
        <f t="shared" si="3"/>
        <v>10.6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15</v>
      </c>
      <c r="C24" s="45">
        <v>15</v>
      </c>
      <c r="D24" s="45">
        <v>15</v>
      </c>
      <c r="E24" s="45">
        <v>15</v>
      </c>
      <c r="F24" s="45">
        <v>15</v>
      </c>
      <c r="G24" s="45">
        <v>15</v>
      </c>
      <c r="H24" s="45">
        <v>15</v>
      </c>
      <c r="I24" s="45">
        <v>15</v>
      </c>
      <c r="J24" s="45">
        <v>15</v>
      </c>
      <c r="K24" s="45">
        <v>15</v>
      </c>
      <c r="L24" s="45">
        <v>15</v>
      </c>
      <c r="M24" s="45">
        <v>15</v>
      </c>
      <c r="N24" s="45">
        <v>15</v>
      </c>
      <c r="O24" s="45">
        <v>15</v>
      </c>
      <c r="P24" s="45">
        <v>15</v>
      </c>
      <c r="Q24" s="45">
        <v>15</v>
      </c>
      <c r="R24" s="45">
        <v>15</v>
      </c>
      <c r="S24" s="45">
        <v>15</v>
      </c>
      <c r="T24" s="45">
        <v>15</v>
      </c>
      <c r="U24" s="45">
        <v>15</v>
      </c>
      <c r="V24" s="45">
        <v>15</v>
      </c>
      <c r="W24" s="45">
        <v>15</v>
      </c>
      <c r="X24" s="45">
        <v>15</v>
      </c>
      <c r="Y24" s="45">
        <v>15</v>
      </c>
      <c r="Z24" s="45">
        <v>15</v>
      </c>
      <c r="AA24" s="45">
        <v>15</v>
      </c>
      <c r="AB24" s="45">
        <v>15</v>
      </c>
      <c r="AC24" s="45">
        <v>15</v>
      </c>
      <c r="AD24" s="45">
        <v>15</v>
      </c>
      <c r="AE24" s="45">
        <v>15</v>
      </c>
      <c r="AF24" s="45">
        <v>15</v>
      </c>
      <c r="AG24" s="51">
        <v>22</v>
      </c>
      <c r="AH24" s="48">
        <f t="shared" si="2"/>
        <v>15</v>
      </c>
      <c r="AI24" s="49">
        <f t="shared" si="3"/>
        <v>15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15</v>
      </c>
      <c r="C25" s="45">
        <v>15</v>
      </c>
      <c r="D25" s="45">
        <v>15</v>
      </c>
      <c r="E25" s="45">
        <v>15</v>
      </c>
      <c r="F25" s="45">
        <v>13</v>
      </c>
      <c r="G25" s="45">
        <v>13</v>
      </c>
      <c r="H25" s="45">
        <v>13</v>
      </c>
      <c r="I25" s="45">
        <v>13</v>
      </c>
      <c r="J25" s="45">
        <v>13</v>
      </c>
      <c r="K25" s="45">
        <v>13</v>
      </c>
      <c r="L25" s="45">
        <v>13</v>
      </c>
      <c r="M25" s="45">
        <v>13</v>
      </c>
      <c r="N25" s="45">
        <v>13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10</v>
      </c>
      <c r="AC25" s="45">
        <v>10</v>
      </c>
      <c r="AD25" s="45">
        <v>10</v>
      </c>
      <c r="AE25" s="45">
        <v>10</v>
      </c>
      <c r="AF25" s="45">
        <v>10</v>
      </c>
      <c r="AG25" s="51">
        <v>22</v>
      </c>
      <c r="AH25" s="48">
        <f t="shared" si="2"/>
        <v>15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10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5">
        <v>10</v>
      </c>
      <c r="Y26" s="45">
        <v>10</v>
      </c>
      <c r="Z26" s="45">
        <v>10</v>
      </c>
      <c r="AA26" s="45">
        <v>10</v>
      </c>
      <c r="AB26" s="45">
        <v>10</v>
      </c>
      <c r="AC26" s="45">
        <v>10</v>
      </c>
      <c r="AD26" s="45">
        <v>10</v>
      </c>
      <c r="AE26" s="45">
        <v>5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6.3</v>
      </c>
      <c r="C27" s="45">
        <v>6.3</v>
      </c>
      <c r="D27" s="45">
        <v>6.3</v>
      </c>
      <c r="E27" s="45">
        <v>6.3</v>
      </c>
      <c r="F27" s="45">
        <v>6.3</v>
      </c>
      <c r="G27" s="45">
        <v>6.3</v>
      </c>
      <c r="H27" s="45">
        <v>6.3</v>
      </c>
      <c r="I27" s="45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45">
        <v>6.3</v>
      </c>
      <c r="Y27" s="45">
        <v>6.3</v>
      </c>
      <c r="Z27" s="45">
        <v>6.3</v>
      </c>
      <c r="AA27" s="45">
        <v>6.3</v>
      </c>
      <c r="AB27" s="45">
        <v>6.3</v>
      </c>
      <c r="AC27" s="45">
        <v>6.3</v>
      </c>
      <c r="AD27" s="45">
        <v>6.3</v>
      </c>
      <c r="AE27" s="45">
        <v>6.3</v>
      </c>
      <c r="AF27" s="45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3.5</v>
      </c>
      <c r="C28" s="45">
        <v>3.5</v>
      </c>
      <c r="D28" s="45">
        <v>3.5</v>
      </c>
      <c r="E28" s="45">
        <v>3.5</v>
      </c>
      <c r="F28" s="45">
        <v>3.5</v>
      </c>
      <c r="G28" s="45">
        <v>3.5</v>
      </c>
      <c r="H28" s="45">
        <v>3.5</v>
      </c>
      <c r="I28" s="45">
        <v>3.5</v>
      </c>
      <c r="J28" s="45">
        <v>3.5</v>
      </c>
      <c r="K28" s="45">
        <v>3.5</v>
      </c>
      <c r="L28" s="45">
        <v>3.5</v>
      </c>
      <c r="M28" s="45">
        <v>3.5</v>
      </c>
      <c r="N28" s="45">
        <v>3.5</v>
      </c>
      <c r="O28" s="45">
        <v>3.5</v>
      </c>
      <c r="P28" s="45">
        <v>3.5</v>
      </c>
      <c r="Q28" s="45">
        <v>3.5</v>
      </c>
      <c r="R28" s="45">
        <v>3.5</v>
      </c>
      <c r="S28" s="45">
        <v>3.5</v>
      </c>
      <c r="T28" s="45">
        <v>3.5</v>
      </c>
      <c r="U28" s="45">
        <v>3.5</v>
      </c>
      <c r="V28" s="45">
        <v>3.5</v>
      </c>
      <c r="W28" s="45">
        <v>3.5</v>
      </c>
      <c r="X28" s="45">
        <v>6.3</v>
      </c>
      <c r="Y28" s="45">
        <v>6.3</v>
      </c>
      <c r="Z28" s="45">
        <v>6.3</v>
      </c>
      <c r="AA28" s="45">
        <v>6.3</v>
      </c>
      <c r="AB28" s="45">
        <v>6.3</v>
      </c>
      <c r="AC28" s="45">
        <v>6.3</v>
      </c>
      <c r="AD28" s="45">
        <v>6.3</v>
      </c>
      <c r="AE28" s="45">
        <v>6.3</v>
      </c>
      <c r="AF28" s="45">
        <v>6.3</v>
      </c>
      <c r="AG28" s="51">
        <v>13.6</v>
      </c>
      <c r="AH28" s="48">
        <f t="shared" si="2"/>
        <v>6.3</v>
      </c>
      <c r="AI28" s="49">
        <f t="shared" si="3"/>
        <v>3.5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9</v>
      </c>
      <c r="C29" s="45">
        <v>9</v>
      </c>
      <c r="D29" s="45">
        <v>9</v>
      </c>
      <c r="E29" s="45">
        <v>9</v>
      </c>
      <c r="F29" s="45">
        <v>9</v>
      </c>
      <c r="G29" s="45">
        <v>9</v>
      </c>
      <c r="H29" s="45">
        <v>9</v>
      </c>
      <c r="I29" s="45">
        <v>9</v>
      </c>
      <c r="J29" s="45">
        <v>9</v>
      </c>
      <c r="K29" s="45">
        <v>9</v>
      </c>
      <c r="L29" s="45">
        <v>9</v>
      </c>
      <c r="M29" s="45">
        <v>9</v>
      </c>
      <c r="N29" s="45">
        <v>9</v>
      </c>
      <c r="O29" s="45">
        <v>9</v>
      </c>
      <c r="P29" s="45">
        <v>9</v>
      </c>
      <c r="Q29" s="45">
        <v>9</v>
      </c>
      <c r="R29" s="45">
        <v>9</v>
      </c>
      <c r="S29" s="45">
        <v>9</v>
      </c>
      <c r="T29" s="45">
        <v>9</v>
      </c>
      <c r="U29" s="45">
        <v>9</v>
      </c>
      <c r="V29" s="45">
        <v>9</v>
      </c>
      <c r="W29" s="45">
        <v>9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1">
        <v>13</v>
      </c>
      <c r="AH29" s="48">
        <f t="shared" si="2"/>
        <v>9</v>
      </c>
      <c r="AI29" s="49">
        <f t="shared" si="3"/>
        <v>3.5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0</v>
      </c>
      <c r="I30" s="45">
        <v>10</v>
      </c>
      <c r="J30" s="45">
        <v>10</v>
      </c>
      <c r="K30" s="45">
        <v>10</v>
      </c>
      <c r="L30" s="45">
        <v>10</v>
      </c>
      <c r="M30" s="45">
        <v>10</v>
      </c>
      <c r="N30" s="45">
        <v>10</v>
      </c>
      <c r="O30" s="45">
        <v>10</v>
      </c>
      <c r="P30" s="45">
        <v>10</v>
      </c>
      <c r="Q30" s="45">
        <v>10</v>
      </c>
      <c r="R30" s="45">
        <v>10</v>
      </c>
      <c r="S30" s="45">
        <v>10</v>
      </c>
      <c r="T30" s="45">
        <v>10</v>
      </c>
      <c r="U30" s="45">
        <v>10</v>
      </c>
      <c r="V30" s="45">
        <v>10</v>
      </c>
      <c r="W30" s="45">
        <v>10</v>
      </c>
      <c r="X30" s="45">
        <v>9</v>
      </c>
      <c r="Y30" s="45">
        <v>9</v>
      </c>
      <c r="Z30" s="45">
        <v>9</v>
      </c>
      <c r="AA30" s="45">
        <v>9</v>
      </c>
      <c r="AB30" s="45">
        <v>9</v>
      </c>
      <c r="AC30" s="45">
        <v>9</v>
      </c>
      <c r="AD30" s="45">
        <v>9</v>
      </c>
      <c r="AE30" s="45">
        <v>4</v>
      </c>
      <c r="AF30" s="45">
        <v>0</v>
      </c>
      <c r="AG30" s="51">
        <v>12</v>
      </c>
      <c r="AH30" s="48">
        <f t="shared" si="2"/>
        <v>10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12</v>
      </c>
      <c r="C31" s="45">
        <v>12</v>
      </c>
      <c r="D31" s="45">
        <v>12</v>
      </c>
      <c r="E31" s="45">
        <v>12</v>
      </c>
      <c r="F31" s="45">
        <v>12</v>
      </c>
      <c r="G31" s="45">
        <v>12</v>
      </c>
      <c r="H31" s="45">
        <v>12</v>
      </c>
      <c r="I31" s="45">
        <v>12</v>
      </c>
      <c r="J31" s="45">
        <v>12</v>
      </c>
      <c r="K31" s="45">
        <v>12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10</v>
      </c>
      <c r="Y31" s="45">
        <v>10</v>
      </c>
      <c r="Z31" s="45">
        <v>10</v>
      </c>
      <c r="AA31" s="45">
        <v>10</v>
      </c>
      <c r="AB31" s="45">
        <v>10</v>
      </c>
      <c r="AC31" s="45">
        <v>10</v>
      </c>
      <c r="AD31" s="45">
        <v>10</v>
      </c>
      <c r="AE31" s="45">
        <v>10</v>
      </c>
      <c r="AF31" s="45">
        <v>10</v>
      </c>
      <c r="AG31" s="51">
        <v>12</v>
      </c>
      <c r="AH31" s="48">
        <f t="shared" si="2"/>
        <v>12</v>
      </c>
      <c r="AI31" s="49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4</v>
      </c>
      <c r="C32" s="45">
        <v>4</v>
      </c>
      <c r="D32" s="45">
        <v>4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45">
        <v>4</v>
      </c>
      <c r="L32" s="45">
        <v>4</v>
      </c>
      <c r="M32" s="45">
        <v>4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12</v>
      </c>
      <c r="Y32" s="45">
        <v>12</v>
      </c>
      <c r="Z32" s="45">
        <v>12</v>
      </c>
      <c r="AA32" s="45">
        <v>12</v>
      </c>
      <c r="AB32" s="45">
        <v>12</v>
      </c>
      <c r="AC32" s="45">
        <v>12</v>
      </c>
      <c r="AD32" s="45">
        <v>12</v>
      </c>
      <c r="AE32" s="45">
        <v>12</v>
      </c>
      <c r="AF32" s="45">
        <v>12</v>
      </c>
      <c r="AG32" s="51">
        <v>12</v>
      </c>
      <c r="AH32" s="48">
        <f t="shared" si="2"/>
        <v>12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5.2</v>
      </c>
      <c r="C33" s="45">
        <v>5.2</v>
      </c>
      <c r="D33" s="45">
        <v>5.2</v>
      </c>
      <c r="E33" s="45">
        <v>5.2</v>
      </c>
      <c r="F33" s="45">
        <v>5.2</v>
      </c>
      <c r="G33" s="45">
        <v>5.2</v>
      </c>
      <c r="H33" s="45">
        <v>5.2</v>
      </c>
      <c r="I33" s="45">
        <v>5.2</v>
      </c>
      <c r="J33" s="45">
        <v>5.2</v>
      </c>
      <c r="K33" s="45">
        <v>5.2</v>
      </c>
      <c r="L33" s="45">
        <v>5.2</v>
      </c>
      <c r="M33" s="45">
        <v>5.2</v>
      </c>
      <c r="N33" s="45">
        <v>5.2</v>
      </c>
      <c r="O33" s="45">
        <v>5.2</v>
      </c>
      <c r="P33" s="45">
        <v>5.2</v>
      </c>
      <c r="Q33" s="45">
        <v>5.2</v>
      </c>
      <c r="R33" s="45">
        <v>5.2</v>
      </c>
      <c r="S33" s="45">
        <v>5.2</v>
      </c>
      <c r="T33" s="45">
        <v>5.2</v>
      </c>
      <c r="U33" s="45">
        <v>5.2</v>
      </c>
      <c r="V33" s="45">
        <v>5.2</v>
      </c>
      <c r="W33" s="45">
        <v>5.2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53">
        <v>22</v>
      </c>
      <c r="AH33" s="48">
        <f t="shared" si="2"/>
        <v>6</v>
      </c>
      <c r="AI33" s="49">
        <f t="shared" si="3"/>
        <v>5.2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8.5</v>
      </c>
      <c r="C34" s="45">
        <v>8.5</v>
      </c>
      <c r="D34" s="45">
        <v>8.5</v>
      </c>
      <c r="E34" s="45">
        <v>8.5</v>
      </c>
      <c r="F34" s="45">
        <v>8.5</v>
      </c>
      <c r="G34" s="45">
        <v>8.5</v>
      </c>
      <c r="H34" s="45">
        <v>8.5</v>
      </c>
      <c r="I34" s="45">
        <v>8.5</v>
      </c>
      <c r="J34" s="45">
        <v>8.5</v>
      </c>
      <c r="K34" s="45">
        <v>8.5</v>
      </c>
      <c r="L34" s="45">
        <v>8.5</v>
      </c>
      <c r="M34" s="45">
        <v>8.5</v>
      </c>
      <c r="N34" s="45">
        <v>8.5</v>
      </c>
      <c r="O34" s="45">
        <v>8.5</v>
      </c>
      <c r="P34" s="45">
        <v>8.5</v>
      </c>
      <c r="Q34" s="45">
        <v>8.5</v>
      </c>
      <c r="R34" s="45">
        <v>8.5</v>
      </c>
      <c r="S34" s="45">
        <v>8.5</v>
      </c>
      <c r="T34" s="45">
        <v>8.5</v>
      </c>
      <c r="U34" s="45">
        <v>8.5</v>
      </c>
      <c r="V34" s="45">
        <v>8.5</v>
      </c>
      <c r="W34" s="45">
        <v>8.5</v>
      </c>
      <c r="X34" s="45">
        <v>5.2</v>
      </c>
      <c r="Y34" s="45">
        <v>5.2</v>
      </c>
      <c r="Z34" s="45">
        <v>5.2</v>
      </c>
      <c r="AA34" s="45">
        <v>5.2</v>
      </c>
      <c r="AB34" s="45">
        <v>5.2</v>
      </c>
      <c r="AC34" s="45">
        <v>5.2</v>
      </c>
      <c r="AD34" s="45">
        <v>5.2</v>
      </c>
      <c r="AE34" s="45">
        <v>5.2</v>
      </c>
      <c r="AF34" s="45">
        <v>5.2</v>
      </c>
      <c r="AG34" s="52">
        <v>11.88</v>
      </c>
      <c r="AH34" s="48">
        <f t="shared" si="2"/>
        <v>8.5</v>
      </c>
      <c r="AI34" s="49">
        <f t="shared" si="3"/>
        <v>5.2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</v>
      </c>
      <c r="C35" s="45">
        <v>8</v>
      </c>
      <c r="D35" s="45">
        <v>8</v>
      </c>
      <c r="E35" s="45">
        <v>8</v>
      </c>
      <c r="F35" s="45">
        <v>8</v>
      </c>
      <c r="G35" s="45">
        <v>8</v>
      </c>
      <c r="H35" s="45">
        <v>8</v>
      </c>
      <c r="I35" s="45">
        <v>8</v>
      </c>
      <c r="J35" s="45">
        <v>8</v>
      </c>
      <c r="K35" s="45">
        <v>8</v>
      </c>
      <c r="L35" s="45">
        <v>8</v>
      </c>
      <c r="M35" s="45">
        <v>6</v>
      </c>
      <c r="N35" s="45">
        <v>6</v>
      </c>
      <c r="O35" s="45">
        <v>6</v>
      </c>
      <c r="P35" s="45">
        <v>6</v>
      </c>
      <c r="Q35" s="45">
        <v>6</v>
      </c>
      <c r="R35" s="45">
        <v>6</v>
      </c>
      <c r="S35" s="45">
        <v>6</v>
      </c>
      <c r="T35" s="45">
        <v>6</v>
      </c>
      <c r="U35" s="45">
        <v>6</v>
      </c>
      <c r="V35" s="45">
        <v>6</v>
      </c>
      <c r="W35" s="45">
        <v>6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55">
        <v>11</v>
      </c>
      <c r="AH35" s="48">
        <f t="shared" si="2"/>
        <v>8.5</v>
      </c>
      <c r="AI35" s="49">
        <f t="shared" si="3"/>
        <v>6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6.6</v>
      </c>
      <c r="C36" s="45">
        <v>6.6</v>
      </c>
      <c r="D36" s="45">
        <v>6.6</v>
      </c>
      <c r="E36" s="45">
        <v>6.6</v>
      </c>
      <c r="F36" s="45">
        <v>6.6</v>
      </c>
      <c r="G36" s="45">
        <v>6.6</v>
      </c>
      <c r="H36" s="45">
        <v>6.6</v>
      </c>
      <c r="I36" s="45">
        <v>6.6</v>
      </c>
      <c r="J36" s="45">
        <v>6.6</v>
      </c>
      <c r="K36" s="45">
        <v>6.6</v>
      </c>
      <c r="L36" s="45">
        <v>6.6</v>
      </c>
      <c r="M36" s="45">
        <v>6.6</v>
      </c>
      <c r="N36" s="45">
        <v>6.6</v>
      </c>
      <c r="O36" s="45">
        <v>6.6</v>
      </c>
      <c r="P36" s="45">
        <v>6.6</v>
      </c>
      <c r="Q36" s="45">
        <v>6.6</v>
      </c>
      <c r="R36" s="45">
        <v>6.6</v>
      </c>
      <c r="S36" s="45">
        <v>6.6</v>
      </c>
      <c r="T36" s="45">
        <v>6.6</v>
      </c>
      <c r="U36" s="45">
        <v>6.6</v>
      </c>
      <c r="V36" s="45">
        <v>6.6</v>
      </c>
      <c r="W36" s="45">
        <v>6.6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5">
        <v>10</v>
      </c>
      <c r="AH36" s="48">
        <f t="shared" si="2"/>
        <v>6.6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0</v>
      </c>
      <c r="V37" s="45">
        <v>0</v>
      </c>
      <c r="W37" s="45">
        <v>0</v>
      </c>
      <c r="X37" s="45">
        <v>6.6</v>
      </c>
      <c r="Y37" s="45">
        <v>6.6</v>
      </c>
      <c r="Z37" s="45">
        <v>6.6</v>
      </c>
      <c r="AA37" s="45">
        <v>6.6</v>
      </c>
      <c r="AB37" s="45">
        <v>6.6</v>
      </c>
      <c r="AC37" s="45">
        <v>6.6</v>
      </c>
      <c r="AD37" s="45">
        <v>6.6</v>
      </c>
      <c r="AE37" s="45">
        <v>6.6</v>
      </c>
      <c r="AF37" s="45">
        <v>6.6</v>
      </c>
      <c r="AG37" s="55">
        <v>10</v>
      </c>
      <c r="AH37" s="48">
        <f t="shared" si="2"/>
        <v>6.6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270</v>
      </c>
      <c r="C38" s="57">
        <v>270</v>
      </c>
      <c r="D38" s="57">
        <v>270</v>
      </c>
      <c r="E38" s="57">
        <v>270</v>
      </c>
      <c r="F38" s="57">
        <v>270</v>
      </c>
      <c r="G38" s="57">
        <v>270</v>
      </c>
      <c r="H38" s="57">
        <v>270</v>
      </c>
      <c r="I38" s="57">
        <v>270</v>
      </c>
      <c r="J38" s="57">
        <v>270</v>
      </c>
      <c r="K38" s="57">
        <v>270</v>
      </c>
      <c r="L38" s="57">
        <v>270</v>
      </c>
      <c r="M38" s="57">
        <v>270</v>
      </c>
      <c r="N38" s="57">
        <v>270</v>
      </c>
      <c r="O38" s="57">
        <v>270</v>
      </c>
      <c r="P38" s="57">
        <v>270</v>
      </c>
      <c r="Q38" s="57">
        <v>270</v>
      </c>
      <c r="R38" s="57">
        <v>270</v>
      </c>
      <c r="S38" s="57">
        <v>270</v>
      </c>
      <c r="T38" s="57">
        <v>270</v>
      </c>
      <c r="U38" s="57">
        <v>270</v>
      </c>
      <c r="V38" s="57">
        <v>270</v>
      </c>
      <c r="W38" s="57">
        <v>270</v>
      </c>
      <c r="X38" s="57">
        <v>270</v>
      </c>
      <c r="Y38" s="57">
        <v>270</v>
      </c>
      <c r="Z38" s="57">
        <v>270</v>
      </c>
      <c r="AA38" s="57">
        <v>270</v>
      </c>
      <c r="AB38" s="57">
        <v>270</v>
      </c>
      <c r="AC38" s="57">
        <v>270</v>
      </c>
      <c r="AD38" s="57">
        <v>270</v>
      </c>
      <c r="AE38" s="57">
        <v>270</v>
      </c>
      <c r="AF38" s="57">
        <v>270</v>
      </c>
      <c r="AG38" s="55">
        <v>85</v>
      </c>
      <c r="AH38" s="48">
        <f t="shared" si="2"/>
        <v>270</v>
      </c>
      <c r="AI38" s="49">
        <f t="shared" si="3"/>
        <v>270</v>
      </c>
      <c r="AK38" s="50"/>
    </row>
    <row r="39" spans="1:88" ht="15.75" thickBot="1" x14ac:dyDescent="0.3">
      <c r="A39" s="58" t="s">
        <v>47</v>
      </c>
      <c r="B39" s="59">
        <f>40.7+54.1</f>
        <v>94.800000000000011</v>
      </c>
      <c r="C39" s="59">
        <f>42.3+57.1</f>
        <v>99.4</v>
      </c>
      <c r="D39" s="59">
        <f>45.9+51.7</f>
        <v>97.6</v>
      </c>
      <c r="E39" s="59">
        <v>98.1</v>
      </c>
      <c r="F39" s="59">
        <f>45.8+53</f>
        <v>98.8</v>
      </c>
      <c r="G39" s="59">
        <f>45.1+55</f>
        <v>100.1</v>
      </c>
      <c r="H39" s="59">
        <f>43.8+52</f>
        <v>95.8</v>
      </c>
      <c r="I39" s="59">
        <f>42.1+55</f>
        <v>97.1</v>
      </c>
      <c r="J39" s="59">
        <f>41.2+55.3</f>
        <v>96.5</v>
      </c>
      <c r="K39" s="59">
        <f>41.3+55</f>
        <v>96.3</v>
      </c>
      <c r="L39" s="57">
        <f>41.3+54.8</f>
        <v>96.1</v>
      </c>
      <c r="M39" s="57">
        <f>54.6+40.8</f>
        <v>95.4</v>
      </c>
      <c r="N39" s="57">
        <f>54.5+35.3</f>
        <v>89.8</v>
      </c>
      <c r="O39" s="57">
        <f>54.3+41.6</f>
        <v>95.9</v>
      </c>
      <c r="P39" s="57">
        <f>55.7+41.7</f>
        <v>97.4</v>
      </c>
      <c r="Q39" s="57">
        <f>54+44</f>
        <v>98</v>
      </c>
      <c r="R39" s="57">
        <f>56+45</f>
        <v>101</v>
      </c>
      <c r="S39" s="59">
        <v>100</v>
      </c>
      <c r="T39" s="59">
        <v>100</v>
      </c>
      <c r="U39" s="59">
        <v>100</v>
      </c>
      <c r="V39" s="59">
        <v>92.7</v>
      </c>
      <c r="W39" s="59">
        <v>89</v>
      </c>
      <c r="X39" s="59">
        <v>89</v>
      </c>
      <c r="Y39" s="59">
        <v>91</v>
      </c>
      <c r="Z39" s="59">
        <v>91</v>
      </c>
      <c r="AA39" s="59">
        <v>90.9</v>
      </c>
      <c r="AB39" s="59">
        <f>41+50.5</f>
        <v>91.5</v>
      </c>
      <c r="AC39" s="59">
        <f>40.7+51</f>
        <v>91.7</v>
      </c>
      <c r="AD39" s="59">
        <f>40.8+52</f>
        <v>92.8</v>
      </c>
      <c r="AE39" s="59">
        <f>41.2+52.2</f>
        <v>93.4</v>
      </c>
      <c r="AF39" s="59">
        <f>41.4+51.4</f>
        <v>92.8</v>
      </c>
      <c r="AG39" s="55">
        <v>240</v>
      </c>
      <c r="AH39" s="48">
        <f t="shared" si="2"/>
        <v>101</v>
      </c>
      <c r="AI39" s="49">
        <f t="shared" si="3"/>
        <v>89</v>
      </c>
      <c r="AK39" s="50"/>
    </row>
    <row r="40" spans="1:88" ht="15.75" thickBot="1" x14ac:dyDescent="0.3">
      <c r="A40" s="60" t="s">
        <v>48</v>
      </c>
      <c r="B40" s="61">
        <f>SUM(B11:B38)</f>
        <v>594.90000000000009</v>
      </c>
      <c r="C40" s="61">
        <f t="shared" ref="C40:AG40" si="4">SUM(C11:C38)</f>
        <v>595.5</v>
      </c>
      <c r="D40" s="61">
        <f t="shared" si="4"/>
        <v>594.79999999999995</v>
      </c>
      <c r="E40" s="61">
        <f t="shared" si="4"/>
        <v>594.79999999999995</v>
      </c>
      <c r="F40" s="61">
        <f t="shared" si="4"/>
        <v>585.70000000000005</v>
      </c>
      <c r="G40" s="61">
        <f t="shared" si="4"/>
        <v>585.70000000000005</v>
      </c>
      <c r="H40" s="61">
        <f t="shared" si="4"/>
        <v>585.70000000000005</v>
      </c>
      <c r="I40" s="61">
        <f t="shared" si="4"/>
        <v>653.10000000000014</v>
      </c>
      <c r="J40" s="61">
        <f t="shared" si="4"/>
        <v>656.30000000000007</v>
      </c>
      <c r="K40" s="61">
        <f t="shared" si="4"/>
        <v>656.30000000000007</v>
      </c>
      <c r="L40" s="61">
        <f t="shared" si="4"/>
        <v>656.30000000000007</v>
      </c>
      <c r="M40" s="61">
        <f t="shared" si="4"/>
        <v>653.5</v>
      </c>
      <c r="N40" s="61">
        <f t="shared" si="4"/>
        <v>652.30000000000007</v>
      </c>
      <c r="O40" s="61">
        <f t="shared" si="4"/>
        <v>651.70000000000005</v>
      </c>
      <c r="P40" s="61">
        <f t="shared" si="4"/>
        <v>651.70000000000005</v>
      </c>
      <c r="Q40" s="61">
        <f t="shared" si="4"/>
        <v>649</v>
      </c>
      <c r="R40" s="61">
        <f t="shared" si="4"/>
        <v>649</v>
      </c>
      <c r="S40" s="61">
        <f t="shared" si="4"/>
        <v>649.70000000000005</v>
      </c>
      <c r="T40" s="61">
        <f t="shared" si="4"/>
        <v>649.70000000000005</v>
      </c>
      <c r="U40" s="61">
        <f t="shared" si="4"/>
        <v>647.70000000000005</v>
      </c>
      <c r="V40" s="61">
        <f t="shared" si="4"/>
        <v>639.10000000000014</v>
      </c>
      <c r="W40" s="61">
        <f>SUM(W11:W38)</f>
        <v>638</v>
      </c>
      <c r="X40" s="61">
        <v>89</v>
      </c>
      <c r="Y40" s="61">
        <f t="shared" si="4"/>
        <v>648.1</v>
      </c>
      <c r="Z40" s="61">
        <f t="shared" si="4"/>
        <v>648.1</v>
      </c>
      <c r="AA40" s="61">
        <f t="shared" si="4"/>
        <v>648</v>
      </c>
      <c r="AB40" s="61">
        <f t="shared" si="4"/>
        <v>648</v>
      </c>
      <c r="AC40" s="61">
        <f t="shared" si="4"/>
        <v>648</v>
      </c>
      <c r="AD40" s="61">
        <f t="shared" si="4"/>
        <v>648</v>
      </c>
      <c r="AE40" s="61">
        <f t="shared" si="4"/>
        <v>610.20000000000005</v>
      </c>
      <c r="AF40" s="61">
        <f t="shared" si="4"/>
        <v>589.6</v>
      </c>
      <c r="AG40" s="62">
        <f t="shared" si="4"/>
        <v>707.78000000000009</v>
      </c>
      <c r="AH40" s="48">
        <f t="shared" si="2"/>
        <v>656.30000000000007</v>
      </c>
      <c r="AI40" s="49">
        <f t="shared" si="3"/>
        <v>89</v>
      </c>
      <c r="AK40" s="50"/>
    </row>
    <row r="41" spans="1:88" x14ac:dyDescent="0.25">
      <c r="A41" s="63" t="s">
        <v>49</v>
      </c>
      <c r="B41" s="45">
        <v>130</v>
      </c>
      <c r="C41" s="45">
        <v>110</v>
      </c>
      <c r="D41" s="45">
        <v>110</v>
      </c>
      <c r="E41" s="45">
        <v>40</v>
      </c>
      <c r="F41" s="45">
        <v>40</v>
      </c>
      <c r="G41" s="45">
        <v>40</v>
      </c>
      <c r="H41" s="45">
        <v>80</v>
      </c>
      <c r="I41" s="45">
        <v>100</v>
      </c>
      <c r="J41" s="45">
        <v>130</v>
      </c>
      <c r="K41" s="45">
        <v>320</v>
      </c>
      <c r="L41" s="45">
        <v>370</v>
      </c>
      <c r="M41" s="45">
        <v>350</v>
      </c>
      <c r="N41" s="45">
        <v>300</v>
      </c>
      <c r="O41" s="45">
        <v>245</v>
      </c>
      <c r="P41" s="45">
        <v>170</v>
      </c>
      <c r="Q41" s="45">
        <v>130</v>
      </c>
      <c r="R41" s="45">
        <v>105</v>
      </c>
      <c r="S41" s="45">
        <v>150</v>
      </c>
      <c r="T41" s="45">
        <v>201</v>
      </c>
      <c r="U41" s="45">
        <v>260</v>
      </c>
      <c r="V41" s="45">
        <v>330</v>
      </c>
      <c r="W41" s="45">
        <v>380</v>
      </c>
      <c r="X41" s="45">
        <v>456</v>
      </c>
      <c r="Y41" s="45">
        <v>360</v>
      </c>
      <c r="Z41" s="45">
        <v>300</v>
      </c>
      <c r="AA41" s="45">
        <v>180</v>
      </c>
      <c r="AB41" s="45">
        <v>160</v>
      </c>
      <c r="AC41" s="45">
        <v>120</v>
      </c>
      <c r="AD41" s="45">
        <v>90</v>
      </c>
      <c r="AE41" s="45">
        <v>50</v>
      </c>
      <c r="AF41" s="45">
        <v>210</v>
      </c>
      <c r="AG41" s="52">
        <v>456</v>
      </c>
      <c r="AH41" s="48">
        <f t="shared" si="2"/>
        <v>456</v>
      </c>
      <c r="AI41" s="49">
        <f t="shared" si="3"/>
        <v>40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45</v>
      </c>
      <c r="U42" s="65">
        <v>55</v>
      </c>
      <c r="V42" s="65">
        <v>59</v>
      </c>
      <c r="W42" s="65">
        <v>60</v>
      </c>
      <c r="X42" s="6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45</v>
      </c>
      <c r="AK42" s="50"/>
    </row>
    <row r="43" spans="1:88" ht="15.75" thickBot="1" x14ac:dyDescent="0.3">
      <c r="A43" s="66" t="s">
        <v>51</v>
      </c>
      <c r="B43" s="67">
        <v>21.4</v>
      </c>
      <c r="C43" s="67">
        <v>21.5</v>
      </c>
      <c r="D43" s="67">
        <v>21.5</v>
      </c>
      <c r="E43" s="67">
        <v>21.4</v>
      </c>
      <c r="F43" s="67">
        <v>21.5</v>
      </c>
      <c r="G43" s="67">
        <v>21.4</v>
      </c>
      <c r="H43" s="67">
        <v>21.4</v>
      </c>
      <c r="I43" s="67">
        <v>21.4</v>
      </c>
      <c r="J43" s="67">
        <v>21.5</v>
      </c>
      <c r="K43" s="67">
        <v>21.5</v>
      </c>
      <c r="L43" s="67">
        <v>21.1</v>
      </c>
      <c r="M43" s="67">
        <v>21</v>
      </c>
      <c r="N43" s="67">
        <v>21</v>
      </c>
      <c r="O43" s="67">
        <v>21</v>
      </c>
      <c r="P43" s="67">
        <v>21</v>
      </c>
      <c r="Q43" s="67">
        <v>21</v>
      </c>
      <c r="R43" s="67">
        <v>21</v>
      </c>
      <c r="S43" s="67">
        <v>21</v>
      </c>
      <c r="T43" s="67">
        <v>21</v>
      </c>
      <c r="U43" s="67">
        <v>21.1</v>
      </c>
      <c r="V43" s="67">
        <v>21.1</v>
      </c>
      <c r="W43" s="67">
        <v>21</v>
      </c>
      <c r="X43" s="67">
        <v>21.1</v>
      </c>
      <c r="Y43" s="67">
        <v>21.1</v>
      </c>
      <c r="Z43" s="67">
        <v>21</v>
      </c>
      <c r="AA43" s="67">
        <v>21</v>
      </c>
      <c r="AB43" s="67">
        <v>21</v>
      </c>
      <c r="AC43" s="67">
        <v>21</v>
      </c>
      <c r="AD43" s="67">
        <v>21.1</v>
      </c>
      <c r="AE43" s="67">
        <v>21.1</v>
      </c>
      <c r="AF43" s="67">
        <v>21.1</v>
      </c>
      <c r="AG43" s="68">
        <v>22.1</v>
      </c>
      <c r="AH43" s="48">
        <f t="shared" si="2"/>
        <v>21.5</v>
      </c>
      <c r="AI43" s="49">
        <f t="shared" si="3"/>
        <v>21</v>
      </c>
      <c r="AK43" s="50"/>
    </row>
    <row r="44" spans="1:88" ht="15.75" thickBot="1" x14ac:dyDescent="0.3">
      <c r="A44" s="69" t="s">
        <v>52</v>
      </c>
      <c r="B44" s="61">
        <f>SUM(B41:B43)</f>
        <v>211.4</v>
      </c>
      <c r="C44" s="61">
        <f t="shared" ref="C44:AG44" si="5">SUM(C41:C43)</f>
        <v>191.5</v>
      </c>
      <c r="D44" s="61">
        <f t="shared" si="5"/>
        <v>191.5</v>
      </c>
      <c r="E44" s="61">
        <f t="shared" si="5"/>
        <v>121.4</v>
      </c>
      <c r="F44" s="61">
        <f t="shared" si="5"/>
        <v>121.5</v>
      </c>
      <c r="G44" s="61">
        <f t="shared" si="5"/>
        <v>121.4</v>
      </c>
      <c r="H44" s="61">
        <f t="shared" si="5"/>
        <v>161.4</v>
      </c>
      <c r="I44" s="61">
        <f t="shared" si="5"/>
        <v>181.4</v>
      </c>
      <c r="J44" s="61">
        <f t="shared" si="5"/>
        <v>211.5</v>
      </c>
      <c r="K44" s="61">
        <f t="shared" si="5"/>
        <v>401.5</v>
      </c>
      <c r="L44" s="61">
        <f t="shared" si="5"/>
        <v>451.1</v>
      </c>
      <c r="M44" s="61">
        <f t="shared" si="5"/>
        <v>431</v>
      </c>
      <c r="N44" s="61">
        <f t="shared" si="5"/>
        <v>381</v>
      </c>
      <c r="O44" s="61">
        <f t="shared" si="5"/>
        <v>326</v>
      </c>
      <c r="P44" s="61">
        <f t="shared" si="5"/>
        <v>251</v>
      </c>
      <c r="Q44" s="61">
        <f t="shared" si="5"/>
        <v>211</v>
      </c>
      <c r="R44" s="61">
        <f t="shared" si="5"/>
        <v>186</v>
      </c>
      <c r="S44" s="61">
        <f t="shared" si="5"/>
        <v>231</v>
      </c>
      <c r="T44" s="61">
        <f t="shared" si="5"/>
        <v>267</v>
      </c>
      <c r="U44" s="61">
        <f t="shared" si="5"/>
        <v>336.1</v>
      </c>
      <c r="V44" s="61">
        <f t="shared" si="5"/>
        <v>410.1</v>
      </c>
      <c r="W44" s="61">
        <f t="shared" si="5"/>
        <v>461</v>
      </c>
      <c r="X44" s="61">
        <f t="shared" si="5"/>
        <v>537.1</v>
      </c>
      <c r="Y44" s="61">
        <f t="shared" si="5"/>
        <v>441.1</v>
      </c>
      <c r="Z44" s="61">
        <f t="shared" si="5"/>
        <v>381</v>
      </c>
      <c r="AA44" s="61">
        <f t="shared" si="5"/>
        <v>261</v>
      </c>
      <c r="AB44" s="61">
        <f t="shared" si="5"/>
        <v>241</v>
      </c>
      <c r="AC44" s="61">
        <f t="shared" si="5"/>
        <v>201</v>
      </c>
      <c r="AD44" s="61">
        <f t="shared" si="5"/>
        <v>171.1</v>
      </c>
      <c r="AE44" s="61">
        <f t="shared" si="5"/>
        <v>131.1</v>
      </c>
      <c r="AF44" s="61">
        <f t="shared" si="5"/>
        <v>291.10000000000002</v>
      </c>
      <c r="AG44" s="62">
        <f t="shared" si="5"/>
        <v>538.1</v>
      </c>
      <c r="AH44" s="48">
        <f t="shared" si="2"/>
        <v>537.1</v>
      </c>
      <c r="AI44" s="49">
        <f t="shared" si="3"/>
        <v>121.4</v>
      </c>
      <c r="AK44" s="50"/>
    </row>
    <row r="45" spans="1:88" x14ac:dyDescent="0.25">
      <c r="A45" s="44" t="s">
        <v>53</v>
      </c>
      <c r="B45" s="45">
        <v>132.9</v>
      </c>
      <c r="C45" s="45">
        <v>121.1</v>
      </c>
      <c r="D45" s="45">
        <v>111.5</v>
      </c>
      <c r="E45" s="45">
        <v>101.4</v>
      </c>
      <c r="F45" s="45">
        <v>111</v>
      </c>
      <c r="G45" s="45">
        <v>140</v>
      </c>
      <c r="H45" s="45">
        <v>140</v>
      </c>
      <c r="I45" s="45">
        <v>140</v>
      </c>
      <c r="J45" s="45">
        <v>140</v>
      </c>
      <c r="K45" s="45">
        <v>143.5</v>
      </c>
      <c r="L45" s="45">
        <v>143.5</v>
      </c>
      <c r="M45" s="45">
        <v>143.5</v>
      </c>
      <c r="N45" s="45">
        <v>143.5</v>
      </c>
      <c r="O45" s="45">
        <v>143.5</v>
      </c>
      <c r="P45" s="45">
        <v>143.5</v>
      </c>
      <c r="Q45" s="45">
        <v>143.5</v>
      </c>
      <c r="R45" s="45">
        <v>143.5</v>
      </c>
      <c r="S45" s="45">
        <v>143.5</v>
      </c>
      <c r="T45" s="45">
        <v>143.69999999999999</v>
      </c>
      <c r="U45" s="45">
        <v>143.80000000000001</v>
      </c>
      <c r="V45" s="45">
        <v>143.80000000000001</v>
      </c>
      <c r="W45" s="45">
        <v>143</v>
      </c>
      <c r="X45" s="45">
        <v>143.4</v>
      </c>
      <c r="Y45" s="45">
        <v>143.4</v>
      </c>
      <c r="Z45" s="45">
        <v>143.4</v>
      </c>
      <c r="AA45" s="45">
        <v>143.6</v>
      </c>
      <c r="AB45" s="45">
        <v>143.6</v>
      </c>
      <c r="AC45" s="45">
        <v>143.6</v>
      </c>
      <c r="AD45" s="45">
        <v>143.6</v>
      </c>
      <c r="AE45" s="45">
        <v>143.69999999999999</v>
      </c>
      <c r="AF45" s="45">
        <v>143.19999999999999</v>
      </c>
      <c r="AG45" s="52">
        <v>144</v>
      </c>
      <c r="AH45" s="48">
        <f t="shared" si="2"/>
        <v>143.80000000000001</v>
      </c>
      <c r="AI45" s="49">
        <f t="shared" si="3"/>
        <v>101.4</v>
      </c>
      <c r="AK45" s="50"/>
    </row>
    <row r="46" spans="1:88" x14ac:dyDescent="0.25">
      <c r="A46" s="54" t="s">
        <v>54</v>
      </c>
      <c r="B46" s="65">
        <v>73.2</v>
      </c>
      <c r="C46" s="65">
        <v>52.1</v>
      </c>
      <c r="D46" s="65">
        <v>51.3</v>
      </c>
      <c r="E46" s="65">
        <v>51.3</v>
      </c>
      <c r="F46" s="65">
        <v>51.1</v>
      </c>
      <c r="G46" s="65">
        <v>70.599999999999994</v>
      </c>
      <c r="H46" s="65">
        <v>70.599999999999994</v>
      </c>
      <c r="I46" s="65">
        <v>70.599999999999994</v>
      </c>
      <c r="J46" s="65">
        <v>68.5</v>
      </c>
      <c r="K46" s="65">
        <v>70.5</v>
      </c>
      <c r="L46" s="65">
        <v>70.5</v>
      </c>
      <c r="M46" s="65">
        <v>70.5</v>
      </c>
      <c r="N46" s="65">
        <v>70.5</v>
      </c>
      <c r="O46" s="65">
        <v>70.5</v>
      </c>
      <c r="P46" s="65">
        <v>70.5</v>
      </c>
      <c r="Q46" s="65">
        <v>70.5</v>
      </c>
      <c r="R46" s="65">
        <v>70.5</v>
      </c>
      <c r="S46" s="65">
        <v>66</v>
      </c>
      <c r="T46" s="65">
        <v>47.7</v>
      </c>
      <c r="U46" s="65">
        <v>31</v>
      </c>
      <c r="V46" s="65">
        <v>31</v>
      </c>
      <c r="W46" s="65">
        <v>35</v>
      </c>
      <c r="X46" s="65">
        <v>73</v>
      </c>
      <c r="Y46" s="65">
        <v>73</v>
      </c>
      <c r="Z46" s="65">
        <v>73</v>
      </c>
      <c r="AA46" s="65">
        <v>72.599999999999994</v>
      </c>
      <c r="AB46" s="65">
        <v>72.599999999999994</v>
      </c>
      <c r="AC46" s="65">
        <v>60</v>
      </c>
      <c r="AD46" s="65">
        <v>50</v>
      </c>
      <c r="AE46" s="65">
        <v>34.5</v>
      </c>
      <c r="AF46" s="65">
        <v>34.5</v>
      </c>
      <c r="AG46" s="55">
        <v>70</v>
      </c>
      <c r="AH46" s="48">
        <f t="shared" si="2"/>
        <v>73.2</v>
      </c>
      <c r="AI46" s="49">
        <f t="shared" si="3"/>
        <v>31</v>
      </c>
      <c r="AK46" s="50"/>
    </row>
    <row r="47" spans="1:88" x14ac:dyDescent="0.25">
      <c r="A47" s="54" t="s">
        <v>55</v>
      </c>
      <c r="B47" s="65">
        <v>65.099999999999994</v>
      </c>
      <c r="C47" s="65">
        <v>63.6</v>
      </c>
      <c r="D47" s="65">
        <v>59.4</v>
      </c>
      <c r="E47" s="65">
        <v>59.4</v>
      </c>
      <c r="F47" s="65">
        <v>58.5</v>
      </c>
      <c r="G47" s="65">
        <v>68.400000000000006</v>
      </c>
      <c r="H47" s="65">
        <v>68.400000000000006</v>
      </c>
      <c r="I47" s="65">
        <v>68.400000000000006</v>
      </c>
      <c r="J47" s="65">
        <v>69.599999999999994</v>
      </c>
      <c r="K47" s="65">
        <v>69.599999999999994</v>
      </c>
      <c r="L47" s="65">
        <v>69.599999999999994</v>
      </c>
      <c r="M47" s="65">
        <v>69.599999999999994</v>
      </c>
      <c r="N47" s="65">
        <v>69.599999999999994</v>
      </c>
      <c r="O47" s="65">
        <v>69.599999999999994</v>
      </c>
      <c r="P47" s="65">
        <v>69.599999999999994</v>
      </c>
      <c r="Q47" s="65">
        <v>69.599999999999994</v>
      </c>
      <c r="R47" s="65">
        <v>69.599999999999994</v>
      </c>
      <c r="S47" s="65">
        <v>70.900000000000006</v>
      </c>
      <c r="T47" s="65">
        <v>71.400000000000006</v>
      </c>
      <c r="U47" s="65">
        <v>71.599999999999994</v>
      </c>
      <c r="V47" s="65">
        <v>71.599999999999994</v>
      </c>
      <c r="W47" s="65">
        <v>71.599999999999994</v>
      </c>
      <c r="X47" s="65">
        <v>71.599999999999994</v>
      </c>
      <c r="Y47" s="65">
        <v>71.599999999999994</v>
      </c>
      <c r="Z47" s="65">
        <v>71.599999999999994</v>
      </c>
      <c r="AA47" s="65">
        <v>71</v>
      </c>
      <c r="AB47" s="65">
        <v>71</v>
      </c>
      <c r="AC47" s="65">
        <v>71</v>
      </c>
      <c r="AD47" s="65">
        <v>70</v>
      </c>
      <c r="AE47" s="65">
        <v>69</v>
      </c>
      <c r="AF47" s="65">
        <v>69</v>
      </c>
      <c r="AG47" s="55">
        <v>69</v>
      </c>
      <c r="AH47" s="48">
        <f t="shared" si="2"/>
        <v>71.599999999999994</v>
      </c>
      <c r="AI47" s="49">
        <f t="shared" si="3"/>
        <v>58.5</v>
      </c>
      <c r="AK47" s="50"/>
    </row>
    <row r="48" spans="1:88" x14ac:dyDescent="0.25">
      <c r="A48" s="54" t="s">
        <v>56</v>
      </c>
      <c r="B48" s="57">
        <v>42</v>
      </c>
      <c r="C48" s="57">
        <v>41.8</v>
      </c>
      <c r="D48" s="57">
        <v>41.8</v>
      </c>
      <c r="E48" s="57">
        <v>29.7</v>
      </c>
      <c r="F48" s="57">
        <v>29.7</v>
      </c>
      <c r="G48" s="57">
        <v>29.5</v>
      </c>
      <c r="H48" s="57">
        <v>58.2</v>
      </c>
      <c r="I48" s="57">
        <v>61.5</v>
      </c>
      <c r="J48" s="57">
        <v>61.2</v>
      </c>
      <c r="K48" s="57">
        <v>61.2</v>
      </c>
      <c r="L48" s="57">
        <v>61.2</v>
      </c>
      <c r="M48" s="57">
        <v>61.2</v>
      </c>
      <c r="N48" s="57">
        <v>61.2</v>
      </c>
      <c r="O48" s="57">
        <v>61.2</v>
      </c>
      <c r="P48" s="57">
        <v>61.2</v>
      </c>
      <c r="Q48" s="57">
        <v>61.2</v>
      </c>
      <c r="R48" s="57">
        <v>61.2</v>
      </c>
      <c r="S48" s="45">
        <v>61.2</v>
      </c>
      <c r="T48" s="45">
        <v>61.5</v>
      </c>
      <c r="U48" s="45">
        <v>61.5</v>
      </c>
      <c r="V48" s="45">
        <v>61.5</v>
      </c>
      <c r="W48" s="45">
        <v>61.5</v>
      </c>
      <c r="X48" s="65">
        <v>61.5</v>
      </c>
      <c r="Y48" s="65">
        <v>61.5</v>
      </c>
      <c r="Z48" s="65">
        <v>61.5</v>
      </c>
      <c r="AA48" s="65">
        <v>61.5</v>
      </c>
      <c r="AB48" s="65">
        <v>61.5</v>
      </c>
      <c r="AC48" s="65">
        <v>61.5</v>
      </c>
      <c r="AD48" s="65">
        <v>61.5</v>
      </c>
      <c r="AE48" s="57">
        <v>61.5</v>
      </c>
      <c r="AF48" s="57">
        <v>61.5</v>
      </c>
      <c r="AG48" s="55">
        <v>60</v>
      </c>
      <c r="AH48" s="48">
        <f t="shared" si="2"/>
        <v>61.5</v>
      </c>
      <c r="AI48" s="49">
        <f t="shared" si="3"/>
        <v>29.5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14.4</v>
      </c>
      <c r="I49" s="57">
        <v>15</v>
      </c>
      <c r="J49" s="57">
        <v>15</v>
      </c>
      <c r="K49" s="57">
        <v>15</v>
      </c>
      <c r="L49" s="57">
        <v>15</v>
      </c>
      <c r="M49" s="57">
        <v>26.5</v>
      </c>
      <c r="N49" s="57">
        <v>30</v>
      </c>
      <c r="O49" s="57">
        <v>13</v>
      </c>
      <c r="P49" s="57">
        <v>13</v>
      </c>
      <c r="Q49" s="57">
        <v>0</v>
      </c>
      <c r="R49" s="57">
        <v>0</v>
      </c>
      <c r="S49" s="45">
        <v>0</v>
      </c>
      <c r="T49" s="45">
        <v>0</v>
      </c>
      <c r="U49" s="45">
        <v>0</v>
      </c>
      <c r="V49" s="45">
        <v>0</v>
      </c>
      <c r="W49" s="45">
        <v>30</v>
      </c>
      <c r="X49" s="65">
        <v>30</v>
      </c>
      <c r="Y49" s="65">
        <v>30</v>
      </c>
      <c r="Z49" s="65">
        <v>30</v>
      </c>
      <c r="AA49" s="65">
        <v>30</v>
      </c>
      <c r="AB49" s="65">
        <v>30</v>
      </c>
      <c r="AC49" s="65">
        <v>15</v>
      </c>
      <c r="AD49" s="65">
        <v>15</v>
      </c>
      <c r="AE49" s="57">
        <v>0</v>
      </c>
      <c r="AF49" s="57">
        <v>0</v>
      </c>
      <c r="AG49" s="55">
        <v>30</v>
      </c>
      <c r="AH49" s="48">
        <f t="shared" si="2"/>
        <v>30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4</v>
      </c>
      <c r="N50" s="65">
        <v>4</v>
      </c>
      <c r="O50" s="65">
        <v>4</v>
      </c>
      <c r="P50" s="65">
        <v>4</v>
      </c>
      <c r="Q50" s="65">
        <v>4</v>
      </c>
      <c r="R50" s="65">
        <v>4</v>
      </c>
      <c r="S50" s="45">
        <v>4</v>
      </c>
      <c r="T50" s="45">
        <v>4</v>
      </c>
      <c r="U50" s="45">
        <v>4</v>
      </c>
      <c r="V50" s="45">
        <v>4</v>
      </c>
      <c r="W50" s="45">
        <v>4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65">
        <v>0</v>
      </c>
      <c r="AF50" s="65">
        <v>0</v>
      </c>
      <c r="AG50" s="55">
        <v>25</v>
      </c>
      <c r="AH50" s="48">
        <f t="shared" si="2"/>
        <v>4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17.399999999999999</v>
      </c>
      <c r="C51" s="65">
        <v>17.100000000000001</v>
      </c>
      <c r="D51" s="65">
        <v>17</v>
      </c>
      <c r="E51" s="65">
        <v>17</v>
      </c>
      <c r="F51" s="65">
        <v>17</v>
      </c>
      <c r="G51" s="65">
        <v>17</v>
      </c>
      <c r="H51" s="65">
        <v>17</v>
      </c>
      <c r="I51" s="65">
        <v>17</v>
      </c>
      <c r="J51" s="65">
        <v>17</v>
      </c>
      <c r="K51" s="65">
        <v>17</v>
      </c>
      <c r="L51" s="65">
        <v>17</v>
      </c>
      <c r="M51" s="65">
        <v>17</v>
      </c>
      <c r="N51" s="65">
        <v>17</v>
      </c>
      <c r="O51" s="65">
        <v>17</v>
      </c>
      <c r="P51" s="65">
        <v>17</v>
      </c>
      <c r="Q51" s="65">
        <v>17</v>
      </c>
      <c r="R51" s="65">
        <v>17</v>
      </c>
      <c r="S51" s="45">
        <v>17</v>
      </c>
      <c r="T51" s="45">
        <v>17</v>
      </c>
      <c r="U51" s="45">
        <v>17</v>
      </c>
      <c r="V51" s="45">
        <v>17</v>
      </c>
      <c r="W51" s="45">
        <v>17</v>
      </c>
      <c r="X51" s="45">
        <v>17</v>
      </c>
      <c r="Y51" s="45">
        <v>17</v>
      </c>
      <c r="Z51" s="45">
        <v>17</v>
      </c>
      <c r="AA51" s="45">
        <v>17</v>
      </c>
      <c r="AB51" s="45">
        <v>17</v>
      </c>
      <c r="AC51" s="45">
        <v>17</v>
      </c>
      <c r="AD51" s="45">
        <v>17</v>
      </c>
      <c r="AE51" s="45">
        <v>17</v>
      </c>
      <c r="AF51" s="45">
        <v>17</v>
      </c>
      <c r="AG51" s="55">
        <v>24</v>
      </c>
      <c r="AH51" s="48">
        <f t="shared" si="2"/>
        <v>17.399999999999999</v>
      </c>
      <c r="AI51" s="49">
        <f t="shared" si="3"/>
        <v>17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13.9</v>
      </c>
      <c r="C53" s="65">
        <v>13.9</v>
      </c>
      <c r="D53" s="65">
        <v>14</v>
      </c>
      <c r="E53" s="65">
        <v>14</v>
      </c>
      <c r="F53" s="65">
        <v>14</v>
      </c>
      <c r="G53" s="65">
        <v>14</v>
      </c>
      <c r="H53" s="65">
        <v>14</v>
      </c>
      <c r="I53" s="65">
        <v>14</v>
      </c>
      <c r="J53" s="65">
        <v>14</v>
      </c>
      <c r="K53" s="65">
        <v>14</v>
      </c>
      <c r="L53" s="65">
        <v>14</v>
      </c>
      <c r="M53" s="65">
        <v>14</v>
      </c>
      <c r="N53" s="65">
        <v>14</v>
      </c>
      <c r="O53" s="65">
        <v>14</v>
      </c>
      <c r="P53" s="65">
        <v>14</v>
      </c>
      <c r="Q53" s="65">
        <v>14</v>
      </c>
      <c r="R53" s="65">
        <v>14</v>
      </c>
      <c r="S53" s="65">
        <v>14</v>
      </c>
      <c r="T53" s="65">
        <v>14</v>
      </c>
      <c r="U53" s="65">
        <v>14</v>
      </c>
      <c r="V53" s="65">
        <v>14</v>
      </c>
      <c r="W53" s="65">
        <v>14</v>
      </c>
      <c r="X53" s="65">
        <v>14</v>
      </c>
      <c r="Y53" s="65">
        <v>14</v>
      </c>
      <c r="Z53" s="65">
        <v>14</v>
      </c>
      <c r="AA53" s="65">
        <v>14</v>
      </c>
      <c r="AB53" s="65">
        <v>14</v>
      </c>
      <c r="AC53" s="65">
        <v>14</v>
      </c>
      <c r="AD53" s="65">
        <v>14</v>
      </c>
      <c r="AE53" s="65">
        <v>14</v>
      </c>
      <c r="AF53" s="65">
        <v>14</v>
      </c>
      <c r="AG53" s="55">
        <v>14.1</v>
      </c>
      <c r="AH53" s="48">
        <f t="shared" si="2"/>
        <v>14</v>
      </c>
      <c r="AI53" s="49">
        <f t="shared" si="3"/>
        <v>13.9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9.3000000000000007</v>
      </c>
      <c r="C54" s="65">
        <v>9.5</v>
      </c>
      <c r="D54" s="65">
        <v>9.5</v>
      </c>
      <c r="E54" s="65">
        <v>9.5</v>
      </c>
      <c r="F54" s="65">
        <v>9.5</v>
      </c>
      <c r="G54" s="65">
        <v>9.5</v>
      </c>
      <c r="H54" s="65">
        <v>9.5</v>
      </c>
      <c r="I54" s="65">
        <v>9.5</v>
      </c>
      <c r="J54" s="65">
        <v>9.5</v>
      </c>
      <c r="K54" s="65">
        <v>9.5</v>
      </c>
      <c r="L54" s="65">
        <v>9.5</v>
      </c>
      <c r="M54" s="65">
        <v>9.5</v>
      </c>
      <c r="N54" s="65">
        <v>9.5</v>
      </c>
      <c r="O54" s="65">
        <v>9.5</v>
      </c>
      <c r="P54" s="65">
        <v>9.5</v>
      </c>
      <c r="Q54" s="65">
        <v>9.5</v>
      </c>
      <c r="R54" s="65">
        <v>9.5</v>
      </c>
      <c r="S54" s="65">
        <v>9.5</v>
      </c>
      <c r="T54" s="65">
        <v>9.5</v>
      </c>
      <c r="U54" s="65">
        <v>9.5</v>
      </c>
      <c r="V54" s="65">
        <v>9.5</v>
      </c>
      <c r="W54" s="65">
        <v>9.5</v>
      </c>
      <c r="X54" s="65">
        <v>10</v>
      </c>
      <c r="Y54" s="65">
        <v>10</v>
      </c>
      <c r="Z54" s="65">
        <v>10</v>
      </c>
      <c r="AA54" s="65">
        <v>10</v>
      </c>
      <c r="AB54" s="65">
        <v>10</v>
      </c>
      <c r="AC54" s="65">
        <v>10</v>
      </c>
      <c r="AD54" s="65">
        <v>10</v>
      </c>
      <c r="AE54" s="65">
        <v>9</v>
      </c>
      <c r="AF54" s="65">
        <v>9</v>
      </c>
      <c r="AG54" s="55">
        <v>14</v>
      </c>
      <c r="AH54" s="48">
        <f t="shared" si="2"/>
        <v>10</v>
      </c>
      <c r="AI54" s="49">
        <f t="shared" si="3"/>
        <v>9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9</v>
      </c>
      <c r="W55" s="65">
        <v>9</v>
      </c>
      <c r="X55" s="65">
        <v>9</v>
      </c>
      <c r="Y55" s="6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65">
        <v>4.5999999999999996</v>
      </c>
      <c r="U56" s="65">
        <v>4.5999999999999996</v>
      </c>
      <c r="V56" s="65">
        <v>4.5999999999999996</v>
      </c>
      <c r="W56" s="65">
        <v>4.5999999999999996</v>
      </c>
      <c r="X56" s="65">
        <v>4.5999999999999996</v>
      </c>
      <c r="Y56" s="65">
        <v>4.5999999999999996</v>
      </c>
      <c r="Z56" s="65">
        <v>4.5999999999999996</v>
      </c>
      <c r="AA56" s="65">
        <v>4.5999999999999996</v>
      </c>
      <c r="AB56" s="65">
        <v>4.5999999999999996</v>
      </c>
      <c r="AC56" s="65">
        <v>4.5999999999999996</v>
      </c>
      <c r="AD56" s="65">
        <v>4.5999999999999996</v>
      </c>
      <c r="AE56" s="65">
        <v>4.5999999999999996</v>
      </c>
      <c r="AF56" s="65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>SUM(B45:B57)</f>
        <v>370.94000000000005</v>
      </c>
      <c r="C58" s="61">
        <f t="shared" ref="C58:AG58" si="6">SUM(C45:C57)</f>
        <v>336.24</v>
      </c>
      <c r="D58" s="61">
        <f t="shared" si="6"/>
        <v>321.64000000000004</v>
      </c>
      <c r="E58" s="61">
        <f t="shared" si="6"/>
        <v>299.44</v>
      </c>
      <c r="F58" s="61">
        <f t="shared" si="6"/>
        <v>307.94</v>
      </c>
      <c r="G58" s="61">
        <f t="shared" si="6"/>
        <v>366.14000000000004</v>
      </c>
      <c r="H58" s="61">
        <f t="shared" si="6"/>
        <v>409.24</v>
      </c>
      <c r="I58" s="61">
        <f t="shared" si="6"/>
        <v>413.14000000000004</v>
      </c>
      <c r="J58" s="61">
        <f t="shared" si="6"/>
        <v>411.94000000000005</v>
      </c>
      <c r="K58" s="61">
        <f t="shared" si="6"/>
        <v>417.44000000000005</v>
      </c>
      <c r="L58" s="61">
        <f t="shared" si="6"/>
        <v>417.44000000000005</v>
      </c>
      <c r="M58" s="61">
        <f t="shared" si="6"/>
        <v>432.94000000000005</v>
      </c>
      <c r="N58" s="61">
        <f t="shared" si="6"/>
        <v>436.44000000000005</v>
      </c>
      <c r="O58" s="61">
        <f t="shared" si="6"/>
        <v>419.44000000000005</v>
      </c>
      <c r="P58" s="61">
        <f t="shared" si="6"/>
        <v>419.44000000000005</v>
      </c>
      <c r="Q58" s="61">
        <f t="shared" si="6"/>
        <v>406.44000000000005</v>
      </c>
      <c r="R58" s="61">
        <f t="shared" si="6"/>
        <v>406.44000000000005</v>
      </c>
      <c r="S58" s="61">
        <f t="shared" si="6"/>
        <v>403.24</v>
      </c>
      <c r="T58" s="61">
        <f t="shared" si="6"/>
        <v>385.94</v>
      </c>
      <c r="U58" s="61">
        <f t="shared" si="6"/>
        <v>369.54</v>
      </c>
      <c r="V58" s="61">
        <f t="shared" si="6"/>
        <v>369.54</v>
      </c>
      <c r="W58" s="61">
        <f>SUM(W45:W57)</f>
        <v>402.74000000000007</v>
      </c>
      <c r="X58" s="61">
        <f t="shared" si="6"/>
        <v>437.64000000000004</v>
      </c>
      <c r="Y58" s="61">
        <f t="shared" si="6"/>
        <v>437.64000000000004</v>
      </c>
      <c r="Z58" s="61">
        <f t="shared" si="6"/>
        <v>437.64000000000004</v>
      </c>
      <c r="AA58" s="61">
        <f t="shared" si="6"/>
        <v>436.84000000000003</v>
      </c>
      <c r="AB58" s="61">
        <f t="shared" si="6"/>
        <v>436.84000000000003</v>
      </c>
      <c r="AC58" s="61">
        <f t="shared" si="6"/>
        <v>409.24000000000007</v>
      </c>
      <c r="AD58" s="61">
        <f t="shared" si="6"/>
        <v>398.24000000000007</v>
      </c>
      <c r="AE58" s="61">
        <f t="shared" si="6"/>
        <v>365.84000000000003</v>
      </c>
      <c r="AF58" s="61">
        <f t="shared" si="6"/>
        <v>365.34000000000003</v>
      </c>
      <c r="AG58" s="62">
        <f t="shared" si="6"/>
        <v>489.91</v>
      </c>
      <c r="AH58" s="48">
        <f t="shared" si="2"/>
        <v>437.64000000000004</v>
      </c>
      <c r="AI58" s="49">
        <f t="shared" si="3"/>
        <v>299.44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0</v>
      </c>
      <c r="X59" s="45">
        <v>30</v>
      </c>
      <c r="Y59" s="45">
        <v>0</v>
      </c>
      <c r="Z59" s="45">
        <v>0</v>
      </c>
      <c r="AA59" s="45">
        <v>0</v>
      </c>
      <c r="AB59" s="45"/>
      <c r="AC59" s="45"/>
      <c r="AD59" s="45"/>
      <c r="AE59" s="45"/>
      <c r="AF59" s="45"/>
      <c r="AG59" s="52">
        <v>60</v>
      </c>
      <c r="AH59" s="48">
        <f t="shared" si="2"/>
        <v>30</v>
      </c>
      <c r="AI59" s="49">
        <f t="shared" si="3"/>
        <v>0</v>
      </c>
      <c r="AK59" s="50"/>
    </row>
    <row r="60" spans="1:41" x14ac:dyDescent="0.25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15</v>
      </c>
      <c r="Y60" s="65">
        <v>7</v>
      </c>
      <c r="Z60" s="65">
        <v>0</v>
      </c>
      <c r="AA60" s="65">
        <v>0</v>
      </c>
      <c r="AB60" s="65"/>
      <c r="AC60" s="65"/>
      <c r="AD60" s="65"/>
      <c r="AE60" s="65"/>
      <c r="AF60" s="65"/>
      <c r="AG60" s="55">
        <v>32</v>
      </c>
      <c r="AH60" s="48">
        <f t="shared" si="2"/>
        <v>15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0</v>
      </c>
      <c r="X61" s="67">
        <v>3.9</v>
      </c>
      <c r="Y61" s="67">
        <v>3</v>
      </c>
      <c r="Z61" s="67">
        <v>0</v>
      </c>
      <c r="AA61" s="67">
        <v>0</v>
      </c>
      <c r="AB61" s="67"/>
      <c r="AC61" s="67"/>
      <c r="AD61" s="67"/>
      <c r="AE61" s="67"/>
      <c r="AF61" s="67"/>
      <c r="AG61" s="68">
        <v>14</v>
      </c>
      <c r="AH61" s="48">
        <f t="shared" si="2"/>
        <v>3.9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>SUM(B59:B61)</f>
        <v>0</v>
      </c>
      <c r="C62" s="61">
        <f t="shared" ref="C62:AG62" si="7">SUM(C59:C61)</f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0</v>
      </c>
      <c r="X62" s="61">
        <f t="shared" si="7"/>
        <v>48.9</v>
      </c>
      <c r="Y62" s="61">
        <f t="shared" si="7"/>
        <v>10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48.9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-322</v>
      </c>
      <c r="C65" s="65">
        <v>-300</v>
      </c>
      <c r="D65" s="65">
        <v>-298</v>
      </c>
      <c r="E65" s="65">
        <v>-199.6</v>
      </c>
      <c r="F65" s="65">
        <v>-196.4</v>
      </c>
      <c r="G65" s="65">
        <v>-170.6</v>
      </c>
      <c r="H65" s="65">
        <v>-175.2</v>
      </c>
      <c r="I65" s="65">
        <v>-178</v>
      </c>
      <c r="J65" s="65">
        <v>-171.7</v>
      </c>
      <c r="K65" s="65">
        <v>-207.4</v>
      </c>
      <c r="L65" s="65">
        <v>-233.8</v>
      </c>
      <c r="M65" s="65">
        <v>-240</v>
      </c>
      <c r="N65" s="65">
        <v>-198.4</v>
      </c>
      <c r="O65" s="65">
        <v>-202.5</v>
      </c>
      <c r="P65" s="65">
        <v>-205.2</v>
      </c>
      <c r="Q65" s="65">
        <v>-199.5</v>
      </c>
      <c r="R65" s="65">
        <v>-211.7</v>
      </c>
      <c r="S65" s="65">
        <v>-199.5</v>
      </c>
      <c r="T65" s="65">
        <v>-205.3</v>
      </c>
      <c r="U65" s="65">
        <v>-199</v>
      </c>
      <c r="V65" s="65">
        <v>-214</v>
      </c>
      <c r="W65" s="65">
        <v>-156</v>
      </c>
      <c r="X65" s="65">
        <v>-209</v>
      </c>
      <c r="Y65" s="65">
        <v>-165</v>
      </c>
      <c r="Z65" s="65">
        <v>-170</v>
      </c>
      <c r="AA65" s="65">
        <v>-135</v>
      </c>
      <c r="AB65" s="65">
        <v>-186</v>
      </c>
      <c r="AC65" s="65">
        <v>-200</v>
      </c>
      <c r="AD65" s="65">
        <v>-191</v>
      </c>
      <c r="AE65" s="65">
        <v>-200</v>
      </c>
      <c r="AF65" s="65">
        <v>-292</v>
      </c>
      <c r="AG65" s="75"/>
      <c r="AH65" s="48">
        <f t="shared" si="2"/>
        <v>-135</v>
      </c>
      <c r="AI65" s="49">
        <f t="shared" si="3"/>
        <v>-322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4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45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45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7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7">
        <v>0</v>
      </c>
      <c r="C70" s="45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7">
        <v>0</v>
      </c>
      <c r="C71" s="45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7">
        <v>0</v>
      </c>
      <c r="C72" s="45">
        <v>0</v>
      </c>
      <c r="D72" s="76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7">
        <v>0</v>
      </c>
      <c r="C73" s="45">
        <v>0</v>
      </c>
      <c r="D73" s="76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79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>SUMIF(B63:B73,"&gt;0")</f>
        <v>0</v>
      </c>
      <c r="C74" s="61">
        <f t="shared" ref="C74:AF74" si="8">SUMIF(C63:C73,"&gt;0")</f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f t="shared" si="8"/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>B40+B44+B62+B58+B74+B78</f>
        <v>1177.2400000000002</v>
      </c>
      <c r="C79" s="83">
        <f t="shared" ref="C79:AG79" si="11">C40+C44+C62+C58+C74+C78</f>
        <v>1123.24</v>
      </c>
      <c r="D79" s="83">
        <f t="shared" si="11"/>
        <v>1107.94</v>
      </c>
      <c r="E79" s="83">
        <f t="shared" si="11"/>
        <v>1015.6399999999999</v>
      </c>
      <c r="F79" s="83">
        <f t="shared" si="11"/>
        <v>1015.1400000000001</v>
      </c>
      <c r="G79" s="83">
        <f t="shared" si="11"/>
        <v>1073.24</v>
      </c>
      <c r="H79" s="83">
        <f t="shared" si="11"/>
        <v>1156.3400000000001</v>
      </c>
      <c r="I79" s="83">
        <f t="shared" si="11"/>
        <v>1247.6400000000001</v>
      </c>
      <c r="J79" s="83">
        <f t="shared" si="11"/>
        <v>1279.7400000000002</v>
      </c>
      <c r="K79" s="83">
        <f t="shared" si="11"/>
        <v>1475.2400000000002</v>
      </c>
      <c r="L79" s="83">
        <f t="shared" si="11"/>
        <v>1524.8400000000001</v>
      </c>
      <c r="M79" s="83">
        <f t="shared" si="11"/>
        <v>1517.44</v>
      </c>
      <c r="N79" s="83">
        <f t="shared" si="11"/>
        <v>1469.7400000000002</v>
      </c>
      <c r="O79" s="83">
        <f t="shared" si="11"/>
        <v>1397.14</v>
      </c>
      <c r="P79" s="83">
        <f t="shared" si="11"/>
        <v>1322.14</v>
      </c>
      <c r="Q79" s="83">
        <f t="shared" si="11"/>
        <v>1266.44</v>
      </c>
      <c r="R79" s="83">
        <f t="shared" si="11"/>
        <v>1241.44</v>
      </c>
      <c r="S79" s="83">
        <f t="shared" si="11"/>
        <v>1283.94</v>
      </c>
      <c r="T79" s="83">
        <f t="shared" si="11"/>
        <v>1302.6400000000001</v>
      </c>
      <c r="U79" s="83">
        <f t="shared" si="11"/>
        <v>1353.3400000000001</v>
      </c>
      <c r="V79" s="83">
        <f t="shared" si="11"/>
        <v>1418.7400000000002</v>
      </c>
      <c r="W79" s="83">
        <f t="shared" si="11"/>
        <v>1501.74</v>
      </c>
      <c r="X79" s="83">
        <f t="shared" si="11"/>
        <v>1112.6400000000001</v>
      </c>
      <c r="Y79" s="83">
        <f t="shared" si="11"/>
        <v>1536.8400000000001</v>
      </c>
      <c r="Z79" s="83">
        <f t="shared" si="11"/>
        <v>1466.74</v>
      </c>
      <c r="AA79" s="83">
        <f t="shared" si="11"/>
        <v>1345.8400000000001</v>
      </c>
      <c r="AB79" s="83">
        <f t="shared" si="11"/>
        <v>1325.8400000000001</v>
      </c>
      <c r="AC79" s="83">
        <f t="shared" si="11"/>
        <v>1258.24</v>
      </c>
      <c r="AD79" s="83">
        <f t="shared" si="11"/>
        <v>1217.3400000000001</v>
      </c>
      <c r="AE79" s="83">
        <f t="shared" si="11"/>
        <v>1107.1400000000001</v>
      </c>
      <c r="AF79" s="83">
        <f t="shared" si="11"/>
        <v>1246.04</v>
      </c>
      <c r="AG79" s="62">
        <f t="shared" si="11"/>
        <v>1897.1900000000003</v>
      </c>
      <c r="AH79" s="48">
        <f t="shared" si="9"/>
        <v>1536.8400000000001</v>
      </c>
      <c r="AI79" s="49">
        <f t="shared" si="10"/>
        <v>1015.1400000000001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>B79+B80</f>
        <v>1177.2400000000002</v>
      </c>
      <c r="C81" s="83">
        <f t="shared" ref="C81:AF81" si="12">C79+C80</f>
        <v>1123.24</v>
      </c>
      <c r="D81" s="83">
        <f t="shared" si="12"/>
        <v>1107.94</v>
      </c>
      <c r="E81" s="83">
        <f t="shared" si="12"/>
        <v>1015.6399999999999</v>
      </c>
      <c r="F81" s="83">
        <f t="shared" si="12"/>
        <v>1015.1400000000001</v>
      </c>
      <c r="G81" s="83">
        <f t="shared" si="12"/>
        <v>1073.24</v>
      </c>
      <c r="H81" s="83">
        <f t="shared" si="12"/>
        <v>1156.3400000000001</v>
      </c>
      <c r="I81" s="83">
        <f t="shared" si="12"/>
        <v>1247.6400000000001</v>
      </c>
      <c r="J81" s="83">
        <f t="shared" si="12"/>
        <v>1279.7400000000002</v>
      </c>
      <c r="K81" s="83">
        <f t="shared" si="12"/>
        <v>1475.2400000000002</v>
      </c>
      <c r="L81" s="83">
        <f t="shared" si="12"/>
        <v>1524.8400000000001</v>
      </c>
      <c r="M81" s="83">
        <f t="shared" si="12"/>
        <v>1517.44</v>
      </c>
      <c r="N81" s="83">
        <f t="shared" si="12"/>
        <v>1469.7400000000002</v>
      </c>
      <c r="O81" s="83">
        <f t="shared" si="12"/>
        <v>1397.14</v>
      </c>
      <c r="P81" s="83">
        <f t="shared" si="12"/>
        <v>1322.14</v>
      </c>
      <c r="Q81" s="83">
        <f t="shared" si="12"/>
        <v>1266.44</v>
      </c>
      <c r="R81" s="83">
        <f t="shared" si="12"/>
        <v>1241.44</v>
      </c>
      <c r="S81" s="83">
        <f t="shared" si="12"/>
        <v>1283.94</v>
      </c>
      <c r="T81" s="83">
        <f t="shared" si="12"/>
        <v>1302.6400000000001</v>
      </c>
      <c r="U81" s="83">
        <f t="shared" si="12"/>
        <v>1353.3400000000001</v>
      </c>
      <c r="V81" s="83">
        <f t="shared" si="12"/>
        <v>1418.7400000000002</v>
      </c>
      <c r="W81" s="83">
        <f t="shared" si="12"/>
        <v>1501.74</v>
      </c>
      <c r="X81" s="83">
        <f t="shared" si="12"/>
        <v>1112.6400000000001</v>
      </c>
      <c r="Y81" s="83">
        <f t="shared" si="12"/>
        <v>1536.8400000000001</v>
      </c>
      <c r="Z81" s="83">
        <f t="shared" si="12"/>
        <v>1466.74</v>
      </c>
      <c r="AA81" s="83">
        <f t="shared" si="12"/>
        <v>1345.8400000000001</v>
      </c>
      <c r="AB81" s="83">
        <f t="shared" si="12"/>
        <v>1325.8400000000001</v>
      </c>
      <c r="AC81" s="83">
        <f t="shared" si="12"/>
        <v>1258.24</v>
      </c>
      <c r="AD81" s="83">
        <f t="shared" si="12"/>
        <v>1217.3400000000001</v>
      </c>
      <c r="AE81" s="83">
        <f t="shared" si="12"/>
        <v>1107.1400000000001</v>
      </c>
      <c r="AF81" s="83">
        <f t="shared" si="12"/>
        <v>1246.04</v>
      </c>
      <c r="AG81" s="81">
        <f>AG78+AG74+AG62+AG58+AG40+AG80</f>
        <v>1359.0900000000001</v>
      </c>
      <c r="AH81" s="48">
        <f t="shared" si="9"/>
        <v>1536.8400000000001</v>
      </c>
      <c r="AI81" s="49">
        <f t="shared" si="10"/>
        <v>1015.1400000000001</v>
      </c>
    </row>
    <row r="82" spans="1:37" ht="15.75" thickBot="1" x14ac:dyDescent="0.3">
      <c r="A82" s="74" t="s">
        <v>90</v>
      </c>
      <c r="B82" s="83">
        <f>B81-B89</f>
        <v>855.24000000000024</v>
      </c>
      <c r="C82" s="83">
        <f t="shared" ref="C82:AF82" si="13">C81-C89</f>
        <v>823.24</v>
      </c>
      <c r="D82" s="83">
        <f t="shared" si="13"/>
        <v>809.94</v>
      </c>
      <c r="E82" s="83">
        <f t="shared" si="13"/>
        <v>816.03999999999985</v>
      </c>
      <c r="F82" s="83">
        <f t="shared" si="13"/>
        <v>818.74000000000012</v>
      </c>
      <c r="G82" s="83">
        <f t="shared" si="13"/>
        <v>902.64</v>
      </c>
      <c r="H82" s="83">
        <f t="shared" si="13"/>
        <v>981.1400000000001</v>
      </c>
      <c r="I82" s="83">
        <f t="shared" si="13"/>
        <v>1069.6400000000001</v>
      </c>
      <c r="J82" s="83">
        <f t="shared" si="13"/>
        <v>1108.0400000000002</v>
      </c>
      <c r="K82" s="83">
        <f t="shared" si="13"/>
        <v>1267.8400000000001</v>
      </c>
      <c r="L82" s="83">
        <f t="shared" si="13"/>
        <v>1291.0400000000002</v>
      </c>
      <c r="M82" s="83">
        <f t="shared" si="13"/>
        <v>1277.44</v>
      </c>
      <c r="N82" s="83">
        <f t="shared" si="13"/>
        <v>1271.3400000000001</v>
      </c>
      <c r="O82" s="83">
        <f t="shared" si="13"/>
        <v>1194.6400000000001</v>
      </c>
      <c r="P82" s="83">
        <f t="shared" si="13"/>
        <v>1116.94</v>
      </c>
      <c r="Q82" s="83">
        <f t="shared" si="13"/>
        <v>1066.94</v>
      </c>
      <c r="R82" s="83">
        <f t="shared" si="13"/>
        <v>1029.74</v>
      </c>
      <c r="S82" s="83">
        <f t="shared" si="13"/>
        <v>1084.44</v>
      </c>
      <c r="T82" s="83">
        <f t="shared" si="13"/>
        <v>1097.3400000000001</v>
      </c>
      <c r="U82" s="83">
        <f t="shared" si="13"/>
        <v>1154.3400000000001</v>
      </c>
      <c r="V82" s="83">
        <f t="shared" si="13"/>
        <v>1204.7400000000002</v>
      </c>
      <c r="W82" s="83">
        <f t="shared" si="13"/>
        <v>1345.74</v>
      </c>
      <c r="X82" s="83">
        <f t="shared" si="13"/>
        <v>903.6400000000001</v>
      </c>
      <c r="Y82" s="83">
        <f t="shared" si="13"/>
        <v>1371.8400000000001</v>
      </c>
      <c r="Z82" s="83">
        <f t="shared" si="13"/>
        <v>1296.74</v>
      </c>
      <c r="AA82" s="83">
        <f t="shared" si="13"/>
        <v>1210.8400000000001</v>
      </c>
      <c r="AB82" s="83">
        <f t="shared" si="13"/>
        <v>1139.8400000000001</v>
      </c>
      <c r="AC82" s="83">
        <f t="shared" si="13"/>
        <v>1058.24</v>
      </c>
      <c r="AD82" s="83">
        <f t="shared" si="13"/>
        <v>1026.3400000000001</v>
      </c>
      <c r="AE82" s="83">
        <f t="shared" si="13"/>
        <v>907.1400000000001</v>
      </c>
      <c r="AF82" s="83">
        <f t="shared" si="13"/>
        <v>954.04</v>
      </c>
      <c r="AG82" s="81"/>
      <c r="AH82" s="48">
        <f t="shared" si="9"/>
        <v>1371.8400000000001</v>
      </c>
      <c r="AI82" s="49">
        <f t="shared" si="10"/>
        <v>809.94</v>
      </c>
    </row>
    <row r="83" spans="1:37" x14ac:dyDescent="0.25">
      <c r="A83" s="44" t="s">
        <v>74</v>
      </c>
      <c r="B83" s="76">
        <f>IF(B66&lt;0,B66*-1,0)</f>
        <v>0</v>
      </c>
      <c r="C83" s="76">
        <f t="shared" ref="C83:AF83" si="14">IF(C66&lt;0,C66*-1,0)</f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f t="shared" si="14"/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>IF(B64&lt;0,B64*-1,0)</f>
        <v>0</v>
      </c>
      <c r="C84" s="76">
        <f t="shared" ref="C84:AF84" si="15">IF(C64&lt;0,C64*-1,0)</f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f t="shared" si="15"/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>IF(B67&lt;0,B67*-1,0)</f>
        <v>0</v>
      </c>
      <c r="C85" s="76">
        <f t="shared" ref="C85:AF85" si="16">IF(C67&lt;0,C67*-1,0)</f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f t="shared" si="16"/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>IF(B65&lt;0,B65*-1,0)</f>
        <v>322</v>
      </c>
      <c r="C86" s="76">
        <f t="shared" ref="C86:AF86" si="17">IF(C65&lt;0,C65*-1,0)</f>
        <v>300</v>
      </c>
      <c r="D86" s="76">
        <f t="shared" si="17"/>
        <v>298</v>
      </c>
      <c r="E86" s="76">
        <f t="shared" si="17"/>
        <v>199.6</v>
      </c>
      <c r="F86" s="76">
        <f t="shared" si="17"/>
        <v>196.4</v>
      </c>
      <c r="G86" s="76">
        <f t="shared" si="17"/>
        <v>170.6</v>
      </c>
      <c r="H86" s="76">
        <f t="shared" si="17"/>
        <v>175.2</v>
      </c>
      <c r="I86" s="76">
        <f t="shared" si="17"/>
        <v>178</v>
      </c>
      <c r="J86" s="76">
        <f t="shared" si="17"/>
        <v>171.7</v>
      </c>
      <c r="K86" s="76">
        <f t="shared" si="17"/>
        <v>207.4</v>
      </c>
      <c r="L86" s="76">
        <f t="shared" si="17"/>
        <v>233.8</v>
      </c>
      <c r="M86" s="76">
        <f t="shared" si="17"/>
        <v>240</v>
      </c>
      <c r="N86" s="76">
        <f t="shared" si="17"/>
        <v>198.4</v>
      </c>
      <c r="O86" s="76">
        <f t="shared" si="17"/>
        <v>202.5</v>
      </c>
      <c r="P86" s="76">
        <f t="shared" si="17"/>
        <v>205.2</v>
      </c>
      <c r="Q86" s="76">
        <f t="shared" si="17"/>
        <v>199.5</v>
      </c>
      <c r="R86" s="76">
        <f t="shared" si="17"/>
        <v>211.7</v>
      </c>
      <c r="S86" s="76">
        <f t="shared" si="17"/>
        <v>199.5</v>
      </c>
      <c r="T86" s="76">
        <f t="shared" si="17"/>
        <v>205.3</v>
      </c>
      <c r="U86" s="76">
        <f t="shared" si="17"/>
        <v>199</v>
      </c>
      <c r="V86" s="76">
        <f t="shared" si="17"/>
        <v>214</v>
      </c>
      <c r="W86" s="76">
        <f t="shared" si="17"/>
        <v>156</v>
      </c>
      <c r="X86" s="76">
        <f t="shared" si="17"/>
        <v>209</v>
      </c>
      <c r="Y86" s="76">
        <f t="shared" si="17"/>
        <v>165</v>
      </c>
      <c r="Z86" s="76">
        <f t="shared" si="17"/>
        <v>170</v>
      </c>
      <c r="AA86" s="76">
        <f t="shared" si="17"/>
        <v>135</v>
      </c>
      <c r="AB86" s="76">
        <f t="shared" si="17"/>
        <v>186</v>
      </c>
      <c r="AC86" s="76">
        <f t="shared" si="17"/>
        <v>200</v>
      </c>
      <c r="AD86" s="76">
        <f t="shared" si="17"/>
        <v>191</v>
      </c>
      <c r="AE86" s="76">
        <f t="shared" si="17"/>
        <v>200</v>
      </c>
      <c r="AF86" s="76">
        <f t="shared" si="17"/>
        <v>292</v>
      </c>
      <c r="AG86" s="86"/>
      <c r="AH86" s="48">
        <f t="shared" si="9"/>
        <v>322</v>
      </c>
      <c r="AI86" s="49">
        <f t="shared" si="10"/>
        <v>135</v>
      </c>
    </row>
    <row r="87" spans="1:37" x14ac:dyDescent="0.25">
      <c r="A87" s="78" t="s">
        <v>71</v>
      </c>
      <c r="B87" s="76">
        <f>IF(B63&lt;0,B63*-1,0)</f>
        <v>0</v>
      </c>
      <c r="C87" s="76">
        <f t="shared" ref="C87:AF87" si="18">IF(C63&lt;0,C63*-1,0)</f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>SUM(B83:B88)</f>
        <v>322</v>
      </c>
      <c r="C89" s="61">
        <f t="shared" ref="C89:AF89" si="19">SUM(C83:C88)</f>
        <v>300</v>
      </c>
      <c r="D89" s="61">
        <f t="shared" si="19"/>
        <v>298</v>
      </c>
      <c r="E89" s="61">
        <f t="shared" si="19"/>
        <v>199.6</v>
      </c>
      <c r="F89" s="61">
        <f t="shared" si="19"/>
        <v>196.4</v>
      </c>
      <c r="G89" s="61">
        <f t="shared" si="19"/>
        <v>170.6</v>
      </c>
      <c r="H89" s="61">
        <f t="shared" si="19"/>
        <v>175.2</v>
      </c>
      <c r="I89" s="61">
        <f t="shared" si="19"/>
        <v>178</v>
      </c>
      <c r="J89" s="61">
        <f t="shared" si="19"/>
        <v>171.7</v>
      </c>
      <c r="K89" s="61">
        <f t="shared" si="19"/>
        <v>207.4</v>
      </c>
      <c r="L89" s="61">
        <f t="shared" si="19"/>
        <v>233.8</v>
      </c>
      <c r="M89" s="61">
        <f t="shared" si="19"/>
        <v>240</v>
      </c>
      <c r="N89" s="61">
        <f t="shared" si="19"/>
        <v>198.4</v>
      </c>
      <c r="O89" s="61">
        <f t="shared" si="19"/>
        <v>202.5</v>
      </c>
      <c r="P89" s="61">
        <f t="shared" si="19"/>
        <v>205.2</v>
      </c>
      <c r="Q89" s="61">
        <f t="shared" si="19"/>
        <v>199.5</v>
      </c>
      <c r="R89" s="61">
        <f t="shared" si="19"/>
        <v>211.7</v>
      </c>
      <c r="S89" s="61">
        <f t="shared" si="19"/>
        <v>199.5</v>
      </c>
      <c r="T89" s="61">
        <f t="shared" si="19"/>
        <v>205.3</v>
      </c>
      <c r="U89" s="61">
        <f t="shared" si="19"/>
        <v>199</v>
      </c>
      <c r="V89" s="61">
        <f t="shared" si="19"/>
        <v>214</v>
      </c>
      <c r="W89" s="61">
        <f t="shared" si="19"/>
        <v>156</v>
      </c>
      <c r="X89" s="61">
        <f t="shared" si="19"/>
        <v>209</v>
      </c>
      <c r="Y89" s="61">
        <f t="shared" si="19"/>
        <v>165</v>
      </c>
      <c r="Z89" s="61">
        <f t="shared" si="19"/>
        <v>170</v>
      </c>
      <c r="AA89" s="61">
        <f t="shared" si="19"/>
        <v>135</v>
      </c>
      <c r="AB89" s="61">
        <f t="shared" si="19"/>
        <v>186</v>
      </c>
      <c r="AC89" s="61">
        <f t="shared" si="19"/>
        <v>200</v>
      </c>
      <c r="AD89" s="61">
        <f t="shared" si="19"/>
        <v>191</v>
      </c>
      <c r="AE89" s="61">
        <f t="shared" si="19"/>
        <v>200</v>
      </c>
      <c r="AF89" s="61">
        <f t="shared" si="19"/>
        <v>292</v>
      </c>
      <c r="AG89" s="81"/>
      <c r="AH89" s="48">
        <f t="shared" si="9"/>
        <v>322</v>
      </c>
      <c r="AI89" s="49">
        <f t="shared" si="10"/>
        <v>135</v>
      </c>
      <c r="AK89" s="50"/>
    </row>
    <row r="90" spans="1:37" ht="15.75" thickBot="1" x14ac:dyDescent="0.3">
      <c r="A90" s="74" t="s">
        <v>95</v>
      </c>
      <c r="B90" s="61">
        <f>B74-B89</f>
        <v>-322</v>
      </c>
      <c r="C90" s="61">
        <f t="shared" ref="C90:AF90" si="20">C74-C89</f>
        <v>-300</v>
      </c>
      <c r="D90" s="61">
        <f t="shared" si="20"/>
        <v>-298</v>
      </c>
      <c r="E90" s="61">
        <f t="shared" si="20"/>
        <v>-199.6</v>
      </c>
      <c r="F90" s="61">
        <f t="shared" si="20"/>
        <v>-196.4</v>
      </c>
      <c r="G90" s="61">
        <f t="shared" si="20"/>
        <v>-170.6</v>
      </c>
      <c r="H90" s="61">
        <f t="shared" si="20"/>
        <v>-175.2</v>
      </c>
      <c r="I90" s="61">
        <f t="shared" si="20"/>
        <v>-178</v>
      </c>
      <c r="J90" s="61">
        <f t="shared" si="20"/>
        <v>-171.7</v>
      </c>
      <c r="K90" s="61">
        <f t="shared" si="20"/>
        <v>-207.4</v>
      </c>
      <c r="L90" s="61">
        <f t="shared" si="20"/>
        <v>-233.8</v>
      </c>
      <c r="M90" s="61">
        <f t="shared" si="20"/>
        <v>-240</v>
      </c>
      <c r="N90" s="61">
        <f t="shared" si="20"/>
        <v>-198.4</v>
      </c>
      <c r="O90" s="61">
        <f t="shared" si="20"/>
        <v>-202.5</v>
      </c>
      <c r="P90" s="61">
        <f t="shared" si="20"/>
        <v>-205.2</v>
      </c>
      <c r="Q90" s="61">
        <f t="shared" si="20"/>
        <v>-199.5</v>
      </c>
      <c r="R90" s="61">
        <f t="shared" si="20"/>
        <v>-211.7</v>
      </c>
      <c r="S90" s="61">
        <f t="shared" si="20"/>
        <v>-199.5</v>
      </c>
      <c r="T90" s="61">
        <f t="shared" si="20"/>
        <v>-205.3</v>
      </c>
      <c r="U90" s="61">
        <f t="shared" si="20"/>
        <v>-199</v>
      </c>
      <c r="V90" s="61">
        <f t="shared" si="20"/>
        <v>-214</v>
      </c>
      <c r="W90" s="61">
        <f t="shared" si="20"/>
        <v>-156</v>
      </c>
      <c r="X90" s="61">
        <f t="shared" si="20"/>
        <v>-209</v>
      </c>
      <c r="Y90" s="61">
        <f t="shared" si="20"/>
        <v>-165</v>
      </c>
      <c r="Z90" s="61">
        <f t="shared" si="20"/>
        <v>-170</v>
      </c>
      <c r="AA90" s="61">
        <f t="shared" si="20"/>
        <v>-135</v>
      </c>
      <c r="AB90" s="61">
        <f t="shared" si="20"/>
        <v>-186</v>
      </c>
      <c r="AC90" s="61">
        <f t="shared" si="20"/>
        <v>-200</v>
      </c>
      <c r="AD90" s="61">
        <f t="shared" si="20"/>
        <v>-191</v>
      </c>
      <c r="AE90" s="61">
        <f t="shared" si="20"/>
        <v>-200</v>
      </c>
      <c r="AF90" s="61">
        <f t="shared" si="20"/>
        <v>-292</v>
      </c>
      <c r="AG90" s="81"/>
      <c r="AH90" s="48">
        <f t="shared" si="9"/>
        <v>-135</v>
      </c>
      <c r="AI90" s="49">
        <f t="shared" si="10"/>
        <v>-322</v>
      </c>
    </row>
    <row r="91" spans="1:37" x14ac:dyDescent="0.25">
      <c r="A91" s="88" t="s">
        <v>96</v>
      </c>
      <c r="B91" s="89">
        <v>49.89</v>
      </c>
      <c r="C91" s="89">
        <v>50</v>
      </c>
      <c r="D91" s="89">
        <v>50.04</v>
      </c>
      <c r="E91" s="89">
        <v>49.982999999999997</v>
      </c>
      <c r="F91" s="89">
        <v>50.070999999999998</v>
      </c>
      <c r="G91" s="89">
        <v>49.957000000000001</v>
      </c>
      <c r="H91" s="89">
        <v>50.015999999999998</v>
      </c>
      <c r="I91" s="89">
        <v>50.023000000000003</v>
      </c>
      <c r="J91" s="89">
        <v>49.963000000000001</v>
      </c>
      <c r="K91" s="89">
        <v>50.005000000000003</v>
      </c>
      <c r="L91" s="89">
        <v>49.973999999999997</v>
      </c>
      <c r="M91" s="89">
        <v>50.018000000000001</v>
      </c>
      <c r="N91" s="89">
        <v>50.067</v>
      </c>
      <c r="O91" s="89">
        <v>50.034999999999997</v>
      </c>
      <c r="P91" s="89">
        <v>50.015999999999998</v>
      </c>
      <c r="Q91" s="89">
        <v>49.984999999999999</v>
      </c>
      <c r="R91" s="89">
        <v>49.866</v>
      </c>
      <c r="S91" s="89">
        <v>49.954999999999998</v>
      </c>
      <c r="T91" s="89">
        <v>49.817999999999998</v>
      </c>
      <c r="U91" s="89">
        <v>49.878</v>
      </c>
      <c r="V91" s="89">
        <v>49.862000000000002</v>
      </c>
      <c r="W91" s="89">
        <v>49.918999999999997</v>
      </c>
      <c r="X91" s="89">
        <v>49.902999999999999</v>
      </c>
      <c r="Y91" s="89">
        <v>50</v>
      </c>
      <c r="Z91" s="89">
        <v>49.938000000000002</v>
      </c>
      <c r="AA91" s="89">
        <v>49.914999999999999</v>
      </c>
      <c r="AB91" s="89">
        <v>49.962000000000003</v>
      </c>
      <c r="AC91" s="89">
        <v>49.819000000000003</v>
      </c>
      <c r="AD91" s="89">
        <v>50.002000000000002</v>
      </c>
      <c r="AE91" s="89">
        <v>50.048000000000002</v>
      </c>
      <c r="AF91" s="89">
        <v>49.93</v>
      </c>
      <c r="AG91" s="90"/>
      <c r="AH91" s="48">
        <f t="shared" si="9"/>
        <v>50.070999999999998</v>
      </c>
      <c r="AI91" s="49">
        <f t="shared" si="10"/>
        <v>49.817999999999998</v>
      </c>
    </row>
    <row r="92" spans="1:37" x14ac:dyDescent="0.25">
      <c r="A92" s="91" t="s">
        <v>97</v>
      </c>
      <c r="B92" s="65">
        <v>127.2</v>
      </c>
      <c r="C92" s="65">
        <v>128.80000000000001</v>
      </c>
      <c r="D92" s="65">
        <v>128.80000000000001</v>
      </c>
      <c r="E92" s="65">
        <v>129.80000000000001</v>
      </c>
      <c r="F92" s="65">
        <v>130.1</v>
      </c>
      <c r="G92" s="65">
        <v>128.1</v>
      </c>
      <c r="H92" s="65">
        <v>128.1</v>
      </c>
      <c r="I92" s="65">
        <v>126.3</v>
      </c>
      <c r="J92" s="65">
        <v>126.2</v>
      </c>
      <c r="K92" s="65">
        <v>122.4</v>
      </c>
      <c r="L92" s="65">
        <v>122.7</v>
      </c>
      <c r="M92" s="65">
        <v>124.1</v>
      </c>
      <c r="N92" s="65">
        <v>124.4</v>
      </c>
      <c r="O92" s="65">
        <v>124.3</v>
      </c>
      <c r="P92" s="65">
        <v>125.1</v>
      </c>
      <c r="Q92" s="65">
        <v>125.3</v>
      </c>
      <c r="R92" s="65">
        <v>126.1</v>
      </c>
      <c r="S92" s="65">
        <v>126</v>
      </c>
      <c r="T92" s="65">
        <v>124.6</v>
      </c>
      <c r="U92" s="65">
        <v>125.7</v>
      </c>
      <c r="V92" s="65">
        <v>125.7</v>
      </c>
      <c r="W92" s="65">
        <v>124.9</v>
      </c>
      <c r="X92" s="65">
        <v>126.1</v>
      </c>
      <c r="Y92" s="65">
        <v>126</v>
      </c>
      <c r="Z92" s="65">
        <v>127.5</v>
      </c>
      <c r="AA92" s="65">
        <v>128.69999999999999</v>
      </c>
      <c r="AB92" s="65">
        <v>128.19999999999999</v>
      </c>
      <c r="AC92" s="65">
        <v>127.7</v>
      </c>
      <c r="AD92" s="65">
        <v>128.1</v>
      </c>
      <c r="AE92" s="65">
        <v>128</v>
      </c>
      <c r="AF92" s="65">
        <v>127.2</v>
      </c>
      <c r="AG92" s="92"/>
      <c r="AH92" s="48">
        <f t="shared" si="9"/>
        <v>130.1</v>
      </c>
      <c r="AI92" s="49">
        <f t="shared" si="10"/>
        <v>122.4</v>
      </c>
    </row>
    <row r="93" spans="1:37" x14ac:dyDescent="0.25">
      <c r="A93" s="91" t="s">
        <v>98</v>
      </c>
      <c r="B93" s="65">
        <v>131.4</v>
      </c>
      <c r="C93" s="65">
        <v>132.6</v>
      </c>
      <c r="D93" s="65">
        <v>132.69999999999999</v>
      </c>
      <c r="E93" s="65">
        <v>133.5</v>
      </c>
      <c r="F93" s="65">
        <v>133.5</v>
      </c>
      <c r="G93" s="65">
        <v>131.69999999999999</v>
      </c>
      <c r="H93" s="65">
        <v>131.6</v>
      </c>
      <c r="I93" s="65">
        <v>129.6</v>
      </c>
      <c r="J93" s="65">
        <v>129.4</v>
      </c>
      <c r="K93" s="65">
        <v>126.2</v>
      </c>
      <c r="L93" s="65">
        <v>126.1</v>
      </c>
      <c r="M93" s="65">
        <v>127.1</v>
      </c>
      <c r="N93" s="65">
        <v>127.3</v>
      </c>
      <c r="O93" s="65">
        <v>127.5</v>
      </c>
      <c r="P93" s="65">
        <v>128.1</v>
      </c>
      <c r="Q93" s="65">
        <v>128.19999999999999</v>
      </c>
      <c r="R93" s="65">
        <v>128.80000000000001</v>
      </c>
      <c r="S93" s="65">
        <v>128.80000000000001</v>
      </c>
      <c r="T93" s="65">
        <v>127.8</v>
      </c>
      <c r="U93" s="65">
        <v>128.5</v>
      </c>
      <c r="V93" s="65">
        <v>128.5</v>
      </c>
      <c r="W93" s="65">
        <v>127.5</v>
      </c>
      <c r="X93" s="65">
        <v>128.4</v>
      </c>
      <c r="Y93" s="65">
        <v>128.4</v>
      </c>
      <c r="Z93" s="65">
        <v>129.5</v>
      </c>
      <c r="AA93" s="65">
        <v>130.69999999999999</v>
      </c>
      <c r="AB93" s="65">
        <v>130.4</v>
      </c>
      <c r="AC93" s="65">
        <v>130.30000000000001</v>
      </c>
      <c r="AD93" s="65">
        <v>131</v>
      </c>
      <c r="AE93" s="65">
        <v>131.30000000000001</v>
      </c>
      <c r="AF93" s="65">
        <v>130.9</v>
      </c>
      <c r="AG93" s="92"/>
      <c r="AH93" s="48">
        <f t="shared" si="9"/>
        <v>133.5</v>
      </c>
      <c r="AI93" s="49">
        <f t="shared" si="10"/>
        <v>126.1</v>
      </c>
    </row>
    <row r="94" spans="1:37" x14ac:dyDescent="0.25">
      <c r="A94" s="91" t="s">
        <v>99</v>
      </c>
      <c r="B94" s="65">
        <v>130</v>
      </c>
      <c r="C94" s="65">
        <v>131.4</v>
      </c>
      <c r="D94" s="65">
        <v>132</v>
      </c>
      <c r="E94" s="65">
        <v>133.4</v>
      </c>
      <c r="F94" s="65">
        <v>131.5</v>
      </c>
      <c r="G94" s="65">
        <v>129.19999999999999</v>
      </c>
      <c r="H94" s="65">
        <v>130.1</v>
      </c>
      <c r="I94" s="65">
        <v>127.9</v>
      </c>
      <c r="J94" s="65">
        <v>127.6</v>
      </c>
      <c r="K94" s="65">
        <v>127.3</v>
      </c>
      <c r="L94" s="65">
        <v>125.9</v>
      </c>
      <c r="M94" s="65">
        <v>126.8</v>
      </c>
      <c r="N94" s="65">
        <v>126.1</v>
      </c>
      <c r="O94" s="65">
        <v>126</v>
      </c>
      <c r="P94" s="65">
        <v>131</v>
      </c>
      <c r="Q94" s="65">
        <v>130.30000000000001</v>
      </c>
      <c r="R94" s="65">
        <v>130.6</v>
      </c>
      <c r="S94" s="65">
        <v>130</v>
      </c>
      <c r="T94" s="65">
        <v>128</v>
      </c>
      <c r="U94" s="65">
        <v>128.69999999999999</v>
      </c>
      <c r="V94" s="65">
        <v>128.69999999999999</v>
      </c>
      <c r="W94" s="65">
        <v>127.1</v>
      </c>
      <c r="X94" s="65">
        <v>129.6</v>
      </c>
      <c r="Y94" s="65">
        <v>129.6</v>
      </c>
      <c r="Z94" s="65">
        <v>132.9</v>
      </c>
      <c r="AA94" s="65">
        <v>132</v>
      </c>
      <c r="AB94" s="65">
        <v>131.5</v>
      </c>
      <c r="AC94" s="65">
        <v>130.80000000000001</v>
      </c>
      <c r="AD94" s="65">
        <v>131.6</v>
      </c>
      <c r="AE94" s="65">
        <v>132.9</v>
      </c>
      <c r="AF94" s="65">
        <v>131.69999999999999</v>
      </c>
      <c r="AG94" s="92"/>
      <c r="AH94" s="48">
        <f t="shared" si="9"/>
        <v>133.4</v>
      </c>
      <c r="AI94" s="49">
        <f t="shared" si="10"/>
        <v>125.9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x14ac:dyDescent="0.25">
      <c r="A96" s="93" t="s">
        <v>101</v>
      </c>
      <c r="B96" s="94">
        <v>133.30000000000001</v>
      </c>
      <c r="C96" s="94">
        <v>133.69999999999999</v>
      </c>
      <c r="D96" s="94">
        <v>133.80000000000001</v>
      </c>
      <c r="E96" s="94">
        <v>135.30000000000001</v>
      </c>
      <c r="F96" s="94">
        <v>134.4</v>
      </c>
      <c r="G96" s="94">
        <v>130.6</v>
      </c>
      <c r="H96" s="94">
        <v>135</v>
      </c>
      <c r="I96" s="94">
        <v>131.69999999999999</v>
      </c>
      <c r="J96" s="94">
        <v>130.19999999999999</v>
      </c>
      <c r="K96" s="94">
        <v>132.69999999999999</v>
      </c>
      <c r="L96" s="94">
        <v>132.6</v>
      </c>
      <c r="M96" s="94">
        <v>132.4</v>
      </c>
      <c r="N96" s="94">
        <v>132.6</v>
      </c>
      <c r="O96" s="94">
        <v>133.69999999999999</v>
      </c>
      <c r="P96" s="94">
        <v>134.80000000000001</v>
      </c>
      <c r="Q96" s="94">
        <v>135.30000000000001</v>
      </c>
      <c r="R96" s="94">
        <v>134.80000000000001</v>
      </c>
      <c r="S96" s="94">
        <v>132.5</v>
      </c>
      <c r="T96" s="94">
        <v>132.69999999999999</v>
      </c>
      <c r="U96" s="94">
        <v>132.30000000000001</v>
      </c>
      <c r="V96" s="94">
        <v>132.30000000000001</v>
      </c>
      <c r="W96" s="94">
        <v>135.30000000000001</v>
      </c>
      <c r="X96" s="94">
        <v>133.6</v>
      </c>
      <c r="Y96" s="94">
        <v>133.6</v>
      </c>
      <c r="Z96" s="94">
        <v>134.80000000000001</v>
      </c>
      <c r="AA96" s="94">
        <v>136</v>
      </c>
      <c r="AB96" s="94">
        <v>134.19999999999999</v>
      </c>
      <c r="AC96" s="94">
        <v>134.4</v>
      </c>
      <c r="AD96" s="94">
        <v>133.19999999999999</v>
      </c>
      <c r="AE96" s="94">
        <v>133</v>
      </c>
      <c r="AF96" s="94">
        <v>131.4</v>
      </c>
      <c r="AG96" s="95"/>
      <c r="AH96" s="48">
        <f t="shared" si="9"/>
        <v>136</v>
      </c>
      <c r="AI96" s="49">
        <f t="shared" si="10"/>
        <v>130.19999999999999</v>
      </c>
    </row>
    <row r="97" spans="1:37" x14ac:dyDescent="0.25">
      <c r="A97" s="91" t="s">
        <v>102</v>
      </c>
      <c r="B97" s="65">
        <v>134.1</v>
      </c>
      <c r="C97" s="65">
        <v>135.6</v>
      </c>
      <c r="D97" s="65">
        <v>135.9</v>
      </c>
      <c r="E97" s="65">
        <v>137.4</v>
      </c>
      <c r="F97" s="65">
        <v>136.80000000000001</v>
      </c>
      <c r="G97" s="65">
        <v>132.5</v>
      </c>
      <c r="H97" s="65">
        <v>134.5</v>
      </c>
      <c r="I97" s="65">
        <v>128.9</v>
      </c>
      <c r="J97" s="65">
        <v>128.80000000000001</v>
      </c>
      <c r="K97" s="65">
        <v>128.9</v>
      </c>
      <c r="L97" s="65">
        <v>130.19999999999999</v>
      </c>
      <c r="M97" s="65">
        <v>129.5</v>
      </c>
      <c r="N97" s="65">
        <v>128.69999999999999</v>
      </c>
      <c r="O97" s="65">
        <v>130.69999999999999</v>
      </c>
      <c r="P97" s="65">
        <v>131.69999999999999</v>
      </c>
      <c r="Q97" s="65">
        <v>132.69999999999999</v>
      </c>
      <c r="R97" s="65">
        <v>133.1</v>
      </c>
      <c r="S97" s="65">
        <v>129</v>
      </c>
      <c r="T97" s="65">
        <v>130.9</v>
      </c>
      <c r="U97" s="65">
        <v>128.80000000000001</v>
      </c>
      <c r="V97" s="65">
        <v>128.80000000000001</v>
      </c>
      <c r="W97" s="65">
        <v>132.30000000000001</v>
      </c>
      <c r="X97" s="65">
        <v>131</v>
      </c>
      <c r="Y97" s="65">
        <v>131</v>
      </c>
      <c r="Z97" s="65">
        <v>133.69999999999999</v>
      </c>
      <c r="AA97" s="65">
        <v>135</v>
      </c>
      <c r="AB97" s="65">
        <v>132.80000000000001</v>
      </c>
      <c r="AC97" s="65">
        <v>133.6</v>
      </c>
      <c r="AD97" s="65">
        <v>134</v>
      </c>
      <c r="AE97" s="65">
        <v>134.30000000000001</v>
      </c>
      <c r="AF97" s="65">
        <v>132.5</v>
      </c>
      <c r="AG97" s="92"/>
      <c r="AH97" s="48">
        <f t="shared" si="9"/>
        <v>137.4</v>
      </c>
      <c r="AI97" s="49">
        <f t="shared" si="10"/>
        <v>128.69999999999999</v>
      </c>
    </row>
    <row r="98" spans="1:37" ht="15.75" thickBot="1" x14ac:dyDescent="0.3">
      <c r="A98" s="91" t="s">
        <v>104</v>
      </c>
      <c r="B98" s="96">
        <v>66.2</v>
      </c>
      <c r="C98" s="96">
        <v>66.900000000000006</v>
      </c>
      <c r="D98" s="96">
        <v>67</v>
      </c>
      <c r="E98" s="96">
        <v>67.3</v>
      </c>
      <c r="F98" s="96">
        <v>67.3</v>
      </c>
      <c r="G98" s="96">
        <v>66.3</v>
      </c>
      <c r="H98" s="96">
        <v>66.2</v>
      </c>
      <c r="I98" s="96">
        <v>65</v>
      </c>
      <c r="J98" s="96">
        <v>65.2</v>
      </c>
      <c r="K98" s="96">
        <v>63.5</v>
      </c>
      <c r="L98" s="96">
        <v>63</v>
      </c>
      <c r="M98" s="96">
        <v>63.7</v>
      </c>
      <c r="N98" s="96">
        <v>63.7</v>
      </c>
      <c r="O98" s="96">
        <v>64.2</v>
      </c>
      <c r="P98" s="96">
        <v>64.099999999999994</v>
      </c>
      <c r="Q98" s="96">
        <v>64.5</v>
      </c>
      <c r="R98" s="96">
        <v>64.900000000000006</v>
      </c>
      <c r="S98" s="96">
        <v>64.8</v>
      </c>
      <c r="T98" s="96">
        <v>64.3</v>
      </c>
      <c r="U98" s="96">
        <v>64.7</v>
      </c>
      <c r="V98" s="96">
        <v>64.7</v>
      </c>
      <c r="W98" s="96">
        <v>64.3</v>
      </c>
      <c r="X98" s="96">
        <v>65</v>
      </c>
      <c r="Y98" s="96">
        <v>65</v>
      </c>
      <c r="Z98" s="96">
        <v>65.3</v>
      </c>
      <c r="AA98" s="96">
        <v>66</v>
      </c>
      <c r="AB98" s="96">
        <v>66</v>
      </c>
      <c r="AC98" s="96">
        <v>65.8</v>
      </c>
      <c r="AD98" s="96">
        <v>65.8</v>
      </c>
      <c r="AE98" s="96">
        <v>66.099999999999994</v>
      </c>
      <c r="AF98" s="96">
        <v>66</v>
      </c>
      <c r="AG98" s="97"/>
      <c r="AH98" s="48">
        <f t="shared" si="9"/>
        <v>67.3</v>
      </c>
      <c r="AI98" s="49">
        <f t="shared" si="10"/>
        <v>63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105</v>
      </c>
      <c r="B100" s="100">
        <f>SUM(B15,B20,B22:B23,B48,B50:B51,B53,B55,B101:B105,B127,B133,B139,B148,B150,B162,B169,B172:B173,B180,B182,B184,B188:B190,B192:B194,B199,B205:B206,B208:B210,B218,B223)</f>
        <v>68.800000000000026</v>
      </c>
      <c r="C100" s="100">
        <f>SUM(C15,C20,C22:C23,C48,C50:C51,C53,C55,C101:C105,C127,C133,C139,C148,C150,C162,C169,C172:C173,C180,C182,C184,C188:C190,C192:C194,C199,C205:C206,C208:C210,C218,C223)</f>
        <v>52.440000000000019</v>
      </c>
      <c r="D100" s="100">
        <f>SUM(D15,D20,D22:D23,D48,D50:D51,D53,D55,D101:D105,D127,D133,D139,D148,D150,D162,D169,D172:D173,D180,D182,D184,D188:D190,D192:D194,D199,D205:D206,D208:D210,D218,D223)</f>
        <v>49.740000000000009</v>
      </c>
      <c r="E100" s="100">
        <f t="shared" ref="E100:X100" si="21">SUM(E20,E22:E23,E48,E50:E51,E53,E55,E101:E105,E127,E133,E139,E148,E150,E162,E169,E172:E173,E180,E182,E184,E188:E190,E192:E194,E199,E205:E206,E208:E210,E218,E223)</f>
        <v>50.239999999999995</v>
      </c>
      <c r="F100" s="100">
        <f t="shared" si="21"/>
        <v>58.639999999999993</v>
      </c>
      <c r="G100" s="100">
        <f t="shared" si="21"/>
        <v>84.840000000000018</v>
      </c>
      <c r="H100" s="100">
        <f t="shared" si="21"/>
        <v>105.34</v>
      </c>
      <c r="I100" s="100">
        <f t="shared" si="21"/>
        <v>141.73999999999998</v>
      </c>
      <c r="J100" s="100">
        <f t="shared" si="21"/>
        <v>152.64000000000001</v>
      </c>
      <c r="K100" s="100">
        <f t="shared" si="21"/>
        <v>210.34</v>
      </c>
      <c r="L100" s="100">
        <f t="shared" si="21"/>
        <v>219.04000000000002</v>
      </c>
      <c r="M100" s="100">
        <f t="shared" si="21"/>
        <v>236.64000000000001</v>
      </c>
      <c r="N100" s="100">
        <f t="shared" si="21"/>
        <v>227.04</v>
      </c>
      <c r="O100" s="100">
        <f t="shared" si="21"/>
        <v>208.94</v>
      </c>
      <c r="P100" s="100">
        <f t="shared" si="21"/>
        <v>181.14</v>
      </c>
      <c r="Q100" s="100">
        <f t="shared" si="21"/>
        <v>170.29999999999998</v>
      </c>
      <c r="R100" s="100">
        <f t="shared" si="21"/>
        <v>167.50000000000003</v>
      </c>
      <c r="S100" s="100">
        <f t="shared" si="21"/>
        <v>161.69999999999999</v>
      </c>
      <c r="T100" s="100">
        <f t="shared" si="21"/>
        <v>171.2</v>
      </c>
      <c r="U100" s="100">
        <f t="shared" si="21"/>
        <v>173.29999999999998</v>
      </c>
      <c r="V100" s="100">
        <f t="shared" si="21"/>
        <v>211.5</v>
      </c>
      <c r="W100" s="100">
        <f t="shared" si="21"/>
        <v>269.8</v>
      </c>
      <c r="X100" s="100">
        <f t="shared" si="21"/>
        <v>273.8</v>
      </c>
      <c r="Y100" s="100">
        <f>SUM(Y20,Y22:Y23,Y48,Y50:Y51,Y53,Y55,Y101:Y105,Y127,Y133,Y139,Y148,Y150,Y162,Y169,Y172:Y173,Y180,Y182,Y184,Y188:Y190,Y192:Y194,Y199,Y205:Y206,Y208:Y210,Y218,Y223)</f>
        <v>255.1</v>
      </c>
      <c r="Z100" s="100">
        <f>SUM(Z20,Z22:Z23,Z48,Z50:Z51,Z53,Z55,Z101:Z105,Z127,Z133,Z139,Z148,Z150,Z162,Z169,Z172:Z173,Z180,Z182,Z184,Z188:Z190,Z192:Z194,Z199,Z205:Z206,Z208:Z210,Z218,Z223)</f>
        <v>261.40000000000003</v>
      </c>
      <c r="AA100" s="100">
        <f>SUM(AA20,AA22:AA23,AA48,AA50:AA51,AA53,AA55,AA101:AA105,AA127,AA133,AA139,AA148,AA150,AA162,AA169,AA172:AA173,AA180,AA182,AA184,AA188:AA190,AA192:AA194,AA199,AA205:AA206,AA208:AA210,AA218,AA223)</f>
        <v>234.00000000000003</v>
      </c>
      <c r="AB100" s="100">
        <f>SUM(AB15,AB20,AB22:AB23,AB48,AB50:AB51,AB53,AB55,AB101:AB105,AB127,AB133,AB139,AB148,AB150,AB162,AB169,AB172:AB173,AB180,AB182,AB184,AB188:AB190,AB192:AB194,AB199,AB205:AB206,AB208:AB210,AB218,AB223)</f>
        <v>233.3</v>
      </c>
      <c r="AC100" s="100">
        <f>SUM(AC15,AC20,AC22:AC23,AC48,AC50:AC51,AC53,AC55,AC101:AC105,AC127,AC133,AC139,AC148,AC150,AC162,AC169,AC172:AC173,AC180,AC182,AC184,AC188:AC190,AC192:AC194,AC199,AC205:AC206,AC208:AC210,AC218,AC223)</f>
        <v>209.6</v>
      </c>
      <c r="AD100" s="100">
        <f>SUM(AD15,AD20,AD22:AD23,AD48,AD50:AD51,AD53,AD55,AD101:AD105,AD127,AD133,AD139,AD148,AD150,AD162,AD169,AD172:AD173,AD180,AD182,AD184,AD188:AD190,AD192:AD194,AD199,AD205:AD206,AD208:AD210,AD218,AD223)</f>
        <v>176.10000000000002</v>
      </c>
      <c r="AE100" s="100">
        <f>SUM(AE15,AE20,AE22:AE23,AE48,AE50:AE51,AE53,AE55,AE101:AE105,AE127,AE133,AE139,AE148,AE150,AE162,AE169,AE172:AE173,AE180,AE182,AE184,AE188:AE190,AE192:AE194,AE199,AE205:AE206,AE208:AE210,AE218,AE223)</f>
        <v>114.89999999999999</v>
      </c>
      <c r="AF100" s="100">
        <f>SUM(AF15,AF20,AF22:AF23,AF48,AF50:AF51,AF53,AF55,AF101:AF105,AF127,AF133,AF139,AF148,AF150,AF162,AF169,AF172:AF173,AF180,AF182,AF184,AF188:AF190,AF192:AF194,AF199,AF205:AF206,AF208:AF210,AF218,AF223)</f>
        <v>87.5</v>
      </c>
      <c r="AG100" s="101"/>
      <c r="AH100" s="48">
        <f t="shared" si="9"/>
        <v>273.8</v>
      </c>
      <c r="AI100" s="49">
        <f t="shared" si="10"/>
        <v>49.740000000000009</v>
      </c>
    </row>
    <row r="101" spans="1:37" x14ac:dyDescent="0.25">
      <c r="A101" s="88" t="s">
        <v>106</v>
      </c>
      <c r="B101" s="102">
        <v>42.5</v>
      </c>
      <c r="C101" s="102">
        <v>37.700000000000003</v>
      </c>
      <c r="D101" s="102">
        <v>35.9</v>
      </c>
      <c r="E101" s="102">
        <v>33.799999999999997</v>
      </c>
      <c r="F101" s="102">
        <v>33.4</v>
      </c>
      <c r="G101" s="102">
        <v>43.2</v>
      </c>
      <c r="H101" s="102">
        <v>41</v>
      </c>
      <c r="I101" s="102">
        <v>51.9</v>
      </c>
      <c r="J101" s="102">
        <v>52.6</v>
      </c>
      <c r="K101" s="102">
        <v>47.6</v>
      </c>
      <c r="L101" s="102">
        <v>49.4</v>
      </c>
      <c r="M101" s="102">
        <v>52</v>
      </c>
      <c r="N101" s="102">
        <v>54</v>
      </c>
      <c r="O101" s="102">
        <v>56.2</v>
      </c>
      <c r="P101" s="102">
        <v>55.1</v>
      </c>
      <c r="Q101" s="102">
        <v>58.6</v>
      </c>
      <c r="R101" s="102">
        <v>58.4</v>
      </c>
      <c r="S101" s="102">
        <v>55.6</v>
      </c>
      <c r="T101" s="102">
        <v>49.9</v>
      </c>
      <c r="U101" s="102">
        <v>42</v>
      </c>
      <c r="V101" s="102">
        <v>37.700000000000003</v>
      </c>
      <c r="W101" s="102">
        <v>42.5</v>
      </c>
      <c r="X101" s="102">
        <v>40.200000000000003</v>
      </c>
      <c r="Y101" s="102">
        <v>46</v>
      </c>
      <c r="Z101" s="102">
        <v>52.7</v>
      </c>
      <c r="AA101" s="102">
        <v>54.6</v>
      </c>
      <c r="AB101" s="102">
        <v>60.9</v>
      </c>
      <c r="AC101" s="102">
        <v>63.4</v>
      </c>
      <c r="AD101" s="102">
        <v>57.8</v>
      </c>
      <c r="AE101" s="102">
        <v>46.8</v>
      </c>
      <c r="AF101" s="102">
        <v>36.1</v>
      </c>
      <c r="AG101" s="103">
        <v>75</v>
      </c>
      <c r="AH101" s="48">
        <f t="shared" si="9"/>
        <v>63.4</v>
      </c>
      <c r="AI101" s="49">
        <f t="shared" si="10"/>
        <v>33.4</v>
      </c>
    </row>
    <row r="102" spans="1:37" x14ac:dyDescent="0.25">
      <c r="A102" s="91" t="s">
        <v>107</v>
      </c>
      <c r="B102" s="104">
        <v>65.400000000000006</v>
      </c>
      <c r="C102" s="104">
        <v>58.9</v>
      </c>
      <c r="D102" s="104">
        <v>56.2</v>
      </c>
      <c r="E102" s="104">
        <v>53.4</v>
      </c>
      <c r="F102" s="104">
        <v>52.9</v>
      </c>
      <c r="G102" s="104">
        <v>66.400000000000006</v>
      </c>
      <c r="H102" s="104">
        <v>62.5</v>
      </c>
      <c r="I102" s="104">
        <v>81.2</v>
      </c>
      <c r="J102" s="104">
        <v>82.9</v>
      </c>
      <c r="K102" s="104">
        <v>73</v>
      </c>
      <c r="L102" s="104">
        <v>75.5</v>
      </c>
      <c r="M102" s="104">
        <v>78</v>
      </c>
      <c r="N102" s="104">
        <v>77.7</v>
      </c>
      <c r="O102" s="104">
        <v>82</v>
      </c>
      <c r="P102" s="104">
        <v>81.3</v>
      </c>
      <c r="Q102" s="104">
        <v>86.8</v>
      </c>
      <c r="R102" s="104">
        <v>87.7</v>
      </c>
      <c r="S102" s="104">
        <v>82.6</v>
      </c>
      <c r="T102" s="104">
        <v>72.599999999999994</v>
      </c>
      <c r="U102" s="104">
        <v>68</v>
      </c>
      <c r="V102" s="104">
        <v>53.6</v>
      </c>
      <c r="W102" s="104">
        <v>59.6</v>
      </c>
      <c r="X102" s="104">
        <v>56.5</v>
      </c>
      <c r="Y102" s="104">
        <v>62</v>
      </c>
      <c r="Z102" s="104">
        <v>75.900000000000006</v>
      </c>
      <c r="AA102" s="104">
        <v>78.900000000000006</v>
      </c>
      <c r="AB102" s="104">
        <v>88.4</v>
      </c>
      <c r="AC102" s="104">
        <v>92.8</v>
      </c>
      <c r="AD102" s="104">
        <v>84</v>
      </c>
      <c r="AE102" s="104">
        <v>68.2</v>
      </c>
      <c r="AF102" s="104">
        <v>54.4</v>
      </c>
      <c r="AG102" s="103">
        <v>240</v>
      </c>
      <c r="AH102" s="48">
        <f t="shared" si="9"/>
        <v>92.8</v>
      </c>
      <c r="AI102" s="49">
        <f t="shared" si="10"/>
        <v>52.9</v>
      </c>
    </row>
    <row r="103" spans="1:37" x14ac:dyDescent="0.25">
      <c r="A103" s="91" t="s">
        <v>108</v>
      </c>
      <c r="B103" s="104">
        <f>-65.9-73.3</f>
        <v>-139.19999999999999</v>
      </c>
      <c r="C103" s="104">
        <f>-70.2-74.2</f>
        <v>-144.4</v>
      </c>
      <c r="D103" s="104">
        <f>-70-73.7</f>
        <v>-143.69999999999999</v>
      </c>
      <c r="E103" s="104">
        <v>-129</v>
      </c>
      <c r="F103" s="104">
        <v>-118</v>
      </c>
      <c r="G103" s="104">
        <v>-117</v>
      </c>
      <c r="H103" s="104">
        <v>-120</v>
      </c>
      <c r="I103" s="104">
        <v>-118</v>
      </c>
      <c r="J103" s="104">
        <v>-112</v>
      </c>
      <c r="K103" s="104">
        <v>-46</v>
      </c>
      <c r="L103" s="104">
        <v>-44.4</v>
      </c>
      <c r="M103" s="104">
        <f>-17-19</f>
        <v>-36</v>
      </c>
      <c r="N103" s="104">
        <f>-23-24</f>
        <v>-47</v>
      </c>
      <c r="O103" s="104">
        <f>-32-33</f>
        <v>-65</v>
      </c>
      <c r="P103" s="104">
        <f>-42-45</f>
        <v>-87</v>
      </c>
      <c r="Q103" s="104">
        <f>-51-54</f>
        <v>-105</v>
      </c>
      <c r="R103" s="104">
        <f>-53-57</f>
        <v>-110</v>
      </c>
      <c r="S103" s="104">
        <v>-107</v>
      </c>
      <c r="T103" s="104">
        <v>-88</v>
      </c>
      <c r="U103" s="104">
        <v>-72</v>
      </c>
      <c r="V103" s="104">
        <v>-25</v>
      </c>
      <c r="W103" s="104">
        <v>15</v>
      </c>
      <c r="X103" s="104">
        <v>7.9</v>
      </c>
      <c r="Y103" s="104">
        <v>-2</v>
      </c>
      <c r="Z103" s="104">
        <v>-15.9</v>
      </c>
      <c r="AA103" s="104">
        <v>-43.7</v>
      </c>
      <c r="AB103" s="104">
        <f>-37-39</f>
        <v>-76</v>
      </c>
      <c r="AC103" s="104">
        <f>-49-53</f>
        <v>-102</v>
      </c>
      <c r="AD103" s="104">
        <f>-57-59</f>
        <v>-116</v>
      </c>
      <c r="AE103" s="104">
        <f>-65-69</f>
        <v>-134</v>
      </c>
      <c r="AF103" s="104">
        <f>-62-66</f>
        <v>-128</v>
      </c>
      <c r="AG103" s="103">
        <v>240</v>
      </c>
      <c r="AH103" s="48">
        <f t="shared" si="9"/>
        <v>15</v>
      </c>
      <c r="AI103" s="49">
        <f t="shared" si="10"/>
        <v>-144.4</v>
      </c>
    </row>
    <row r="104" spans="1:37" x14ac:dyDescent="0.25">
      <c r="A104" s="91" t="s">
        <v>109</v>
      </c>
      <c r="B104" s="104">
        <v>-7.8</v>
      </c>
      <c r="C104" s="104">
        <v>-8.1</v>
      </c>
      <c r="D104" s="104">
        <v>-7</v>
      </c>
      <c r="E104" s="104">
        <v>-4.2</v>
      </c>
      <c r="F104" s="104">
        <v>-5.9</v>
      </c>
      <c r="G104" s="104">
        <v>-3.8</v>
      </c>
      <c r="H104" s="104">
        <v>-2.9</v>
      </c>
      <c r="I104" s="104">
        <v>-1.4</v>
      </c>
      <c r="J104" s="104">
        <v>1.4</v>
      </c>
      <c r="K104" s="104">
        <v>8</v>
      </c>
      <c r="L104" s="104">
        <v>10.8</v>
      </c>
      <c r="M104" s="104">
        <v>10.9</v>
      </c>
      <c r="N104" s="104">
        <v>10.6</v>
      </c>
      <c r="O104" s="104">
        <v>4</v>
      </c>
      <c r="P104" s="104">
        <v>0</v>
      </c>
      <c r="Q104" s="104">
        <v>-0.9</v>
      </c>
      <c r="R104" s="104">
        <v>0.6</v>
      </c>
      <c r="S104" s="104">
        <v>-0.3</v>
      </c>
      <c r="T104" s="104">
        <v>5.6</v>
      </c>
      <c r="U104" s="104">
        <v>4.2</v>
      </c>
      <c r="V104" s="104">
        <v>14.1</v>
      </c>
      <c r="W104" s="104">
        <v>21.6</v>
      </c>
      <c r="X104" s="104">
        <v>42.1</v>
      </c>
      <c r="Y104" s="104">
        <v>22</v>
      </c>
      <c r="Z104" s="104">
        <v>21.6</v>
      </c>
      <c r="AA104" s="104">
        <v>17.100000000000001</v>
      </c>
      <c r="AB104" s="104">
        <v>14</v>
      </c>
      <c r="AC104" s="104">
        <v>9.4</v>
      </c>
      <c r="AD104" s="104">
        <v>4.3</v>
      </c>
      <c r="AE104" s="104">
        <v>-3.8</v>
      </c>
      <c r="AF104" s="104">
        <v>-2.1</v>
      </c>
      <c r="AG104" s="103">
        <v>60</v>
      </c>
      <c r="AH104" s="48">
        <f t="shared" si="9"/>
        <v>42.1</v>
      </c>
      <c r="AI104" s="49">
        <f t="shared" si="10"/>
        <v>-8.1</v>
      </c>
    </row>
    <row r="105" spans="1:37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111</v>
      </c>
      <c r="B106" s="106">
        <v>-47.9</v>
      </c>
      <c r="C106" s="106">
        <v>-50.4</v>
      </c>
      <c r="D106" s="106">
        <v>-48.8</v>
      </c>
      <c r="E106" s="106">
        <v>-37.6</v>
      </c>
      <c r="F106" s="106">
        <v>-33.200000000000003</v>
      </c>
      <c r="G106" s="106">
        <v>-31.1</v>
      </c>
      <c r="H106" s="106">
        <v>-17</v>
      </c>
      <c r="I106" s="106">
        <v>-10.7</v>
      </c>
      <c r="J106" s="106">
        <v>-4.3</v>
      </c>
      <c r="K106" s="106">
        <v>57.7</v>
      </c>
      <c r="L106" s="106">
        <v>64</v>
      </c>
      <c r="M106" s="106">
        <v>66</v>
      </c>
      <c r="N106" s="106">
        <v>47.9</v>
      </c>
      <c r="O106" s="106">
        <v>33.4</v>
      </c>
      <c r="P106" s="106">
        <v>17</v>
      </c>
      <c r="Q106" s="106">
        <v>2.6</v>
      </c>
      <c r="R106" s="106">
        <v>-11.3</v>
      </c>
      <c r="S106" s="106">
        <v>0</v>
      </c>
      <c r="T106" s="106">
        <v>16.100000000000001</v>
      </c>
      <c r="U106" s="106">
        <v>16.100000000000001</v>
      </c>
      <c r="V106" s="106">
        <v>56.1</v>
      </c>
      <c r="W106" s="106">
        <v>88</v>
      </c>
      <c r="X106" s="106">
        <v>78.5</v>
      </c>
      <c r="Y106" s="106">
        <v>65</v>
      </c>
      <c r="Z106" s="106">
        <v>44.9</v>
      </c>
      <c r="AA106" s="106">
        <v>19.5</v>
      </c>
      <c r="AB106" s="106">
        <v>-8.1999999999999993</v>
      </c>
      <c r="AC106" s="106">
        <v>-26.2</v>
      </c>
      <c r="AD106" s="106">
        <v>-38</v>
      </c>
      <c r="AE106" s="106">
        <v>-43.4</v>
      </c>
      <c r="AF106" s="106">
        <v>-10</v>
      </c>
      <c r="AG106" s="107"/>
      <c r="AH106" s="48">
        <f t="shared" si="9"/>
        <v>88</v>
      </c>
      <c r="AI106" s="49">
        <f t="shared" si="10"/>
        <v>-50.4</v>
      </c>
    </row>
    <row r="107" spans="1:37" x14ac:dyDescent="0.25">
      <c r="A107" s="105" t="s">
        <v>112</v>
      </c>
      <c r="B107" s="106">
        <v>-19.5</v>
      </c>
      <c r="C107" s="106">
        <v>-16.3</v>
      </c>
      <c r="D107" s="106">
        <v>-15.8</v>
      </c>
      <c r="E107" s="106">
        <v>-5.4</v>
      </c>
      <c r="F107" s="106">
        <v>-6.6</v>
      </c>
      <c r="G107" s="106">
        <v>-13.2</v>
      </c>
      <c r="H107" s="106">
        <v>-10.199999999999999</v>
      </c>
      <c r="I107" s="106">
        <v>3.4</v>
      </c>
      <c r="J107" s="106">
        <v>9.6</v>
      </c>
      <c r="K107" s="106">
        <v>25</v>
      </c>
      <c r="L107" s="106">
        <v>20.9</v>
      </c>
      <c r="M107" s="106">
        <v>18.8</v>
      </c>
      <c r="N107" s="106">
        <v>16.899999999999999</v>
      </c>
      <c r="O107" s="106">
        <v>10.199999999999999</v>
      </c>
      <c r="P107" s="106">
        <v>8.5</v>
      </c>
      <c r="Q107" s="106">
        <v>0.5</v>
      </c>
      <c r="R107" s="106">
        <v>-0.4</v>
      </c>
      <c r="S107" s="106">
        <v>0.7</v>
      </c>
      <c r="T107" s="106">
        <v>14</v>
      </c>
      <c r="U107" s="106">
        <v>14</v>
      </c>
      <c r="V107" s="106">
        <v>34.299999999999997</v>
      </c>
      <c r="W107" s="106">
        <v>32.9</v>
      </c>
      <c r="X107" s="106">
        <v>50.8</v>
      </c>
      <c r="Y107" s="106">
        <v>35</v>
      </c>
      <c r="Z107" s="106">
        <v>21.8</v>
      </c>
      <c r="AA107" s="106">
        <v>17.600000000000001</v>
      </c>
      <c r="AB107" s="106">
        <v>-0.9</v>
      </c>
      <c r="AC107" s="106">
        <v>-9.6</v>
      </c>
      <c r="AD107" s="106">
        <v>-18</v>
      </c>
      <c r="AE107" s="106">
        <v>-11.6</v>
      </c>
      <c r="AF107" s="106">
        <v>-12.9</v>
      </c>
      <c r="AG107" s="108"/>
      <c r="AH107" s="48">
        <f t="shared" si="9"/>
        <v>50.8</v>
      </c>
      <c r="AI107" s="49">
        <f t="shared" si="10"/>
        <v>-19.5</v>
      </c>
    </row>
    <row r="108" spans="1:37" x14ac:dyDescent="0.25">
      <c r="A108" s="109" t="s">
        <v>113</v>
      </c>
      <c r="B108" s="94">
        <v>67.5</v>
      </c>
      <c r="C108" s="94">
        <v>69.400000000000006</v>
      </c>
      <c r="D108" s="94">
        <v>71.3</v>
      </c>
      <c r="E108" s="94">
        <v>71.599999999999994</v>
      </c>
      <c r="F108" s="94">
        <v>71</v>
      </c>
      <c r="G108" s="94">
        <v>66.599999999999994</v>
      </c>
      <c r="H108" s="94">
        <v>60.8</v>
      </c>
      <c r="I108" s="94">
        <v>56.8</v>
      </c>
      <c r="J108" s="94">
        <v>53.7</v>
      </c>
      <c r="K108" s="94">
        <v>49.8</v>
      </c>
      <c r="L108" s="94">
        <v>47</v>
      </c>
      <c r="M108" s="94">
        <v>44</v>
      </c>
      <c r="N108" s="94">
        <v>43.4</v>
      </c>
      <c r="O108" s="94">
        <v>54.2</v>
      </c>
      <c r="P108" s="94">
        <v>55</v>
      </c>
      <c r="Q108" s="94">
        <v>56.9</v>
      </c>
      <c r="R108" s="94">
        <v>62.3</v>
      </c>
      <c r="S108" s="94">
        <v>59.3</v>
      </c>
      <c r="T108" s="94">
        <v>55.9</v>
      </c>
      <c r="U108" s="94">
        <v>55.9</v>
      </c>
      <c r="V108" s="94">
        <v>39.299999999999997</v>
      </c>
      <c r="W108" s="94">
        <v>23.9</v>
      </c>
      <c r="X108" s="94">
        <v>60.3</v>
      </c>
      <c r="Y108" s="94">
        <v>32</v>
      </c>
      <c r="Z108" s="94">
        <v>39.799999999999997</v>
      </c>
      <c r="AA108" s="94">
        <v>43.8</v>
      </c>
      <c r="AB108" s="94">
        <v>48.5</v>
      </c>
      <c r="AC108" s="94">
        <v>51.7</v>
      </c>
      <c r="AD108" s="94">
        <v>55.2</v>
      </c>
      <c r="AE108" s="94">
        <v>60.9</v>
      </c>
      <c r="AF108" s="94">
        <v>62.2</v>
      </c>
      <c r="AG108" s="108"/>
      <c r="AH108" s="48">
        <f t="shared" si="9"/>
        <v>71.599999999999994</v>
      </c>
      <c r="AI108" s="49">
        <f t="shared" si="10"/>
        <v>23.9</v>
      </c>
    </row>
    <row r="109" spans="1:37" ht="15.75" thickBot="1" x14ac:dyDescent="0.3">
      <c r="A109" s="109" t="s">
        <v>114</v>
      </c>
      <c r="B109" s="94">
        <v>110.2</v>
      </c>
      <c r="C109" s="94">
        <v>106.1</v>
      </c>
      <c r="D109" s="94">
        <v>105.8</v>
      </c>
      <c r="E109" s="94">
        <v>96.1</v>
      </c>
      <c r="F109" s="94">
        <v>89.3</v>
      </c>
      <c r="G109" s="94">
        <v>91.6</v>
      </c>
      <c r="H109" s="94">
        <v>90.2</v>
      </c>
      <c r="I109" s="94">
        <v>92</v>
      </c>
      <c r="J109" s="94">
        <v>85.5</v>
      </c>
      <c r="K109" s="94">
        <v>34.6</v>
      </c>
      <c r="L109" s="94">
        <v>34.9</v>
      </c>
      <c r="M109" s="94">
        <v>30.8</v>
      </c>
      <c r="N109" s="94">
        <v>47.6</v>
      </c>
      <c r="O109" s="94">
        <v>51.1</v>
      </c>
      <c r="P109" s="94">
        <v>67.099999999999994</v>
      </c>
      <c r="Q109" s="94">
        <v>79</v>
      </c>
      <c r="R109" s="94">
        <v>83.3</v>
      </c>
      <c r="S109" s="94">
        <v>80</v>
      </c>
      <c r="T109" s="94">
        <v>64</v>
      </c>
      <c r="U109" s="94">
        <v>64</v>
      </c>
      <c r="V109" s="94">
        <v>16.600000000000001</v>
      </c>
      <c r="W109" s="94">
        <v>-8.3000000000000007</v>
      </c>
      <c r="X109" s="94">
        <v>2</v>
      </c>
      <c r="Y109" s="94">
        <v>10</v>
      </c>
      <c r="Z109" s="94">
        <v>22.2</v>
      </c>
      <c r="AA109" s="94">
        <v>38.5</v>
      </c>
      <c r="AB109" s="94">
        <v>62.6</v>
      </c>
      <c r="AC109" s="94">
        <v>81</v>
      </c>
      <c r="AD109" s="94">
        <v>89</v>
      </c>
      <c r="AE109" s="94">
        <v>98.3</v>
      </c>
      <c r="AF109" s="94">
        <v>102</v>
      </c>
      <c r="AG109" s="108"/>
      <c r="AH109" s="48">
        <f t="shared" si="9"/>
        <v>110.2</v>
      </c>
      <c r="AI109" s="49">
        <f t="shared" si="10"/>
        <v>-8.3000000000000007</v>
      </c>
    </row>
    <row r="110" spans="1:37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1524.8400000000001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6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2079/08/6)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2079/08/6)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6">B81</f>
        <v>1177.2400000000002</v>
      </c>
      <c r="U238" s="159">
        <f t="shared" si="26"/>
        <v>1123.24</v>
      </c>
      <c r="V238" s="159">
        <f t="shared" si="26"/>
        <v>1107.94</v>
      </c>
      <c r="W238" s="159">
        <f t="shared" si="26"/>
        <v>1015.6399999999999</v>
      </c>
      <c r="X238" s="159">
        <f t="shared" si="26"/>
        <v>1015.1400000000001</v>
      </c>
      <c r="Y238" s="159">
        <f t="shared" si="26"/>
        <v>1073.24</v>
      </c>
      <c r="Z238" s="159">
        <f t="shared" si="26"/>
        <v>1156.3400000000001</v>
      </c>
      <c r="AA238" s="159">
        <f t="shared" si="26"/>
        <v>1247.6400000000001</v>
      </c>
      <c r="AB238" s="159">
        <f t="shared" si="26"/>
        <v>1279.7400000000002</v>
      </c>
      <c r="AC238" s="159">
        <f t="shared" si="26"/>
        <v>1475.2400000000002</v>
      </c>
      <c r="AD238" s="159">
        <f t="shared" si="26"/>
        <v>1524.8400000000001</v>
      </c>
      <c r="AE238" s="159">
        <f t="shared" si="26"/>
        <v>1517.44</v>
      </c>
      <c r="AF238" s="159">
        <f t="shared" si="26"/>
        <v>1469.7400000000002</v>
      </c>
      <c r="AG238" s="159">
        <f t="shared" si="26"/>
        <v>1397.14</v>
      </c>
      <c r="AH238" s="159">
        <f t="shared" si="26"/>
        <v>1322.14</v>
      </c>
      <c r="AI238" s="159">
        <f t="shared" si="26"/>
        <v>1266.44</v>
      </c>
      <c r="AJ238" s="159">
        <f t="shared" si="26"/>
        <v>1241.44</v>
      </c>
      <c r="AK238" s="159">
        <f t="shared" si="26"/>
        <v>1283.94</v>
      </c>
      <c r="AL238" s="159">
        <f t="shared" si="26"/>
        <v>1302.6400000000001</v>
      </c>
      <c r="AM238" s="159">
        <f t="shared" si="26"/>
        <v>1353.3400000000001</v>
      </c>
      <c r="AN238" s="159">
        <f t="shared" si="26"/>
        <v>1418.7400000000002</v>
      </c>
      <c r="AO238" s="159">
        <f t="shared" si="26"/>
        <v>1501.74</v>
      </c>
      <c r="AP238" s="159">
        <f t="shared" si="26"/>
        <v>1112.6400000000001</v>
      </c>
      <c r="AQ238" s="159">
        <f t="shared" si="26"/>
        <v>1536.8400000000001</v>
      </c>
      <c r="AR238" s="159">
        <f t="shared" si="26"/>
        <v>1466.74</v>
      </c>
      <c r="AS238" s="159">
        <f t="shared" si="26"/>
        <v>1345.8400000000001</v>
      </c>
      <c r="AT238" s="159">
        <f t="shared" si="26"/>
        <v>1325.8400000000001</v>
      </c>
      <c r="AU238" s="159">
        <f t="shared" si="26"/>
        <v>1258.24</v>
      </c>
      <c r="AV238" s="159">
        <f t="shared" si="26"/>
        <v>1217.3400000000001</v>
      </c>
      <c r="AW238" s="159">
        <f t="shared" si="26"/>
        <v>1107.1400000000001</v>
      </c>
      <c r="AX238" s="159">
        <f t="shared" si="26"/>
        <v>1246.04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347" priority="132">
      <formula>$AH11=0</formula>
    </cfRule>
  </conditionalFormatting>
  <conditionalFormatting sqref="B8 M8 S8 AB8">
    <cfRule type="expression" dxfId="346" priority="362">
      <formula>AND(C$9&gt;=14/24,C$9&lt;20/24)</formula>
    </cfRule>
    <cfRule type="expression" dxfId="345" priority="363">
      <formula>AND(C$9&gt;=8/24,C$9&lt;14/24)</formula>
    </cfRule>
    <cfRule type="expression" dxfId="344" priority="364">
      <formula>C$9&lt;8/24</formula>
    </cfRule>
  </conditionalFormatting>
  <conditionalFormatting sqref="B44:B47">
    <cfRule type="expression" dxfId="343" priority="31">
      <formula>B$9&lt;8/24</formula>
    </cfRule>
    <cfRule type="expression" dxfId="342" priority="30">
      <formula>AND(B$9&gt;=8/24,B$9&lt;14/24)</formula>
    </cfRule>
    <cfRule type="expression" dxfId="341" priority="29">
      <formula>AND(B$9&gt;=14/24,B$9&lt;20/24)</formula>
    </cfRule>
    <cfRule type="expression" dxfId="340" priority="28">
      <formula>B$9&gt;=20/24</formula>
    </cfRule>
  </conditionalFormatting>
  <conditionalFormatting sqref="B44:B58">
    <cfRule type="expression" dxfId="339" priority="27">
      <formula>B44&gt;$AG44</formula>
    </cfRule>
  </conditionalFormatting>
  <conditionalFormatting sqref="B50:B56">
    <cfRule type="expression" dxfId="338" priority="70">
      <formula>AND(B$9&gt;=14/24,B$9&lt;20/24)</formula>
    </cfRule>
    <cfRule type="expression" dxfId="337" priority="69">
      <formula>B$9&gt;=20/24</formula>
    </cfRule>
    <cfRule type="expression" dxfId="336" priority="71">
      <formula>AND(B$9&gt;=8/24,B$9&lt;14/24)</formula>
    </cfRule>
    <cfRule type="expression" dxfId="335" priority="72">
      <formula>B$9&lt;8/24</formula>
    </cfRule>
  </conditionalFormatting>
  <conditionalFormatting sqref="B62">
    <cfRule type="expression" dxfId="334" priority="49">
      <formula>B$9&lt;8/24</formula>
    </cfRule>
  </conditionalFormatting>
  <conditionalFormatting sqref="B62:B73">
    <cfRule type="expression" dxfId="333" priority="48">
      <formula>AND(B$9&gt;=8/24,B$9&lt;14/24)</formula>
    </cfRule>
    <cfRule type="expression" dxfId="332" priority="47">
      <formula>AND(B$9&gt;=14/24,B$9&lt;20/24)</formula>
    </cfRule>
    <cfRule type="expression" dxfId="331" priority="46">
      <formula>B$9&gt;=20/24</formula>
    </cfRule>
  </conditionalFormatting>
  <conditionalFormatting sqref="B74:B81">
    <cfRule type="expression" dxfId="330" priority="43">
      <formula>AND(B$9&gt;=8/24,B$9&lt;14/24)</formula>
    </cfRule>
    <cfRule type="expression" dxfId="329" priority="41">
      <formula>B$9&gt;=20/24</formula>
    </cfRule>
    <cfRule type="expression" dxfId="328" priority="44">
      <formula>B$9&lt;8/24</formula>
    </cfRule>
    <cfRule type="expression" dxfId="327" priority="42">
      <formula>AND(B$9&gt;=14/24,B$9&lt;20/24)</formula>
    </cfRule>
  </conditionalFormatting>
  <conditionalFormatting sqref="B11:R11 B16:R16">
    <cfRule type="expression" dxfId="322" priority="113">
      <formula>B$9&gt;=20/24</formula>
    </cfRule>
    <cfRule type="expression" dxfId="321" priority="114">
      <formula>AND(B$9&gt;=14/24,B$9&lt;20/24)</formula>
    </cfRule>
    <cfRule type="expression" dxfId="320" priority="115">
      <formula>AND(B$9&gt;=8/24,B$9&lt;14/24)</formula>
    </cfRule>
    <cfRule type="expression" dxfId="319" priority="116">
      <formula>B$9&lt;8/24</formula>
    </cfRule>
  </conditionalFormatting>
  <conditionalFormatting sqref="B11:R16 B18:R18">
    <cfRule type="expression" dxfId="318" priority="108">
      <formula>B11&gt;$AG11</formula>
    </cfRule>
  </conditionalFormatting>
  <conditionalFormatting sqref="B12:R15">
    <cfRule type="expression" dxfId="317" priority="78">
      <formula>B$9&gt;=20/24</formula>
    </cfRule>
    <cfRule type="expression" dxfId="316" priority="79">
      <formula>AND(B$9&gt;=14/24,B$9&lt;20/24)</formula>
    </cfRule>
    <cfRule type="expression" dxfId="315" priority="80">
      <formula>AND(B$9&gt;=8/24,B$9&lt;14/24)</formula>
    </cfRule>
    <cfRule type="expression" dxfId="314" priority="81">
      <formula>B$9&lt;8/24</formula>
    </cfRule>
  </conditionalFormatting>
  <conditionalFormatting sqref="B17:R17">
    <cfRule type="expression" dxfId="313" priority="9">
      <formula>B$9&lt;8/24</formula>
    </cfRule>
    <cfRule type="expression" dxfId="312" priority="10">
      <formula>B17&gt;$AG17</formula>
    </cfRule>
    <cfRule type="expression" dxfId="311" priority="8">
      <formula>AND(B$9&gt;=8/24,B$9&lt;14/24)</formula>
    </cfRule>
    <cfRule type="expression" dxfId="310" priority="7">
      <formula>AND(B$9&gt;=14/24,B$9&lt;20/24)</formula>
    </cfRule>
    <cfRule type="expression" dxfId="309" priority="6">
      <formula>B$9&gt;=20/24</formula>
    </cfRule>
  </conditionalFormatting>
  <conditionalFormatting sqref="B18:R24">
    <cfRule type="expression" dxfId="308" priority="61">
      <formula>AND(B$9&gt;=14/24,B$9&lt;20/24)</formula>
    </cfRule>
    <cfRule type="expression" dxfId="307" priority="62">
      <formula>AND(B$9&gt;=8/24,B$9&lt;14/24)</formula>
    </cfRule>
    <cfRule type="expression" dxfId="306" priority="63">
      <formula>B$9&lt;8/24</formula>
    </cfRule>
    <cfRule type="expression" dxfId="305" priority="60">
      <formula>B$9&gt;=20/24</formula>
    </cfRule>
  </conditionalFormatting>
  <conditionalFormatting sqref="B25:R27 B29:AF29 B59:AF61 B63:AF73 C74:AF78">
    <cfRule type="expression" dxfId="304" priority="94">
      <formula>B$9&lt;8/24</formula>
    </cfRule>
  </conditionalFormatting>
  <conditionalFormatting sqref="B25:R27 B29:AF29 B59:AF61 C63:AF78">
    <cfRule type="expression" dxfId="303" priority="91">
      <formula>B$9&gt;=20/24</formula>
    </cfRule>
    <cfRule type="expression" dxfId="302" priority="92">
      <formula>AND(B$9&gt;=14/24,B$9&lt;20/24)</formula>
    </cfRule>
    <cfRule type="expression" dxfId="301" priority="93">
      <formula>AND(B$9&gt;=8/24,B$9&lt;14/24)</formula>
    </cfRule>
  </conditionalFormatting>
  <conditionalFormatting sqref="B9:AF10 X11:AF11 S16:AF16 B216:AF216 B218:B224 D218:AF224 U237:AF237">
    <cfRule type="expression" dxfId="300" priority="356">
      <formula>AND(B$9&gt;=14/24,B$9&lt;20/24)</formula>
    </cfRule>
    <cfRule type="expression" dxfId="299" priority="357">
      <formula>AND(B$9&gt;=8/24,B$9&lt;14/24)</formula>
    </cfRule>
    <cfRule type="expression" dxfId="298" priority="358">
      <formula>B$9&lt;8/24</formula>
    </cfRule>
  </conditionalFormatting>
  <conditionalFormatting sqref="B19:AF24">
    <cfRule type="expression" dxfId="297" priority="59">
      <formula>B19&gt;$AG19</formula>
    </cfRule>
  </conditionalFormatting>
  <conditionalFormatting sqref="B25:AF29 B59:AF61">
    <cfRule type="expression" dxfId="296" priority="86">
      <formula>B25&gt;$AG25</formula>
    </cfRule>
  </conditionalFormatting>
  <conditionalFormatting sqref="B28:AF28">
    <cfRule type="expression" dxfId="295" priority="64">
      <formula>B$9&gt;=20/24</formula>
    </cfRule>
    <cfRule type="expression" dxfId="294" priority="67">
      <formula>B$9&lt;8/24</formula>
    </cfRule>
    <cfRule type="expression" dxfId="293" priority="66">
      <formula>AND(B$9&gt;=8/24,B$9&lt;14/24)</formula>
    </cfRule>
    <cfRule type="expression" dxfId="292" priority="65">
      <formula>AND(B$9&gt;=14/24,B$9&lt;20/24)</formula>
    </cfRule>
  </conditionalFormatting>
  <conditionalFormatting sqref="B30:AF36">
    <cfRule type="expression" dxfId="291" priority="1">
      <formula>B30&gt;$AG30</formula>
    </cfRule>
  </conditionalFormatting>
  <conditionalFormatting sqref="B30:AF37">
    <cfRule type="expression" dxfId="290" priority="5">
      <formula>B$9&lt;8/24</formula>
    </cfRule>
    <cfRule type="expression" dxfId="289" priority="4">
      <formula>AND(B$9&gt;=8/24,B$9&lt;14/24)</formula>
    </cfRule>
    <cfRule type="expression" dxfId="288" priority="3">
      <formula>AND(B$9&gt;=14/24,B$9&lt;20/24)</formula>
    </cfRule>
    <cfRule type="expression" dxfId="287" priority="2">
      <formula>B$9&gt;=20/24</formula>
    </cfRule>
  </conditionalFormatting>
  <conditionalFormatting sqref="B37:AF39">
    <cfRule type="expression" dxfId="286" priority="50">
      <formula>B37&gt;$AG37</formula>
    </cfRule>
  </conditionalFormatting>
  <conditionalFormatting sqref="B38:AF39">
    <cfRule type="expression" dxfId="285" priority="51">
      <formula>B$9&gt;=20/24</formula>
    </cfRule>
    <cfRule type="expression" dxfId="284" priority="52">
      <formula>AND(B$9&gt;=14/24,B$9&lt;20/24)</formula>
    </cfRule>
    <cfRule type="expression" dxfId="283" priority="53">
      <formula>AND(B$9&gt;=8/24,B$9&lt;14/24)</formula>
    </cfRule>
    <cfRule type="expression" dxfId="282" priority="54">
      <formula>B$9&lt;8/24</formula>
    </cfRule>
  </conditionalFormatting>
  <conditionalFormatting sqref="B41:AF43">
    <cfRule type="expression" dxfId="281" priority="34">
      <formula>AND(B$9&gt;=14/24,B$9&lt;20/24)</formula>
    </cfRule>
    <cfRule type="expression" dxfId="280" priority="35">
      <formula>AND(B$9&gt;=8/24,B$9&lt;14/24)</formula>
    </cfRule>
    <cfRule type="expression" dxfId="279" priority="36">
      <formula>B$9&lt;8/24</formula>
    </cfRule>
    <cfRule type="expression" dxfId="278" priority="33">
      <formula>B$9&gt;=20/24</formula>
    </cfRule>
    <cfRule type="expression" dxfId="277" priority="32">
      <formula>B41&gt;$AG41</formula>
    </cfRule>
  </conditionalFormatting>
  <conditionalFormatting sqref="B83:AF99">
    <cfRule type="expression" dxfId="276" priority="25">
      <formula>AND(B$9&gt;=8/24,B$9&lt;14/24)</formula>
    </cfRule>
    <cfRule type="expression" dxfId="275" priority="26">
      <formula>B$9&lt;8/24</formula>
    </cfRule>
    <cfRule type="expression" dxfId="274" priority="24">
      <formula>AND(B$9&gt;=14/24,B$9&lt;20/24)</formula>
    </cfRule>
    <cfRule type="expression" dxfId="273" priority="23">
      <formula>B$9&gt;=20/24</formula>
    </cfRule>
  </conditionalFormatting>
  <conditionalFormatting sqref="B101:AF108">
    <cfRule type="expression" dxfId="272" priority="11">
      <formula>B$9&gt;=20/24</formula>
    </cfRule>
    <cfRule type="expression" dxfId="271" priority="12">
      <formula>AND(B$9&gt;=14/24,B$9&lt;20/24)</formula>
    </cfRule>
    <cfRule type="expression" dxfId="270" priority="13">
      <formula>AND(B$9&gt;=8/24,B$9&lt;14/24)</formula>
    </cfRule>
    <cfRule type="expression" dxfId="269" priority="14">
      <formula>B$9&lt;8/24</formula>
    </cfRule>
  </conditionalFormatting>
  <conditionalFormatting sqref="B40:AG40 B62:AG62">
    <cfRule type="expression" dxfId="264" priority="45">
      <formula>B40&gt;$AG40</formula>
    </cfRule>
  </conditionalFormatting>
  <conditionalFormatting sqref="C46:R47">
    <cfRule type="expression" dxfId="263" priority="245">
      <formula>AND(C$9&gt;=14/24,C$9&lt;20/24)</formula>
    </cfRule>
    <cfRule type="expression" dxfId="262" priority="247">
      <formula>C$9&lt;8/24</formula>
    </cfRule>
    <cfRule type="expression" dxfId="261" priority="246">
      <formula>AND(C$9&gt;=8/24,C$9&lt;14/24)</formula>
    </cfRule>
    <cfRule type="expression" dxfId="260" priority="244">
      <formula>C$9&gt;=20/24</formula>
    </cfRule>
  </conditionalFormatting>
  <conditionalFormatting sqref="C45:W45">
    <cfRule type="expression" dxfId="259" priority="243">
      <formula>C$9&lt;8/24</formula>
    </cfRule>
    <cfRule type="expression" dxfId="258" priority="240">
      <formula>C$9&gt;=20/24</formula>
    </cfRule>
    <cfRule type="expression" dxfId="257" priority="241">
      <formula>AND(C$9&gt;=14/24,C$9&lt;20/24)</formula>
    </cfRule>
    <cfRule type="expression" dxfId="256" priority="242">
      <formula>AND(C$9&gt;=8/24,C$9&lt;14/24)</formula>
    </cfRule>
  </conditionalFormatting>
  <conditionalFormatting sqref="C45:AF56">
    <cfRule type="expression" dxfId="255" priority="145">
      <formula>C45&gt;$AG45</formula>
    </cfRule>
  </conditionalFormatting>
  <conditionalFormatting sqref="C44:AG44">
    <cfRule type="expression" dxfId="250" priority="186">
      <formula>AND(C$9&gt;=14/24,C$9&lt;20/24)</formula>
    </cfRule>
    <cfRule type="expression" dxfId="249" priority="187">
      <formula>AND(C$9&gt;=8/24,C$9&lt;14/24)</formula>
    </cfRule>
    <cfRule type="expression" dxfId="248" priority="188">
      <formula>C$9&lt;8/24</formula>
    </cfRule>
    <cfRule type="expression" dxfId="247" priority="184">
      <formula>C44&gt;$AG44</formula>
    </cfRule>
    <cfRule type="expression" dxfId="246" priority="185">
      <formula>C$9&gt;=20/24</formula>
    </cfRule>
  </conditionalFormatting>
  <conditionalFormatting sqref="C57:AG58">
    <cfRule type="expression" dxfId="245" priority="230">
      <formula>C57&gt;$AG57</formula>
    </cfRule>
  </conditionalFormatting>
  <conditionalFormatting sqref="C62:AG62 C79:AG79 C80:AF81">
    <cfRule type="expression" dxfId="244" priority="238">
      <formula>C$9&lt;8/24</formula>
    </cfRule>
    <cfRule type="expression" dxfId="243" priority="237">
      <formula>AND(C$9&gt;=8/24,C$9&lt;14/24)</formula>
    </cfRule>
    <cfRule type="expression" dxfId="242" priority="236">
      <formula>AND(C$9&gt;=14/24,C$9&lt;20/24)</formula>
    </cfRule>
    <cfRule type="expression" dxfId="241" priority="235">
      <formula>C$9&gt;=20/24</formula>
    </cfRule>
  </conditionalFormatting>
  <conditionalFormatting sqref="O3:P3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40" priority="361">
      <formula>C$9&gt;=20/24</formula>
    </cfRule>
  </conditionalFormatting>
  <conditionalFormatting sqref="S8">
    <cfRule type="expression" dxfId="239" priority="332">
      <formula>AND(U$9&gt;=8/24,U$9&lt;14/24)</formula>
    </cfRule>
    <cfRule type="expression" dxfId="238" priority="331">
      <formula>AND(U$9&gt;=14/24,U$9&lt;20/24)</formula>
    </cfRule>
    <cfRule type="expression" dxfId="237" priority="333">
      <formula>U$9&lt;8/24</formula>
    </cfRule>
    <cfRule type="expression" dxfId="236" priority="330">
      <formula>U$9&gt;=20/24</formula>
    </cfRule>
  </conditionalFormatting>
  <conditionalFormatting sqref="S11:W11">
    <cfRule type="expression" dxfId="235" priority="307">
      <formula>S11&gt;$AG11</formula>
    </cfRule>
  </conditionalFormatting>
  <conditionalFormatting sqref="S11:W14 X12:AF14">
    <cfRule type="expression" dxfId="234" priority="312">
      <formula>S$9&gt;=20/24</formula>
    </cfRule>
    <cfRule type="expression" dxfId="233" priority="313">
      <formula>AND(S$9&gt;=14/24,S$9&lt;20/24)</formula>
    </cfRule>
    <cfRule type="expression" dxfId="232" priority="314">
      <formula>AND(S$9&gt;=8/24,S$9&lt;14/24)</formula>
    </cfRule>
    <cfRule type="expression" dxfId="231" priority="315">
      <formula>S$9&lt;8/24</formula>
    </cfRule>
  </conditionalFormatting>
  <conditionalFormatting sqref="S46:W56 C50:R56">
    <cfRule type="expression" dxfId="230" priority="215">
      <formula>AND(C$9&gt;=8/24,C$9&lt;14/24)</formula>
    </cfRule>
    <cfRule type="expression" dxfId="229" priority="214">
      <formula>AND(C$9&gt;=14/24,C$9&lt;20/24)</formula>
    </cfRule>
    <cfRule type="expression" dxfId="228" priority="216">
      <formula>C$9&lt;8/24</formula>
    </cfRule>
    <cfRule type="expression" dxfId="227" priority="213">
      <formula>C$9&gt;=20/24</formula>
    </cfRule>
  </conditionalFormatting>
  <conditionalFormatting sqref="S11:AF16">
    <cfRule type="expression" dxfId="226" priority="349">
      <formula>S11&gt;$AG11</formula>
    </cfRule>
  </conditionalFormatting>
  <conditionalFormatting sqref="S15:AF15">
    <cfRule type="expression" dxfId="225" priority="299">
      <formula>S$9&gt;=20/24</formula>
    </cfRule>
    <cfRule type="expression" dxfId="224" priority="302">
      <formula>S$9&lt;8/24</formula>
    </cfRule>
    <cfRule type="expression" dxfId="223" priority="300">
      <formula>AND(S$9&gt;=14/24,S$9&lt;20/24)</formula>
    </cfRule>
    <cfRule type="expression" dxfId="222" priority="301">
      <formula>AND(S$9&gt;=8/24,S$9&lt;14/24)</formula>
    </cfRule>
  </conditionalFormatting>
  <conditionalFormatting sqref="S17:AF18">
    <cfRule type="expression" dxfId="221" priority="143">
      <formula>S17&gt;$AG17</formula>
    </cfRule>
  </conditionalFormatting>
  <conditionalFormatting sqref="S17:AF27">
    <cfRule type="expression" dxfId="220" priority="139">
      <formula>AND(S$9&gt;=14/24,S$9&lt;20/24)</formula>
    </cfRule>
    <cfRule type="expression" dxfId="219" priority="140">
      <formula>AND(S$9&gt;=8/24,S$9&lt;14/24)</formula>
    </cfRule>
    <cfRule type="expression" dxfId="218" priority="141">
      <formula>S$9&lt;8/24</formula>
    </cfRule>
    <cfRule type="expression" dxfId="217" priority="138">
      <formula>S$9&gt;=20/24</formula>
    </cfRule>
  </conditionalFormatting>
  <conditionalFormatting sqref="T237">
    <cfRule type="expression" dxfId="216" priority="377">
      <formula>AX$9&lt;8/24</formula>
    </cfRule>
    <cfRule type="expression" dxfId="215" priority="374">
      <formula>AX$9&gt;=20/24</formula>
    </cfRule>
    <cfRule type="expression" dxfId="214" priority="376">
      <formula>AND(AX$9&gt;=8/24,AX$9&lt;14/24)</formula>
    </cfRule>
    <cfRule type="expression" dxfId="213" priority="375">
      <formula>AND(AX$9&gt;=14/24,AX$9&lt;20/24)</formula>
    </cfRule>
  </conditionalFormatting>
  <conditionalFormatting sqref="V3 AB3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X48:AD51 AE50:AF51">
    <cfRule type="expression" dxfId="212" priority="285">
      <formula>X$9&gt;=20/24</formula>
    </cfRule>
    <cfRule type="expression" dxfId="211" priority="286">
      <formula>AND(X$9&gt;=14/24,X$9&lt;20/24)</formula>
    </cfRule>
    <cfRule type="expression" dxfId="210" priority="287">
      <formula>AND(X$9&gt;=8/24,X$9&lt;14/24)</formula>
    </cfRule>
    <cfRule type="expression" dxfId="209" priority="288">
      <formula>X$9&lt;8/24</formula>
    </cfRule>
  </conditionalFormatting>
  <conditionalFormatting sqref="X11:AF11 S16:AF16 B9:AF10 B216:AF216 B218:B224 D218:AF224 U237:AF237">
    <cfRule type="expression" dxfId="208" priority="355">
      <formula>B$9&gt;=20/24</formula>
    </cfRule>
  </conditionalFormatting>
  <conditionalFormatting sqref="X45:AF47">
    <cfRule type="expression" dxfId="207" priority="264">
      <formula>AND(X$9&gt;=8/24,X$9&lt;14/24)</formula>
    </cfRule>
    <cfRule type="expression" dxfId="206" priority="265">
      <formula>X$9&lt;8/24</formula>
    </cfRule>
    <cfRule type="expression" dxfId="205" priority="262">
      <formula>X$9&gt;=20/24</formula>
    </cfRule>
    <cfRule type="expression" dxfId="204" priority="263">
      <formula>AND(X$9&gt;=14/24,X$9&lt;20/24)</formula>
    </cfRule>
  </conditionalFormatting>
  <conditionalFormatting sqref="X52:AF56">
    <cfRule type="expression" dxfId="203" priority="146">
      <formula>X$9&gt;=20/24</formula>
    </cfRule>
    <cfRule type="expression" dxfId="202" priority="147">
      <formula>AND(X$9&gt;=14/24,X$9&lt;20/24)</formula>
    </cfRule>
    <cfRule type="expression" dxfId="201" priority="148">
      <formula>AND(X$9&gt;=8/24,X$9&lt;14/24)</formula>
    </cfRule>
    <cfRule type="expression" dxfId="200" priority="149">
      <formula>X$9&lt;8/24</formula>
    </cfRule>
  </conditionalFormatting>
  <conditionalFormatting sqref="AB8">
    <cfRule type="expression" dxfId="199" priority="326">
      <formula>AD$9&gt;=20/24</formula>
    </cfRule>
    <cfRule type="expression" dxfId="198" priority="327">
      <formula>AND(AD$9&gt;=14/24,AD$9&lt;20/24)</formula>
    </cfRule>
    <cfRule type="expression" dxfId="197" priority="328">
      <formula>AND(AD$9&gt;=8/24,AD$9&lt;14/24)</formula>
    </cfRule>
    <cfRule type="expression" dxfId="196" priority="329">
      <formula>AD$9&lt;8/24</formula>
    </cfRule>
  </conditionalFormatting>
  <conditionalFormatting sqref="AG237">
    <cfRule type="expression" dxfId="195" priority="366">
      <formula>B$9&gt;=20/24</formula>
    </cfRule>
    <cfRule type="expression" dxfId="194" priority="367">
      <formula>AND(B$9&gt;=14/24,B$9&lt;20/24)</formula>
    </cfRule>
    <cfRule type="expression" dxfId="193" priority="368">
      <formula>AND(B$9&gt;=8/24,B$9&lt;14/24)</formula>
    </cfRule>
    <cfRule type="expression" dxfId="192" priority="369">
      <formula>B$9&lt;8/24</formula>
    </cfRule>
  </conditionalFormatting>
  <conditionalFormatting sqref="AH237:AX237">
    <cfRule type="expression" dxfId="191" priority="370">
      <formula>AG$9&gt;=20/24</formula>
    </cfRule>
    <cfRule type="expression" dxfId="190" priority="371">
      <formula>AND(AG$9&gt;=14/24,AG$9&lt;20/24)</formula>
    </cfRule>
    <cfRule type="expression" dxfId="189" priority="372">
      <formula>AND(AG$9&gt;=8/24,AG$9&lt;14/24)</formula>
    </cfRule>
    <cfRule type="expression" dxfId="188" priority="373">
      <formula>AG$9&lt;8/24</formula>
    </cfRule>
  </conditionalFormatting>
  <conditionalFormatting sqref="AL4:AL6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378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45E494FB-99F2-4950-AFCC-061E82DDEA0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" id="{97A3975D-5DFD-4B7B-BCCB-3D336BFCF4F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FF60B8BA-385C-4B67-A7AA-7F2FBA3E4FF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" id="{FFC1F2D0-5A16-41DD-8AF9-F0878A35094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17" id="{E33DEEC5-B3A1-4DE9-B96A-9A99E2CC2E0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37E0EB9D-357A-48C8-BA1C-C7324DB74A4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71FB8FE2-161E-436D-87F5-CFEEB61980B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" id="{D4C20327-0966-4EC9-A3E9-2C712699ACF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  <x14:conditionalFormatting xmlns:xm="http://schemas.microsoft.com/office/excel/2006/main">
          <x14:cfRule type="expression" priority="171" id="{6E4E4F86-063A-404A-9877-A481CD09F7D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2" id="{055BE91B-54C5-48AE-A152-1967B86BB06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3" id="{B7C020B9-1E8C-4DDA-BA97-0678DD1C2C9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4" id="{9B9FCF6D-EE56-4BF3-BFBC-C0AC767E500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A47" sqref="AA47"/>
    </sheetView>
  </sheetViews>
  <sheetFormatPr defaultRowHeight="15" x14ac:dyDescent="0.25"/>
  <cols>
    <col min="1" max="1" width="45.42578125" style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2" width="6.85546875" style="1" customWidth="1"/>
    <col min="23" max="23" width="7.42578125" style="1" customWidth="1"/>
    <col min="24" max="24" width="7.85546875" style="1" customWidth="1"/>
    <col min="25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2079/08/7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1593MW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Load=981</v>
      </c>
      <c r="B7" s="35">
        <f t="shared" ref="B7:AF7" si="1">B81</f>
        <v>1239.74</v>
      </c>
      <c r="C7" s="35">
        <f t="shared" si="1"/>
        <v>985.24</v>
      </c>
      <c r="D7" s="35">
        <f t="shared" si="1"/>
        <v>990.04</v>
      </c>
      <c r="E7" s="35">
        <f t="shared" si="1"/>
        <v>981.94</v>
      </c>
      <c r="F7" s="35">
        <f t="shared" si="1"/>
        <v>980.94</v>
      </c>
      <c r="G7" s="35">
        <f t="shared" si="1"/>
        <v>1025.1400000000001</v>
      </c>
      <c r="H7" s="35">
        <f t="shared" si="1"/>
        <v>1064.24</v>
      </c>
      <c r="I7" s="35">
        <f t="shared" si="1"/>
        <v>1173.1400000000001</v>
      </c>
      <c r="J7" s="35">
        <f t="shared" si="1"/>
        <v>1253.1400000000001</v>
      </c>
      <c r="K7" s="35">
        <f t="shared" si="1"/>
        <v>1505.14</v>
      </c>
      <c r="L7" s="35">
        <f t="shared" si="1"/>
        <v>1593.3400000000001</v>
      </c>
      <c r="M7" s="35">
        <f t="shared" si="1"/>
        <v>1577.4400000000003</v>
      </c>
      <c r="N7" s="35">
        <f t="shared" si="1"/>
        <v>1561.4400000000003</v>
      </c>
      <c r="O7" s="35">
        <f t="shared" si="1"/>
        <v>1500.1400000000003</v>
      </c>
      <c r="P7" s="35">
        <f t="shared" si="1"/>
        <v>1393.14</v>
      </c>
      <c r="Q7" s="35">
        <f t="shared" si="1"/>
        <v>1278.94</v>
      </c>
      <c r="R7" s="35">
        <f t="shared" si="1"/>
        <v>1258.94</v>
      </c>
      <c r="S7" s="35">
        <f t="shared" si="1"/>
        <v>1238.76</v>
      </c>
      <c r="T7" s="35">
        <f t="shared" si="1"/>
        <v>1219.6400000000001</v>
      </c>
      <c r="U7" s="35">
        <f t="shared" si="1"/>
        <v>1215.4400000000003</v>
      </c>
      <c r="V7" s="35">
        <f t="shared" si="1"/>
        <v>1291.6400000000003</v>
      </c>
      <c r="W7" s="35">
        <f t="shared" si="1"/>
        <v>1521.8400000000001</v>
      </c>
      <c r="X7" s="35">
        <f t="shared" si="1"/>
        <v>1615.44</v>
      </c>
      <c r="Y7" s="35">
        <f t="shared" si="1"/>
        <v>1426.54</v>
      </c>
      <c r="Z7" s="35">
        <f t="shared" si="1"/>
        <v>1310.7400000000002</v>
      </c>
      <c r="AA7" s="35">
        <f>AA81</f>
        <v>1310.8400000000001</v>
      </c>
      <c r="AB7" s="35">
        <f t="shared" si="1"/>
        <v>1310.3400000000001</v>
      </c>
      <c r="AC7" s="35">
        <f t="shared" si="1"/>
        <v>1330.3400000000001</v>
      </c>
      <c r="AD7" s="35">
        <f t="shared" si="1"/>
        <v>1195.94</v>
      </c>
      <c r="AE7" s="35">
        <f t="shared" si="1"/>
        <v>1023.8400000000001</v>
      </c>
      <c r="AF7" s="35">
        <f t="shared" si="1"/>
        <v>1079.74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34.5</v>
      </c>
      <c r="C11" s="45">
        <v>34.5</v>
      </c>
      <c r="D11" s="45">
        <v>34.5</v>
      </c>
      <c r="E11" s="45">
        <v>34.5</v>
      </c>
      <c r="F11" s="45">
        <v>34.5</v>
      </c>
      <c r="G11" s="45">
        <v>34.5</v>
      </c>
      <c r="H11" s="45">
        <v>34.5</v>
      </c>
      <c r="I11" s="45">
        <v>34.5</v>
      </c>
      <c r="J11" s="45">
        <v>34.5</v>
      </c>
      <c r="K11" s="45">
        <v>34.5</v>
      </c>
      <c r="L11" s="45">
        <v>34.5</v>
      </c>
      <c r="M11" s="45">
        <v>35</v>
      </c>
      <c r="N11" s="45">
        <v>35</v>
      </c>
      <c r="O11" s="45">
        <v>35</v>
      </c>
      <c r="P11" s="45">
        <v>35</v>
      </c>
      <c r="Q11" s="45">
        <v>35</v>
      </c>
      <c r="R11" s="45">
        <v>35</v>
      </c>
      <c r="S11" s="45">
        <v>34.799999999999997</v>
      </c>
      <c r="T11" s="45">
        <v>34.6</v>
      </c>
      <c r="U11" s="45">
        <v>34.700000000000003</v>
      </c>
      <c r="V11" s="45">
        <v>34.700000000000003</v>
      </c>
      <c r="W11" s="45">
        <v>34</v>
      </c>
      <c r="X11" s="46">
        <v>34.1</v>
      </c>
      <c r="Y11" s="46">
        <v>34.1</v>
      </c>
      <c r="Z11" s="46">
        <v>34.1</v>
      </c>
      <c r="AA11" s="46">
        <v>34.1</v>
      </c>
      <c r="AB11" s="46">
        <v>34.5</v>
      </c>
      <c r="AC11" s="46">
        <v>34.5</v>
      </c>
      <c r="AD11" s="46">
        <v>34.700000000000003</v>
      </c>
      <c r="AE11" s="46">
        <v>34.700000000000003</v>
      </c>
      <c r="AF11" s="46">
        <v>34.700000000000003</v>
      </c>
      <c r="AG11" s="47">
        <v>52.4</v>
      </c>
      <c r="AH11" s="48">
        <f>MAX(B11:AF11)</f>
        <v>35</v>
      </c>
      <c r="AI11" s="49">
        <f>MIN(B11:AF11)</f>
        <v>34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50.4</v>
      </c>
      <c r="L12" s="45">
        <v>50.4</v>
      </c>
      <c r="M12" s="45">
        <v>50.4</v>
      </c>
      <c r="N12" s="45">
        <v>50.4</v>
      </c>
      <c r="O12" s="45">
        <v>50.4</v>
      </c>
      <c r="P12" s="45">
        <v>50.4</v>
      </c>
      <c r="Q12" s="45">
        <v>50.4</v>
      </c>
      <c r="R12" s="45">
        <v>50.4</v>
      </c>
      <c r="S12" s="45">
        <v>50.2</v>
      </c>
      <c r="T12" s="45">
        <v>50.4</v>
      </c>
      <c r="U12" s="45">
        <v>50.3</v>
      </c>
      <c r="V12" s="45">
        <v>50.3</v>
      </c>
      <c r="W12" s="45">
        <v>50.5</v>
      </c>
      <c r="X12" s="45">
        <v>50.4</v>
      </c>
      <c r="Y12" s="45">
        <v>50.4</v>
      </c>
      <c r="Z12" s="45">
        <v>50.3</v>
      </c>
      <c r="AA12" s="45">
        <v>50.1</v>
      </c>
      <c r="AB12" s="45">
        <v>50.3</v>
      </c>
      <c r="AC12" s="45">
        <v>50.3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31.2</v>
      </c>
      <c r="C13" s="45">
        <v>31.2</v>
      </c>
      <c r="D13" s="45">
        <v>31.2</v>
      </c>
      <c r="E13" s="45">
        <v>31.2</v>
      </c>
      <c r="F13" s="45">
        <v>31.2</v>
      </c>
      <c r="G13" s="45">
        <v>31.2</v>
      </c>
      <c r="H13" s="45">
        <v>31.2</v>
      </c>
      <c r="I13" s="45">
        <v>31.2</v>
      </c>
      <c r="J13" s="45">
        <v>31.2</v>
      </c>
      <c r="K13" s="45">
        <v>31.2</v>
      </c>
      <c r="L13" s="45">
        <v>31.2</v>
      </c>
      <c r="M13" s="45">
        <v>28.4</v>
      </c>
      <c r="N13" s="45">
        <v>28.4</v>
      </c>
      <c r="O13" s="45">
        <v>28.4</v>
      </c>
      <c r="P13" s="45">
        <v>28.4</v>
      </c>
      <c r="Q13" s="45">
        <v>28.4</v>
      </c>
      <c r="R13" s="45">
        <v>28.4</v>
      </c>
      <c r="S13" s="45">
        <v>29</v>
      </c>
      <c r="T13" s="45">
        <v>29</v>
      </c>
      <c r="U13" s="45">
        <v>30.1</v>
      </c>
      <c r="V13" s="45">
        <v>30.1</v>
      </c>
      <c r="W13" s="45">
        <v>30.4</v>
      </c>
      <c r="X13" s="46">
        <v>31.4</v>
      </c>
      <c r="Y13" s="46">
        <v>33.4</v>
      </c>
      <c r="Z13" s="46">
        <v>32.5</v>
      </c>
      <c r="AA13" s="46">
        <v>32.5</v>
      </c>
      <c r="AB13" s="45">
        <v>32.5</v>
      </c>
      <c r="AC13" s="45">
        <v>32.5</v>
      </c>
      <c r="AD13" s="45">
        <v>31.5</v>
      </c>
      <c r="AE13" s="45">
        <v>31.5</v>
      </c>
      <c r="AF13" s="45">
        <v>31.5</v>
      </c>
      <c r="AG13" s="51">
        <v>45</v>
      </c>
      <c r="AH13" s="48">
        <f t="shared" si="2"/>
        <v>33.4</v>
      </c>
      <c r="AI13" s="49">
        <f t="shared" si="3"/>
        <v>28.4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19</v>
      </c>
      <c r="C14" s="45">
        <v>19</v>
      </c>
      <c r="D14" s="45">
        <v>19</v>
      </c>
      <c r="E14" s="45">
        <v>19</v>
      </c>
      <c r="F14" s="45">
        <v>19</v>
      </c>
      <c r="G14" s="45">
        <v>19</v>
      </c>
      <c r="H14" s="45">
        <v>19</v>
      </c>
      <c r="I14" s="45">
        <v>19</v>
      </c>
      <c r="J14" s="45">
        <v>19</v>
      </c>
      <c r="K14" s="45">
        <v>19</v>
      </c>
      <c r="L14" s="45">
        <v>19</v>
      </c>
      <c r="M14" s="45">
        <v>19</v>
      </c>
      <c r="N14" s="45">
        <v>19</v>
      </c>
      <c r="O14" s="45">
        <v>20</v>
      </c>
      <c r="P14" s="45">
        <v>20</v>
      </c>
      <c r="Q14" s="45">
        <v>18</v>
      </c>
      <c r="R14" s="45">
        <v>18</v>
      </c>
      <c r="S14" s="45">
        <v>19</v>
      </c>
      <c r="T14" s="45">
        <v>19</v>
      </c>
      <c r="U14" s="45">
        <v>19</v>
      </c>
      <c r="V14" s="45">
        <v>19</v>
      </c>
      <c r="W14" s="45">
        <v>19</v>
      </c>
      <c r="X14" s="46">
        <v>19</v>
      </c>
      <c r="Y14" s="46">
        <v>19</v>
      </c>
      <c r="Z14" s="46">
        <v>19</v>
      </c>
      <c r="AA14" s="46">
        <v>19</v>
      </c>
      <c r="AB14" s="45">
        <v>19</v>
      </c>
      <c r="AC14" s="45">
        <v>19</v>
      </c>
      <c r="AD14" s="45">
        <v>19</v>
      </c>
      <c r="AE14" s="45">
        <v>20</v>
      </c>
      <c r="AF14" s="45">
        <v>20</v>
      </c>
      <c r="AG14" s="51">
        <v>42</v>
      </c>
      <c r="AH14" s="48">
        <f t="shared" si="2"/>
        <v>20</v>
      </c>
      <c r="AI14" s="49">
        <f t="shared" si="3"/>
        <v>18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5.4</v>
      </c>
      <c r="H15" s="45">
        <v>15</v>
      </c>
      <c r="I15" s="45">
        <v>20.100000000000001</v>
      </c>
      <c r="J15" s="45">
        <v>20.100000000000001</v>
      </c>
      <c r="K15" s="45">
        <v>20.100000000000001</v>
      </c>
      <c r="L15" s="45">
        <v>20.100000000000001</v>
      </c>
      <c r="M15" s="45">
        <v>19.7</v>
      </c>
      <c r="N15" s="45">
        <v>19.7</v>
      </c>
      <c r="O15" s="45">
        <v>19.7</v>
      </c>
      <c r="P15" s="45">
        <v>19.7</v>
      </c>
      <c r="Q15" s="45">
        <v>17.5</v>
      </c>
      <c r="R15" s="45">
        <v>17.5</v>
      </c>
      <c r="S15" s="45">
        <v>16.3</v>
      </c>
      <c r="T15" s="45">
        <v>17.899999999999999</v>
      </c>
      <c r="U15" s="45">
        <v>18</v>
      </c>
      <c r="V15" s="45">
        <v>18</v>
      </c>
      <c r="W15" s="45">
        <v>17.899999999999999</v>
      </c>
      <c r="X15" s="46">
        <v>18</v>
      </c>
      <c r="Y15" s="46">
        <v>18</v>
      </c>
      <c r="Z15" s="46">
        <v>18.3</v>
      </c>
      <c r="AA15" s="46">
        <v>18.600000000000001</v>
      </c>
      <c r="AB15" s="45">
        <v>18.399999999999999</v>
      </c>
      <c r="AC15" s="45">
        <v>18.399999999999999</v>
      </c>
      <c r="AD15" s="45">
        <v>18.399999999999999</v>
      </c>
      <c r="AE15" s="45">
        <v>10.7</v>
      </c>
      <c r="AF15" s="45">
        <v>5</v>
      </c>
      <c r="AG15" s="52">
        <v>30</v>
      </c>
      <c r="AH15" s="48">
        <f t="shared" si="2"/>
        <v>20.100000000000001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16.100000000000001</v>
      </c>
      <c r="C16" s="45">
        <v>16.100000000000001</v>
      </c>
      <c r="D16" s="45">
        <v>16.100000000000001</v>
      </c>
      <c r="E16" s="45">
        <v>16.100000000000001</v>
      </c>
      <c r="F16" s="45">
        <v>16.100000000000001</v>
      </c>
      <c r="G16" s="45">
        <v>16.100000000000001</v>
      </c>
      <c r="H16" s="45">
        <v>16.100000000000001</v>
      </c>
      <c r="I16" s="45">
        <v>16.100000000000001</v>
      </c>
      <c r="J16" s="45">
        <v>16.100000000000001</v>
      </c>
      <c r="K16" s="45">
        <v>16.100000000000001</v>
      </c>
      <c r="L16" s="45">
        <v>16.100000000000001</v>
      </c>
      <c r="M16" s="45">
        <v>15.5</v>
      </c>
      <c r="N16" s="45">
        <v>15.5</v>
      </c>
      <c r="O16" s="45">
        <v>15.5</v>
      </c>
      <c r="P16" s="45">
        <v>15.5</v>
      </c>
      <c r="Q16" s="45">
        <v>15.5</v>
      </c>
      <c r="R16" s="45">
        <v>15.5</v>
      </c>
      <c r="S16" s="45">
        <v>15.7</v>
      </c>
      <c r="T16" s="45">
        <v>15.9</v>
      </c>
      <c r="U16" s="45">
        <v>15.5</v>
      </c>
      <c r="V16" s="45">
        <v>15.5</v>
      </c>
      <c r="W16" s="45">
        <v>15.5</v>
      </c>
      <c r="X16" s="46">
        <v>15.9</v>
      </c>
      <c r="Y16" s="46">
        <v>15.9</v>
      </c>
      <c r="Z16" s="46">
        <v>15.9</v>
      </c>
      <c r="AA16" s="46">
        <v>15.9</v>
      </c>
      <c r="AB16" s="45">
        <v>15.8</v>
      </c>
      <c r="AC16" s="45">
        <v>15.8</v>
      </c>
      <c r="AD16" s="45">
        <v>15.9</v>
      </c>
      <c r="AE16" s="45">
        <v>15.9</v>
      </c>
      <c r="AF16" s="45">
        <v>15.9</v>
      </c>
      <c r="AG16" s="51">
        <v>24.2</v>
      </c>
      <c r="AH16" s="48">
        <f t="shared" si="2"/>
        <v>16.100000000000001</v>
      </c>
      <c r="AI16" s="49">
        <f t="shared" si="3"/>
        <v>15.5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6</v>
      </c>
      <c r="H17" s="45">
        <v>18</v>
      </c>
      <c r="I17" s="45">
        <v>26</v>
      </c>
      <c r="J17" s="45">
        <v>26</v>
      </c>
      <c r="K17" s="45">
        <v>26</v>
      </c>
      <c r="L17" s="45">
        <v>26</v>
      </c>
      <c r="M17" s="45">
        <v>20</v>
      </c>
      <c r="N17" s="45">
        <v>20</v>
      </c>
      <c r="O17" s="45">
        <v>20</v>
      </c>
      <c r="P17" s="45">
        <v>20</v>
      </c>
      <c r="Q17" s="45">
        <v>20</v>
      </c>
      <c r="R17" s="45">
        <v>20</v>
      </c>
      <c r="S17" s="45">
        <v>20</v>
      </c>
      <c r="T17" s="45">
        <v>20</v>
      </c>
      <c r="U17" s="45">
        <v>20</v>
      </c>
      <c r="V17" s="45">
        <v>20</v>
      </c>
      <c r="W17" s="45">
        <v>20</v>
      </c>
      <c r="X17" s="46">
        <v>20</v>
      </c>
      <c r="Y17" s="46">
        <v>20</v>
      </c>
      <c r="Z17" s="46">
        <v>20</v>
      </c>
      <c r="AA17" s="46">
        <v>20</v>
      </c>
      <c r="AB17" s="45">
        <v>18</v>
      </c>
      <c r="AC17" s="45">
        <v>18</v>
      </c>
      <c r="AD17" s="45">
        <v>18</v>
      </c>
      <c r="AE17" s="45">
        <v>10</v>
      </c>
      <c r="AF17" s="45">
        <v>5</v>
      </c>
      <c r="AG17" s="52">
        <v>30</v>
      </c>
      <c r="AH17" s="48">
        <f t="shared" si="2"/>
        <v>26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17</v>
      </c>
      <c r="C18" s="45">
        <v>17</v>
      </c>
      <c r="D18" s="45">
        <v>17</v>
      </c>
      <c r="E18" s="45">
        <v>17</v>
      </c>
      <c r="F18" s="45">
        <v>17</v>
      </c>
      <c r="G18" s="45">
        <v>17</v>
      </c>
      <c r="H18" s="45">
        <v>17</v>
      </c>
      <c r="I18" s="45">
        <v>17</v>
      </c>
      <c r="J18" s="45">
        <v>17</v>
      </c>
      <c r="K18" s="45">
        <v>17</v>
      </c>
      <c r="L18" s="45">
        <v>17</v>
      </c>
      <c r="M18" s="45">
        <v>17.5</v>
      </c>
      <c r="N18" s="45">
        <v>17.5</v>
      </c>
      <c r="O18" s="45">
        <v>17.5</v>
      </c>
      <c r="P18" s="45">
        <v>17.5</v>
      </c>
      <c r="Q18" s="45">
        <v>17.5</v>
      </c>
      <c r="R18" s="45">
        <v>17.5</v>
      </c>
      <c r="S18" s="45">
        <v>17.3</v>
      </c>
      <c r="T18" s="45">
        <v>17.3</v>
      </c>
      <c r="U18" s="45">
        <v>17.3</v>
      </c>
      <c r="V18" s="45">
        <v>17.3</v>
      </c>
      <c r="W18" s="45">
        <v>17.3</v>
      </c>
      <c r="X18" s="46">
        <v>17.3</v>
      </c>
      <c r="Y18" s="46">
        <v>17.3</v>
      </c>
      <c r="Z18" s="46">
        <v>17.3</v>
      </c>
      <c r="AA18" s="46">
        <v>17.3</v>
      </c>
      <c r="AB18" s="45">
        <v>17</v>
      </c>
      <c r="AC18" s="45">
        <v>17</v>
      </c>
      <c r="AD18" s="45">
        <v>17</v>
      </c>
      <c r="AE18" s="45">
        <v>17</v>
      </c>
      <c r="AF18" s="45">
        <v>17</v>
      </c>
      <c r="AG18" s="51">
        <v>25</v>
      </c>
      <c r="AH18" s="48">
        <f t="shared" si="2"/>
        <v>17.5</v>
      </c>
      <c r="AI18" s="49">
        <f t="shared" si="3"/>
        <v>17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6">
        <v>15</v>
      </c>
      <c r="Y19" s="46">
        <v>15</v>
      </c>
      <c r="Z19" s="46">
        <v>15</v>
      </c>
      <c r="AA19" s="46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51">
        <v>25</v>
      </c>
      <c r="AH19" s="48">
        <f t="shared" si="2"/>
        <v>15</v>
      </c>
      <c r="AI19" s="49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6">
        <v>15</v>
      </c>
      <c r="Y20" s="46">
        <v>15</v>
      </c>
      <c r="Z20" s="46">
        <v>15</v>
      </c>
      <c r="AA20" s="46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15.4</v>
      </c>
      <c r="C21" s="45">
        <v>15.4</v>
      </c>
      <c r="D21" s="45">
        <v>15.4</v>
      </c>
      <c r="E21" s="45">
        <v>15.4</v>
      </c>
      <c r="F21" s="45">
        <v>15.4</v>
      </c>
      <c r="G21" s="45">
        <v>15.4</v>
      </c>
      <c r="H21" s="45">
        <v>15.4</v>
      </c>
      <c r="I21" s="45">
        <v>15.4</v>
      </c>
      <c r="J21" s="45">
        <v>15.4</v>
      </c>
      <c r="K21" s="45">
        <v>15.4</v>
      </c>
      <c r="L21" s="45">
        <v>15.4</v>
      </c>
      <c r="M21" s="45">
        <v>14.8</v>
      </c>
      <c r="N21" s="45">
        <v>14.8</v>
      </c>
      <c r="O21" s="45">
        <v>14.8</v>
      </c>
      <c r="P21" s="45">
        <v>14.8</v>
      </c>
      <c r="Q21" s="45">
        <v>14.8</v>
      </c>
      <c r="R21" s="45">
        <v>14.8</v>
      </c>
      <c r="S21" s="45">
        <v>14.8</v>
      </c>
      <c r="T21" s="45">
        <v>14.8</v>
      </c>
      <c r="U21" s="45">
        <v>14.8</v>
      </c>
      <c r="V21" s="45">
        <v>14.8</v>
      </c>
      <c r="W21" s="45">
        <v>14.8</v>
      </c>
      <c r="X21" s="46">
        <v>14.8</v>
      </c>
      <c r="Y21" s="46">
        <v>14.8</v>
      </c>
      <c r="Z21" s="46">
        <v>14.8</v>
      </c>
      <c r="AA21" s="46">
        <v>14.8</v>
      </c>
      <c r="AB21" s="46">
        <v>14.8</v>
      </c>
      <c r="AC21" s="46">
        <v>14.8</v>
      </c>
      <c r="AD21" s="46">
        <v>14.8</v>
      </c>
      <c r="AE21" s="46">
        <v>14.8</v>
      </c>
      <c r="AF21" s="46">
        <v>14.8</v>
      </c>
      <c r="AG21" s="51">
        <v>23.5</v>
      </c>
      <c r="AH21" s="48">
        <f t="shared" si="2"/>
        <v>15.4</v>
      </c>
      <c r="AI21" s="49">
        <f t="shared" si="3"/>
        <v>14.8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5</v>
      </c>
      <c r="P22" s="45">
        <v>7</v>
      </c>
      <c r="Q22" s="45">
        <v>7</v>
      </c>
      <c r="R22" s="45">
        <v>7</v>
      </c>
      <c r="S22" s="45">
        <v>7</v>
      </c>
      <c r="T22" s="45">
        <v>7</v>
      </c>
      <c r="U22" s="45">
        <v>7</v>
      </c>
      <c r="V22" s="45">
        <v>7</v>
      </c>
      <c r="W22" s="45">
        <v>7</v>
      </c>
      <c r="X22" s="46">
        <v>7</v>
      </c>
      <c r="Y22" s="46">
        <v>7</v>
      </c>
      <c r="Z22" s="46">
        <v>7</v>
      </c>
      <c r="AA22" s="46">
        <v>7</v>
      </c>
      <c r="AB22" s="46">
        <v>7</v>
      </c>
      <c r="AC22" s="46">
        <v>7</v>
      </c>
      <c r="AD22" s="46">
        <v>7</v>
      </c>
      <c r="AE22" s="46">
        <v>7</v>
      </c>
      <c r="AF22" s="46">
        <v>7</v>
      </c>
      <c r="AG22" s="51">
        <v>22.2</v>
      </c>
      <c r="AH22" s="48">
        <f t="shared" si="2"/>
        <v>7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10.6</v>
      </c>
      <c r="C23" s="45">
        <v>10.6</v>
      </c>
      <c r="D23" s="45">
        <v>10.6</v>
      </c>
      <c r="E23" s="45">
        <v>10.6</v>
      </c>
      <c r="F23" s="45">
        <v>10.6</v>
      </c>
      <c r="G23" s="45">
        <v>10.6</v>
      </c>
      <c r="H23" s="45">
        <v>10.6</v>
      </c>
      <c r="I23" s="45">
        <v>10.6</v>
      </c>
      <c r="J23" s="45">
        <v>10.6</v>
      </c>
      <c r="K23" s="45">
        <v>10.6</v>
      </c>
      <c r="L23" s="45">
        <v>10.6</v>
      </c>
      <c r="M23" s="45">
        <v>10.6</v>
      </c>
      <c r="N23" s="45">
        <v>10.6</v>
      </c>
      <c r="O23" s="45">
        <v>10.6</v>
      </c>
      <c r="P23" s="45">
        <v>10.6</v>
      </c>
      <c r="Q23" s="45">
        <v>10.6</v>
      </c>
      <c r="R23" s="45">
        <v>10.6</v>
      </c>
      <c r="S23" s="45">
        <v>10.6</v>
      </c>
      <c r="T23" s="45">
        <v>10.6</v>
      </c>
      <c r="U23" s="45">
        <v>10.6</v>
      </c>
      <c r="V23" s="45">
        <v>10.6</v>
      </c>
      <c r="W23" s="45">
        <v>10.6</v>
      </c>
      <c r="X23" s="46">
        <v>10.6</v>
      </c>
      <c r="Y23" s="46">
        <v>10.6</v>
      </c>
      <c r="Z23" s="46">
        <v>10.6</v>
      </c>
      <c r="AA23" s="46">
        <v>10.6</v>
      </c>
      <c r="AB23" s="46">
        <v>10.6</v>
      </c>
      <c r="AC23" s="46">
        <v>10.6</v>
      </c>
      <c r="AD23" s="46">
        <v>10.6</v>
      </c>
      <c r="AE23" s="46">
        <v>10.6</v>
      </c>
      <c r="AF23" s="46">
        <v>10.6</v>
      </c>
      <c r="AG23" s="51">
        <v>22.1</v>
      </c>
      <c r="AH23" s="48">
        <f t="shared" si="2"/>
        <v>10.6</v>
      </c>
      <c r="AI23" s="49">
        <f t="shared" si="3"/>
        <v>10.6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15</v>
      </c>
      <c r="C24" s="45">
        <v>15</v>
      </c>
      <c r="D24" s="45">
        <v>15</v>
      </c>
      <c r="E24" s="45">
        <v>15</v>
      </c>
      <c r="F24" s="45">
        <v>15</v>
      </c>
      <c r="G24" s="45">
        <v>15</v>
      </c>
      <c r="H24" s="45">
        <v>15</v>
      </c>
      <c r="I24" s="45">
        <v>15</v>
      </c>
      <c r="J24" s="45">
        <v>15</v>
      </c>
      <c r="K24" s="45">
        <v>15</v>
      </c>
      <c r="L24" s="45">
        <v>15</v>
      </c>
      <c r="M24" s="45">
        <v>15</v>
      </c>
      <c r="N24" s="45">
        <v>15</v>
      </c>
      <c r="O24" s="45">
        <v>15</v>
      </c>
      <c r="P24" s="45">
        <v>15</v>
      </c>
      <c r="Q24" s="45">
        <v>15</v>
      </c>
      <c r="R24" s="45">
        <v>15</v>
      </c>
      <c r="S24" s="45">
        <v>15</v>
      </c>
      <c r="T24" s="45">
        <v>15</v>
      </c>
      <c r="U24" s="45">
        <v>15</v>
      </c>
      <c r="V24" s="45">
        <v>15</v>
      </c>
      <c r="W24" s="45">
        <v>15</v>
      </c>
      <c r="X24" s="46">
        <v>15</v>
      </c>
      <c r="Y24" s="46">
        <v>15</v>
      </c>
      <c r="Z24" s="46">
        <v>15</v>
      </c>
      <c r="AA24" s="46">
        <v>15</v>
      </c>
      <c r="AB24" s="46">
        <v>15</v>
      </c>
      <c r="AC24" s="46">
        <v>15</v>
      </c>
      <c r="AD24" s="46">
        <v>15</v>
      </c>
      <c r="AE24" s="46">
        <v>15</v>
      </c>
      <c r="AF24" s="46">
        <v>15</v>
      </c>
      <c r="AG24" s="51">
        <v>22</v>
      </c>
      <c r="AH24" s="48">
        <f t="shared" si="2"/>
        <v>15</v>
      </c>
      <c r="AI24" s="49">
        <f t="shared" si="3"/>
        <v>15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6">
        <v>10</v>
      </c>
      <c r="Y25" s="46">
        <v>10</v>
      </c>
      <c r="Z25" s="46">
        <v>10</v>
      </c>
      <c r="AA25" s="46">
        <v>10</v>
      </c>
      <c r="AB25" s="46">
        <v>10</v>
      </c>
      <c r="AC25" s="46">
        <v>10</v>
      </c>
      <c r="AD25" s="46">
        <v>10</v>
      </c>
      <c r="AE25" s="46">
        <v>10</v>
      </c>
      <c r="AF25" s="46">
        <v>10</v>
      </c>
      <c r="AG25" s="51">
        <v>22</v>
      </c>
      <c r="AH25" s="48">
        <f t="shared" si="2"/>
        <v>10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5</v>
      </c>
      <c r="N26" s="45">
        <v>5</v>
      </c>
      <c r="O26" s="45">
        <v>10</v>
      </c>
      <c r="P26" s="45">
        <v>10</v>
      </c>
      <c r="Q26" s="45">
        <v>10</v>
      </c>
      <c r="R26" s="45">
        <v>10</v>
      </c>
      <c r="S26" s="45">
        <v>10</v>
      </c>
      <c r="T26" s="45">
        <v>10</v>
      </c>
      <c r="U26" s="45">
        <v>10</v>
      </c>
      <c r="V26" s="45">
        <v>10</v>
      </c>
      <c r="W26" s="45">
        <v>10</v>
      </c>
      <c r="X26" s="46">
        <v>10</v>
      </c>
      <c r="Y26" s="46">
        <v>10</v>
      </c>
      <c r="Z26" s="46">
        <v>10</v>
      </c>
      <c r="AA26" s="46">
        <v>10</v>
      </c>
      <c r="AB26" s="46">
        <v>10</v>
      </c>
      <c r="AC26" s="46">
        <v>10</v>
      </c>
      <c r="AD26" s="46">
        <v>10</v>
      </c>
      <c r="AE26" s="46">
        <v>5</v>
      </c>
      <c r="AF26" s="46">
        <v>5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6.3</v>
      </c>
      <c r="C27" s="45">
        <v>6.3</v>
      </c>
      <c r="D27" s="45">
        <v>6.3</v>
      </c>
      <c r="E27" s="45">
        <v>6.3</v>
      </c>
      <c r="F27" s="45">
        <v>6.3</v>
      </c>
      <c r="G27" s="45">
        <v>6.3</v>
      </c>
      <c r="H27" s="45">
        <v>6.3</v>
      </c>
      <c r="I27" s="45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46">
        <v>6.3</v>
      </c>
      <c r="Y27" s="46">
        <v>6.3</v>
      </c>
      <c r="Z27" s="46">
        <v>6.3</v>
      </c>
      <c r="AA27" s="46">
        <v>6.3</v>
      </c>
      <c r="AB27" s="46">
        <v>6.3</v>
      </c>
      <c r="AC27" s="46">
        <v>6.3</v>
      </c>
      <c r="AD27" s="46">
        <v>6.3</v>
      </c>
      <c r="AE27" s="46">
        <v>6.3</v>
      </c>
      <c r="AF27" s="46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6.3</v>
      </c>
      <c r="C28" s="45">
        <v>6.3</v>
      </c>
      <c r="D28" s="45">
        <v>6.3</v>
      </c>
      <c r="E28" s="45">
        <v>6.3</v>
      </c>
      <c r="F28" s="45">
        <v>6.3</v>
      </c>
      <c r="G28" s="45">
        <v>6.3</v>
      </c>
      <c r="H28" s="45">
        <v>6.3</v>
      </c>
      <c r="I28" s="45">
        <v>6.3</v>
      </c>
      <c r="J28" s="45">
        <v>6.3</v>
      </c>
      <c r="K28" s="45">
        <v>6.3</v>
      </c>
      <c r="L28" s="45">
        <v>6.3</v>
      </c>
      <c r="M28" s="45">
        <v>6.3</v>
      </c>
      <c r="N28" s="45">
        <v>6.3</v>
      </c>
      <c r="O28" s="45">
        <v>6.3</v>
      </c>
      <c r="P28" s="45">
        <v>6.3</v>
      </c>
      <c r="Q28" s="45">
        <v>6.3</v>
      </c>
      <c r="R28" s="45">
        <v>6.3</v>
      </c>
      <c r="S28" s="45">
        <v>6.3</v>
      </c>
      <c r="T28" s="45">
        <v>6.3</v>
      </c>
      <c r="U28" s="45">
        <v>6.3</v>
      </c>
      <c r="V28" s="45">
        <v>6.3</v>
      </c>
      <c r="W28" s="45">
        <v>6.3</v>
      </c>
      <c r="X28" s="46">
        <v>6.3</v>
      </c>
      <c r="Y28" s="46">
        <v>6.3</v>
      </c>
      <c r="Z28" s="46">
        <v>6.3</v>
      </c>
      <c r="AA28" s="46">
        <v>6.3</v>
      </c>
      <c r="AB28" s="46">
        <v>6.3</v>
      </c>
      <c r="AC28" s="46">
        <v>6.3</v>
      </c>
      <c r="AD28" s="46">
        <v>6.3</v>
      </c>
      <c r="AE28" s="46">
        <v>6.3</v>
      </c>
      <c r="AF28" s="46">
        <v>6.3</v>
      </c>
      <c r="AG28" s="51">
        <v>13.6</v>
      </c>
      <c r="AH28" s="48">
        <f t="shared" si="2"/>
        <v>6.3</v>
      </c>
      <c r="AI28" s="49">
        <f t="shared" si="3"/>
        <v>6.3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3.5</v>
      </c>
      <c r="C29" s="45">
        <v>3.5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>
        <v>3.5</v>
      </c>
      <c r="N29" s="45">
        <v>3.5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6">
        <v>3.5</v>
      </c>
      <c r="Y29" s="46">
        <v>3.5</v>
      </c>
      <c r="Z29" s="46">
        <v>3.5</v>
      </c>
      <c r="AA29" s="46">
        <v>3.5</v>
      </c>
      <c r="AB29" s="46">
        <v>3.5</v>
      </c>
      <c r="AC29" s="46">
        <v>3.5</v>
      </c>
      <c r="AD29" s="46">
        <v>3.5</v>
      </c>
      <c r="AE29" s="46">
        <v>3.5</v>
      </c>
      <c r="AF29" s="46">
        <v>3.5</v>
      </c>
      <c r="AG29" s="51">
        <v>13</v>
      </c>
      <c r="AH29" s="48">
        <f t="shared" si="2"/>
        <v>3.5</v>
      </c>
      <c r="AI29" s="49">
        <f t="shared" si="3"/>
        <v>3.5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8</v>
      </c>
      <c r="I30" s="45">
        <v>8</v>
      </c>
      <c r="J30" s="45">
        <v>8</v>
      </c>
      <c r="K30" s="45">
        <v>8</v>
      </c>
      <c r="L30" s="45">
        <v>8</v>
      </c>
      <c r="M30" s="45">
        <v>8.5</v>
      </c>
      <c r="N30" s="45">
        <v>8.5</v>
      </c>
      <c r="O30" s="45">
        <v>8.5</v>
      </c>
      <c r="P30" s="45">
        <v>8.5</v>
      </c>
      <c r="Q30" s="45">
        <v>8.5</v>
      </c>
      <c r="R30" s="45">
        <v>8.5</v>
      </c>
      <c r="S30" s="45">
        <v>8.5</v>
      </c>
      <c r="T30" s="45">
        <v>8.5</v>
      </c>
      <c r="U30" s="45">
        <v>8.5</v>
      </c>
      <c r="V30" s="45">
        <v>8.5</v>
      </c>
      <c r="W30" s="45">
        <v>8.5</v>
      </c>
      <c r="X30" s="46">
        <v>8.5</v>
      </c>
      <c r="Y30" s="46">
        <v>8.5</v>
      </c>
      <c r="Z30" s="46">
        <v>8.5</v>
      </c>
      <c r="AA30" s="46">
        <v>8.5</v>
      </c>
      <c r="AB30" s="46">
        <v>8.5</v>
      </c>
      <c r="AC30" s="46">
        <v>8.5</v>
      </c>
      <c r="AD30" s="46">
        <v>8.5</v>
      </c>
      <c r="AE30" s="46">
        <v>8.5</v>
      </c>
      <c r="AF30" s="46">
        <v>0</v>
      </c>
      <c r="AG30" s="51">
        <v>12</v>
      </c>
      <c r="AH30" s="48">
        <f t="shared" si="2"/>
        <v>8.5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10</v>
      </c>
      <c r="N31" s="45">
        <v>10</v>
      </c>
      <c r="O31" s="45">
        <v>10</v>
      </c>
      <c r="P31" s="45">
        <v>10</v>
      </c>
      <c r="Q31" s="45">
        <v>10</v>
      </c>
      <c r="R31" s="45">
        <v>10</v>
      </c>
      <c r="S31" s="45">
        <v>10</v>
      </c>
      <c r="T31" s="45">
        <v>10</v>
      </c>
      <c r="U31" s="45">
        <v>10</v>
      </c>
      <c r="V31" s="45">
        <v>10</v>
      </c>
      <c r="W31" s="45">
        <v>10</v>
      </c>
      <c r="X31" s="46">
        <v>10</v>
      </c>
      <c r="Y31" s="46">
        <v>10</v>
      </c>
      <c r="Z31" s="46">
        <v>10</v>
      </c>
      <c r="AA31" s="46">
        <v>10</v>
      </c>
      <c r="AB31" s="46">
        <v>10</v>
      </c>
      <c r="AC31" s="46">
        <v>10</v>
      </c>
      <c r="AD31" s="46">
        <v>10</v>
      </c>
      <c r="AE31" s="46">
        <v>10</v>
      </c>
      <c r="AF31" s="46">
        <v>10</v>
      </c>
      <c r="AG31" s="51">
        <v>12</v>
      </c>
      <c r="AH31" s="48">
        <f t="shared" si="2"/>
        <v>10</v>
      </c>
      <c r="AI31" s="49">
        <f t="shared" si="3"/>
        <v>10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12</v>
      </c>
      <c r="C32" s="45">
        <v>12</v>
      </c>
      <c r="D32" s="45">
        <v>12</v>
      </c>
      <c r="E32" s="45">
        <v>12</v>
      </c>
      <c r="F32" s="45">
        <v>12</v>
      </c>
      <c r="G32" s="45">
        <v>12</v>
      </c>
      <c r="H32" s="45">
        <v>12</v>
      </c>
      <c r="I32" s="45">
        <v>12</v>
      </c>
      <c r="J32" s="45">
        <v>12</v>
      </c>
      <c r="K32" s="45">
        <v>12</v>
      </c>
      <c r="L32" s="45">
        <v>12</v>
      </c>
      <c r="M32" s="45">
        <v>6</v>
      </c>
      <c r="N32" s="45">
        <v>6</v>
      </c>
      <c r="O32" s="45">
        <v>6</v>
      </c>
      <c r="P32" s="45">
        <v>6</v>
      </c>
      <c r="Q32" s="45">
        <v>6</v>
      </c>
      <c r="R32" s="45">
        <v>6</v>
      </c>
      <c r="S32" s="45">
        <v>6</v>
      </c>
      <c r="T32" s="45">
        <v>6</v>
      </c>
      <c r="U32" s="45">
        <v>6</v>
      </c>
      <c r="V32" s="45">
        <v>6</v>
      </c>
      <c r="W32" s="45">
        <v>6</v>
      </c>
      <c r="X32" s="46">
        <v>6</v>
      </c>
      <c r="Y32" s="46">
        <v>6</v>
      </c>
      <c r="Z32" s="46">
        <v>6</v>
      </c>
      <c r="AA32" s="46">
        <v>6</v>
      </c>
      <c r="AB32" s="46">
        <v>6</v>
      </c>
      <c r="AC32" s="46">
        <v>6</v>
      </c>
      <c r="AD32" s="46">
        <v>6</v>
      </c>
      <c r="AE32" s="46">
        <v>6</v>
      </c>
      <c r="AF32" s="46">
        <v>6</v>
      </c>
      <c r="AG32" s="51">
        <v>12</v>
      </c>
      <c r="AH32" s="48">
        <f t="shared" si="2"/>
        <v>12</v>
      </c>
      <c r="AI32" s="49">
        <f t="shared" si="3"/>
        <v>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6">
        <v>6</v>
      </c>
      <c r="Y33" s="46">
        <v>6</v>
      </c>
      <c r="Z33" s="46">
        <v>6</v>
      </c>
      <c r="AA33" s="46">
        <v>6</v>
      </c>
      <c r="AB33" s="46">
        <v>6</v>
      </c>
      <c r="AC33" s="46">
        <v>6</v>
      </c>
      <c r="AD33" s="46">
        <v>6</v>
      </c>
      <c r="AE33" s="46">
        <v>6</v>
      </c>
      <c r="AF33" s="46">
        <v>6</v>
      </c>
      <c r="AG33" s="53">
        <v>22</v>
      </c>
      <c r="AH33" s="48">
        <f t="shared" si="2"/>
        <v>6</v>
      </c>
      <c r="AI33" s="49">
        <f t="shared" si="3"/>
        <v>6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5.2</v>
      </c>
      <c r="C34" s="45">
        <v>5.2</v>
      </c>
      <c r="D34" s="45">
        <v>5.2</v>
      </c>
      <c r="E34" s="45">
        <v>5.2</v>
      </c>
      <c r="F34" s="45">
        <v>5.2</v>
      </c>
      <c r="G34" s="45">
        <v>5.2</v>
      </c>
      <c r="H34" s="45">
        <v>5.2</v>
      </c>
      <c r="I34" s="45">
        <v>5.2</v>
      </c>
      <c r="J34" s="45">
        <v>5.2</v>
      </c>
      <c r="K34" s="45">
        <v>5.2</v>
      </c>
      <c r="L34" s="45">
        <v>5.2</v>
      </c>
      <c r="M34" s="45">
        <v>5.2</v>
      </c>
      <c r="N34" s="45">
        <v>5.2</v>
      </c>
      <c r="O34" s="45">
        <v>5.2</v>
      </c>
      <c r="P34" s="45">
        <v>5.2</v>
      </c>
      <c r="Q34" s="45">
        <v>5.2</v>
      </c>
      <c r="R34" s="45">
        <v>5.2</v>
      </c>
      <c r="S34" s="45">
        <v>5.2</v>
      </c>
      <c r="T34" s="45">
        <v>5.2</v>
      </c>
      <c r="U34" s="45">
        <v>5.2</v>
      </c>
      <c r="V34" s="45">
        <v>5.2</v>
      </c>
      <c r="W34" s="45">
        <v>5.2</v>
      </c>
      <c r="X34" s="46">
        <v>5.2</v>
      </c>
      <c r="Y34" s="46">
        <v>5.2</v>
      </c>
      <c r="Z34" s="46">
        <v>5.2</v>
      </c>
      <c r="AA34" s="46">
        <v>5.2</v>
      </c>
      <c r="AB34" s="46">
        <v>5.2</v>
      </c>
      <c r="AC34" s="46">
        <v>5.2</v>
      </c>
      <c r="AD34" s="46">
        <v>5.2</v>
      </c>
      <c r="AE34" s="46">
        <v>5.2</v>
      </c>
      <c r="AF34" s="46">
        <v>5.2</v>
      </c>
      <c r="AG34" s="52">
        <v>11.88</v>
      </c>
      <c r="AH34" s="48">
        <f t="shared" si="2"/>
        <v>5.2</v>
      </c>
      <c r="AI34" s="49">
        <f t="shared" si="3"/>
        <v>5.2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6">
        <v>8.5</v>
      </c>
      <c r="Y35" s="46">
        <v>8.5</v>
      </c>
      <c r="Z35" s="46">
        <v>8.5</v>
      </c>
      <c r="AA35" s="46">
        <v>8.5</v>
      </c>
      <c r="AB35" s="46">
        <v>8.5</v>
      </c>
      <c r="AC35" s="46">
        <v>8.5</v>
      </c>
      <c r="AD35" s="46">
        <v>8.5</v>
      </c>
      <c r="AE35" s="46">
        <v>8.5</v>
      </c>
      <c r="AF35" s="46">
        <v>8.5</v>
      </c>
      <c r="AG35" s="55">
        <v>11</v>
      </c>
      <c r="AH35" s="48">
        <f t="shared" si="2"/>
        <v>8.5</v>
      </c>
      <c r="AI35" s="49">
        <f t="shared" si="3"/>
        <v>8.5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6">
        <v>6</v>
      </c>
      <c r="Y36" s="46">
        <v>6</v>
      </c>
      <c r="Z36" s="46">
        <v>6</v>
      </c>
      <c r="AA36" s="46">
        <v>6</v>
      </c>
      <c r="AB36" s="46">
        <v>6</v>
      </c>
      <c r="AC36" s="46">
        <v>6</v>
      </c>
      <c r="AD36" s="46">
        <v>6</v>
      </c>
      <c r="AE36" s="46">
        <v>6</v>
      </c>
      <c r="AF36" s="46">
        <v>6</v>
      </c>
      <c r="AG36" s="55">
        <v>10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0</v>
      </c>
      <c r="N37" s="45">
        <v>0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0</v>
      </c>
      <c r="U37" s="45">
        <v>0</v>
      </c>
      <c r="V37" s="45">
        <v>0</v>
      </c>
      <c r="W37" s="45">
        <v>0</v>
      </c>
      <c r="X37" s="46">
        <v>0</v>
      </c>
      <c r="Y37" s="46">
        <v>0</v>
      </c>
      <c r="Z37" s="46">
        <v>0</v>
      </c>
      <c r="AA37" s="46">
        <v>0</v>
      </c>
      <c r="AB37" s="46">
        <v>0</v>
      </c>
      <c r="AC37" s="46">
        <v>0</v>
      </c>
      <c r="AD37" s="46">
        <v>0</v>
      </c>
      <c r="AE37" s="46">
        <v>0</v>
      </c>
      <c r="AF37" s="46">
        <v>0</v>
      </c>
      <c r="AG37" s="55">
        <v>10</v>
      </c>
      <c r="AH37" s="48">
        <f t="shared" si="2"/>
        <v>0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250</v>
      </c>
      <c r="C38" s="57">
        <v>250</v>
      </c>
      <c r="D38" s="57">
        <v>250</v>
      </c>
      <c r="E38" s="57">
        <v>250</v>
      </c>
      <c r="F38" s="57">
        <v>250</v>
      </c>
      <c r="G38" s="57">
        <v>250</v>
      </c>
      <c r="H38" s="57">
        <v>250</v>
      </c>
      <c r="I38" s="57">
        <v>250</v>
      </c>
      <c r="J38" s="57">
        <v>250</v>
      </c>
      <c r="K38" s="57">
        <v>250</v>
      </c>
      <c r="L38" s="57">
        <v>250</v>
      </c>
      <c r="M38" s="57">
        <v>250</v>
      </c>
      <c r="N38" s="57">
        <v>250</v>
      </c>
      <c r="O38" s="57">
        <v>250</v>
      </c>
      <c r="P38" s="57">
        <v>250</v>
      </c>
      <c r="Q38" s="57">
        <v>250</v>
      </c>
      <c r="R38" s="57">
        <v>250</v>
      </c>
      <c r="S38" s="57">
        <v>250</v>
      </c>
      <c r="T38" s="57">
        <v>250</v>
      </c>
      <c r="U38" s="57">
        <v>250</v>
      </c>
      <c r="V38" s="57">
        <v>250</v>
      </c>
      <c r="W38" s="57">
        <v>250</v>
      </c>
      <c r="X38" s="57">
        <v>250</v>
      </c>
      <c r="Y38" s="57">
        <v>250</v>
      </c>
      <c r="Z38" s="57">
        <v>250</v>
      </c>
      <c r="AA38" s="57">
        <v>250</v>
      </c>
      <c r="AB38" s="57">
        <v>250</v>
      </c>
      <c r="AC38" s="57">
        <v>250</v>
      </c>
      <c r="AD38" s="57">
        <v>250</v>
      </c>
      <c r="AE38" s="57">
        <v>250</v>
      </c>
      <c r="AF38" s="57">
        <v>250</v>
      </c>
      <c r="AG38" s="55">
        <v>85</v>
      </c>
      <c r="AH38" s="48">
        <f t="shared" si="2"/>
        <v>250</v>
      </c>
      <c r="AI38" s="49">
        <f t="shared" si="3"/>
        <v>250</v>
      </c>
      <c r="AK38" s="50"/>
    </row>
    <row r="39" spans="1:88" ht="15.75" thickBot="1" x14ac:dyDescent="0.3">
      <c r="A39" s="58" t="s">
        <v>47</v>
      </c>
      <c r="B39" s="59">
        <v>92.8</v>
      </c>
      <c r="C39" s="59">
        <f>41.9+53.3</f>
        <v>95.199999999999989</v>
      </c>
      <c r="D39" s="59">
        <f>41.9+53.5</f>
        <v>95.4</v>
      </c>
      <c r="E39" s="59">
        <f>42.7+56</f>
        <v>98.7</v>
      </c>
      <c r="F39" s="59">
        <f>43.1+54.8</f>
        <v>97.9</v>
      </c>
      <c r="G39" s="59">
        <f>43.3+53.7</f>
        <v>97</v>
      </c>
      <c r="H39" s="59">
        <f>42.3+53.1</f>
        <v>95.4</v>
      </c>
      <c r="I39" s="59">
        <f>41.6+53.3</f>
        <v>94.9</v>
      </c>
      <c r="J39" s="59">
        <f>42+53.5</f>
        <v>95.5</v>
      </c>
      <c r="K39" s="59">
        <f>43+53</f>
        <v>96</v>
      </c>
      <c r="L39" s="57">
        <f>42.7+52.9</f>
        <v>95.6</v>
      </c>
      <c r="M39" s="57">
        <f>40+53.2</f>
        <v>93.2</v>
      </c>
      <c r="N39" s="57">
        <f>53.4+41.5</f>
        <v>94.9</v>
      </c>
      <c r="O39" s="57">
        <f>53.8+42.1</f>
        <v>95.9</v>
      </c>
      <c r="P39" s="57">
        <f>54+44</f>
        <v>98</v>
      </c>
      <c r="Q39" s="57">
        <f>52.8+43.4</f>
        <v>96.199999999999989</v>
      </c>
      <c r="R39" s="57">
        <v>96</v>
      </c>
      <c r="S39" s="59">
        <v>96</v>
      </c>
      <c r="T39" s="59">
        <f>41.6+52.5</f>
        <v>94.1</v>
      </c>
      <c r="U39" s="59">
        <f>40.6+54.2</f>
        <v>94.800000000000011</v>
      </c>
      <c r="V39" s="59">
        <v>92.7</v>
      </c>
      <c r="W39" s="59">
        <f>39.1+49.9</f>
        <v>89</v>
      </c>
      <c r="X39" s="46">
        <v>88.5</v>
      </c>
      <c r="Y39" s="46">
        <v>90.5</v>
      </c>
      <c r="Z39" s="46">
        <f>39.4+49.6</f>
        <v>89</v>
      </c>
      <c r="AA39" s="46">
        <f>39.4+49.6</f>
        <v>89</v>
      </c>
      <c r="AB39" s="59">
        <v>89</v>
      </c>
      <c r="AC39" s="59">
        <v>90.9</v>
      </c>
      <c r="AD39" s="59">
        <f>52.5+40.3</f>
        <v>92.8</v>
      </c>
      <c r="AE39" s="59">
        <f>52.5+40.3</f>
        <v>92.8</v>
      </c>
      <c r="AF39" s="59">
        <f>49.5+40.1</f>
        <v>89.6</v>
      </c>
      <c r="AG39" s="55">
        <v>240</v>
      </c>
      <c r="AH39" s="48">
        <f t="shared" si="2"/>
        <v>98.7</v>
      </c>
      <c r="AI39" s="49">
        <f t="shared" si="3"/>
        <v>88.5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563</v>
      </c>
      <c r="C40" s="61">
        <f t="shared" si="4"/>
        <v>563</v>
      </c>
      <c r="D40" s="61">
        <f t="shared" si="4"/>
        <v>563</v>
      </c>
      <c r="E40" s="61">
        <f t="shared" si="4"/>
        <v>563</v>
      </c>
      <c r="F40" s="61">
        <f t="shared" si="4"/>
        <v>563</v>
      </c>
      <c r="G40" s="61">
        <f t="shared" si="4"/>
        <v>574.40000000000009</v>
      </c>
      <c r="H40" s="61">
        <f t="shared" si="4"/>
        <v>614</v>
      </c>
      <c r="I40" s="61">
        <f t="shared" si="4"/>
        <v>627.1</v>
      </c>
      <c r="J40" s="61">
        <f t="shared" si="4"/>
        <v>627.1</v>
      </c>
      <c r="K40" s="61">
        <f t="shared" si="4"/>
        <v>627.1</v>
      </c>
      <c r="L40" s="61">
        <f t="shared" si="4"/>
        <v>627.1</v>
      </c>
      <c r="M40" s="61">
        <f t="shared" si="4"/>
        <v>607.20000000000005</v>
      </c>
      <c r="N40" s="61">
        <f t="shared" si="4"/>
        <v>607.20000000000005</v>
      </c>
      <c r="O40" s="61">
        <f t="shared" si="4"/>
        <v>618.20000000000005</v>
      </c>
      <c r="P40" s="61">
        <f t="shared" si="4"/>
        <v>620.20000000000005</v>
      </c>
      <c r="Q40" s="61">
        <f t="shared" si="4"/>
        <v>616</v>
      </c>
      <c r="R40" s="61">
        <f t="shared" si="4"/>
        <v>616</v>
      </c>
      <c r="S40" s="61">
        <f t="shared" si="4"/>
        <v>616</v>
      </c>
      <c r="T40" s="61">
        <f t="shared" si="4"/>
        <v>617.80000000000007</v>
      </c>
      <c r="U40" s="61">
        <f t="shared" si="4"/>
        <v>618.60000000000014</v>
      </c>
      <c r="V40" s="61">
        <f t="shared" si="4"/>
        <v>618.60000000000014</v>
      </c>
      <c r="W40" s="61">
        <f t="shared" si="4"/>
        <v>618.30000000000007</v>
      </c>
      <c r="X40" s="61">
        <v>626.40000000000009</v>
      </c>
      <c r="Y40" s="61">
        <f t="shared" si="4"/>
        <v>621.80000000000007</v>
      </c>
      <c r="Z40" s="61">
        <f t="shared" si="4"/>
        <v>621.10000000000014</v>
      </c>
      <c r="AA40" s="61">
        <f>SUM(AA11:AA38)</f>
        <v>621.20000000000005</v>
      </c>
      <c r="AB40" s="61">
        <f t="shared" si="4"/>
        <v>619.20000000000005</v>
      </c>
      <c r="AC40" s="61">
        <f t="shared" si="4"/>
        <v>619.20000000000005</v>
      </c>
      <c r="AD40" s="61">
        <f t="shared" si="4"/>
        <v>618.60000000000014</v>
      </c>
      <c r="AE40" s="61">
        <f t="shared" si="4"/>
        <v>598.90000000000009</v>
      </c>
      <c r="AF40" s="61">
        <f t="shared" si="4"/>
        <v>579.70000000000005</v>
      </c>
      <c r="AG40" s="62">
        <f t="shared" si="4"/>
        <v>707.78000000000009</v>
      </c>
      <c r="AH40" s="48">
        <f t="shared" si="2"/>
        <v>627.1</v>
      </c>
      <c r="AI40" s="49">
        <f t="shared" si="3"/>
        <v>563</v>
      </c>
      <c r="AK40" s="50"/>
    </row>
    <row r="41" spans="1:88" x14ac:dyDescent="0.25">
      <c r="A41" s="63" t="s">
        <v>49</v>
      </c>
      <c r="B41" s="45">
        <v>220</v>
      </c>
      <c r="C41" s="45">
        <v>30</v>
      </c>
      <c r="D41" s="45">
        <v>20</v>
      </c>
      <c r="E41" s="45">
        <v>13</v>
      </c>
      <c r="F41" s="45">
        <v>13</v>
      </c>
      <c r="G41" s="45">
        <v>13</v>
      </c>
      <c r="H41" s="45">
        <v>13</v>
      </c>
      <c r="I41" s="45">
        <v>50</v>
      </c>
      <c r="J41" s="45">
        <v>130</v>
      </c>
      <c r="K41" s="45">
        <v>380</v>
      </c>
      <c r="L41" s="45">
        <v>456</v>
      </c>
      <c r="M41" s="45">
        <v>456</v>
      </c>
      <c r="N41" s="45">
        <v>440</v>
      </c>
      <c r="O41" s="45">
        <v>370</v>
      </c>
      <c r="P41" s="45">
        <v>290</v>
      </c>
      <c r="Q41" s="45">
        <v>180</v>
      </c>
      <c r="R41" s="45">
        <v>160</v>
      </c>
      <c r="S41" s="45">
        <v>140</v>
      </c>
      <c r="T41" s="45">
        <v>120</v>
      </c>
      <c r="U41" s="45">
        <v>117.1</v>
      </c>
      <c r="V41" s="45">
        <v>120</v>
      </c>
      <c r="W41" s="45">
        <v>321</v>
      </c>
      <c r="X41" s="45">
        <v>380</v>
      </c>
      <c r="Y41" s="45">
        <v>270</v>
      </c>
      <c r="Z41" s="45">
        <v>180</v>
      </c>
      <c r="AA41" s="45">
        <v>180</v>
      </c>
      <c r="AB41" s="45">
        <v>180</v>
      </c>
      <c r="AC41" s="45">
        <v>200</v>
      </c>
      <c r="AD41" s="45">
        <v>80</v>
      </c>
      <c r="AE41" s="45">
        <v>0</v>
      </c>
      <c r="AF41" s="45">
        <v>76</v>
      </c>
      <c r="AG41" s="52">
        <v>456</v>
      </c>
      <c r="AH41" s="48">
        <f t="shared" si="2"/>
        <v>456</v>
      </c>
      <c r="AI41" s="49">
        <f t="shared" si="3"/>
        <v>0</v>
      </c>
      <c r="AK41" s="50"/>
    </row>
    <row r="42" spans="1:88" x14ac:dyDescent="0.25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60</v>
      </c>
      <c r="T42" s="65">
        <v>60</v>
      </c>
      <c r="U42" s="65">
        <v>57.5</v>
      </c>
      <c r="V42" s="65">
        <v>58</v>
      </c>
      <c r="W42" s="65">
        <v>58</v>
      </c>
      <c r="X42" s="45">
        <v>60</v>
      </c>
      <c r="Y42" s="65">
        <v>60</v>
      </c>
      <c r="Z42" s="65">
        <v>60</v>
      </c>
      <c r="AA42" s="65">
        <v>60</v>
      </c>
      <c r="AB42" s="65">
        <v>60</v>
      </c>
      <c r="AC42" s="65">
        <v>60</v>
      </c>
      <c r="AD42" s="65">
        <v>60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57.5</v>
      </c>
      <c r="AK42" s="50"/>
    </row>
    <row r="43" spans="1:88" ht="15.75" thickBot="1" x14ac:dyDescent="0.3">
      <c r="A43" s="66" t="s">
        <v>51</v>
      </c>
      <c r="B43" s="67">
        <v>21.1</v>
      </c>
      <c r="C43" s="67">
        <v>20.6</v>
      </c>
      <c r="D43" s="67">
        <v>20.6</v>
      </c>
      <c r="E43" s="67">
        <v>20.6</v>
      </c>
      <c r="F43" s="67">
        <v>20.6</v>
      </c>
      <c r="G43" s="67">
        <v>20.6</v>
      </c>
      <c r="H43" s="67">
        <v>20.6</v>
      </c>
      <c r="I43" s="67">
        <v>20.6</v>
      </c>
      <c r="J43" s="67">
        <v>20.6</v>
      </c>
      <c r="K43" s="67">
        <v>20.6</v>
      </c>
      <c r="L43" s="67">
        <v>20.6</v>
      </c>
      <c r="M43" s="67">
        <v>20.6</v>
      </c>
      <c r="N43" s="67">
        <v>20.6</v>
      </c>
      <c r="O43" s="67">
        <v>20.6</v>
      </c>
      <c r="P43" s="67">
        <v>20.6</v>
      </c>
      <c r="Q43" s="67">
        <v>20.6</v>
      </c>
      <c r="R43" s="67">
        <v>20.6</v>
      </c>
      <c r="S43" s="67">
        <v>20.6</v>
      </c>
      <c r="T43" s="67">
        <v>19.5</v>
      </c>
      <c r="U43" s="67">
        <v>19.600000000000001</v>
      </c>
      <c r="V43" s="67">
        <v>19.600000000000001</v>
      </c>
      <c r="W43" s="67">
        <v>19.600000000000001</v>
      </c>
      <c r="X43" s="45">
        <v>19.600000000000001</v>
      </c>
      <c r="Y43" s="45">
        <v>19.600000000000001</v>
      </c>
      <c r="Z43" s="67">
        <v>19.600000000000001</v>
      </c>
      <c r="AA43" s="67">
        <v>19.600000000000001</v>
      </c>
      <c r="AB43" s="67">
        <v>21.1</v>
      </c>
      <c r="AC43" s="67">
        <v>21.1</v>
      </c>
      <c r="AD43" s="67">
        <v>21.1</v>
      </c>
      <c r="AE43" s="67">
        <v>21.1</v>
      </c>
      <c r="AF43" s="67">
        <v>21</v>
      </c>
      <c r="AG43" s="68">
        <v>22.1</v>
      </c>
      <c r="AH43" s="48">
        <f t="shared" si="2"/>
        <v>21.1</v>
      </c>
      <c r="AI43" s="49">
        <f t="shared" si="3"/>
        <v>19.5</v>
      </c>
      <c r="AK43" s="50"/>
    </row>
    <row r="44" spans="1:88" ht="16.5" thickBot="1" x14ac:dyDescent="0.3">
      <c r="A44" s="69" t="s">
        <v>52</v>
      </c>
      <c r="B44" s="61">
        <f t="shared" ref="B44:AG44" si="5">SUM(B41:B43)</f>
        <v>301.10000000000002</v>
      </c>
      <c r="C44" s="61">
        <f t="shared" si="5"/>
        <v>110.6</v>
      </c>
      <c r="D44" s="61">
        <f t="shared" si="5"/>
        <v>100.6</v>
      </c>
      <c r="E44" s="61">
        <f t="shared" si="5"/>
        <v>93.6</v>
      </c>
      <c r="F44" s="61">
        <f t="shared" si="5"/>
        <v>93.6</v>
      </c>
      <c r="G44" s="61">
        <f t="shared" si="5"/>
        <v>93.6</v>
      </c>
      <c r="H44" s="61">
        <f t="shared" si="5"/>
        <v>93.6</v>
      </c>
      <c r="I44" s="61">
        <f t="shared" si="5"/>
        <v>130.6</v>
      </c>
      <c r="J44" s="61">
        <f t="shared" si="5"/>
        <v>210.6</v>
      </c>
      <c r="K44" s="61">
        <f t="shared" si="5"/>
        <v>460.6</v>
      </c>
      <c r="L44" s="61">
        <f t="shared" si="5"/>
        <v>536.6</v>
      </c>
      <c r="M44" s="61">
        <f t="shared" si="5"/>
        <v>536.6</v>
      </c>
      <c r="N44" s="61">
        <f t="shared" si="5"/>
        <v>520.6</v>
      </c>
      <c r="O44" s="61">
        <f t="shared" si="5"/>
        <v>450.6</v>
      </c>
      <c r="P44" s="61">
        <f t="shared" si="5"/>
        <v>370.6</v>
      </c>
      <c r="Q44" s="61">
        <f t="shared" si="5"/>
        <v>260.60000000000002</v>
      </c>
      <c r="R44" s="61">
        <f t="shared" si="5"/>
        <v>240.6</v>
      </c>
      <c r="S44" s="61">
        <f t="shared" si="5"/>
        <v>220.6</v>
      </c>
      <c r="T44" s="61">
        <f t="shared" si="5"/>
        <v>199.5</v>
      </c>
      <c r="U44" s="61">
        <f t="shared" si="5"/>
        <v>194.2</v>
      </c>
      <c r="V44" s="61">
        <f t="shared" si="5"/>
        <v>197.6</v>
      </c>
      <c r="W44" s="61">
        <f t="shared" si="5"/>
        <v>398.6</v>
      </c>
      <c r="X44" s="168">
        <v>457.6</v>
      </c>
      <c r="Y44" s="61">
        <f t="shared" si="5"/>
        <v>349.6</v>
      </c>
      <c r="Z44" s="61">
        <f t="shared" si="5"/>
        <v>259.60000000000002</v>
      </c>
      <c r="AA44" s="61">
        <f t="shared" si="5"/>
        <v>259.60000000000002</v>
      </c>
      <c r="AB44" s="61">
        <f t="shared" si="5"/>
        <v>261.10000000000002</v>
      </c>
      <c r="AC44" s="61">
        <f t="shared" si="5"/>
        <v>281.10000000000002</v>
      </c>
      <c r="AD44" s="61">
        <f t="shared" si="5"/>
        <v>161.1</v>
      </c>
      <c r="AE44" s="61">
        <f t="shared" si="5"/>
        <v>81.099999999999994</v>
      </c>
      <c r="AF44" s="61">
        <f t="shared" si="5"/>
        <v>157</v>
      </c>
      <c r="AG44" s="62">
        <f t="shared" si="5"/>
        <v>538.1</v>
      </c>
      <c r="AH44" s="48">
        <f t="shared" si="2"/>
        <v>536.6</v>
      </c>
      <c r="AI44" s="49">
        <f t="shared" si="3"/>
        <v>81.099999999999994</v>
      </c>
      <c r="AK44" s="50"/>
    </row>
    <row r="45" spans="1:88" x14ac:dyDescent="0.25">
      <c r="A45" s="44" t="s">
        <v>53</v>
      </c>
      <c r="B45" s="45">
        <v>143.19999999999999</v>
      </c>
      <c r="C45" s="45">
        <v>111</v>
      </c>
      <c r="D45" s="45">
        <v>101.6</v>
      </c>
      <c r="E45" s="45">
        <v>101.3</v>
      </c>
      <c r="F45" s="45">
        <v>101.3</v>
      </c>
      <c r="G45" s="45">
        <v>113.3</v>
      </c>
      <c r="H45" s="45">
        <v>113.3</v>
      </c>
      <c r="I45" s="45">
        <v>144</v>
      </c>
      <c r="J45" s="45">
        <v>144</v>
      </c>
      <c r="K45" s="45">
        <v>144</v>
      </c>
      <c r="L45" s="45">
        <v>143.5</v>
      </c>
      <c r="M45" s="45">
        <v>143.5</v>
      </c>
      <c r="N45" s="45">
        <v>143.5</v>
      </c>
      <c r="O45" s="45">
        <v>143.5</v>
      </c>
      <c r="P45" s="45">
        <v>143.5</v>
      </c>
      <c r="Q45" s="45">
        <v>143.5</v>
      </c>
      <c r="R45" s="45">
        <v>143.5</v>
      </c>
      <c r="S45" s="45">
        <v>141.5</v>
      </c>
      <c r="T45" s="45">
        <v>143.4</v>
      </c>
      <c r="U45" s="45">
        <v>143.19999999999999</v>
      </c>
      <c r="V45" s="45">
        <v>143.80000000000001</v>
      </c>
      <c r="W45" s="45">
        <v>143.19999999999999</v>
      </c>
      <c r="X45" s="45">
        <v>143.19999999999999</v>
      </c>
      <c r="Y45" s="45">
        <v>143.19999999999999</v>
      </c>
      <c r="Z45" s="45">
        <v>143.19999999999999</v>
      </c>
      <c r="AA45" s="45">
        <v>143.19999999999999</v>
      </c>
      <c r="AB45" s="45">
        <v>143.19999999999999</v>
      </c>
      <c r="AC45" s="45">
        <v>143.19999999999999</v>
      </c>
      <c r="AD45" s="45">
        <v>143.6</v>
      </c>
      <c r="AE45" s="45">
        <v>121.5</v>
      </c>
      <c r="AF45" s="45">
        <v>121.4</v>
      </c>
      <c r="AG45" s="52">
        <v>144</v>
      </c>
      <c r="AH45" s="48">
        <f t="shared" si="2"/>
        <v>144</v>
      </c>
      <c r="AI45" s="49">
        <f t="shared" si="3"/>
        <v>101.3</v>
      </c>
      <c r="AK45" s="50"/>
    </row>
    <row r="46" spans="1:88" x14ac:dyDescent="0.25">
      <c r="A46" s="54" t="s">
        <v>54</v>
      </c>
      <c r="B46" s="65">
        <v>44.8</v>
      </c>
      <c r="C46" s="65">
        <v>30</v>
      </c>
      <c r="D46" s="65">
        <v>35.1</v>
      </c>
      <c r="E46" s="65">
        <v>34.9</v>
      </c>
      <c r="F46" s="65">
        <v>33.9</v>
      </c>
      <c r="G46" s="65">
        <v>55.1</v>
      </c>
      <c r="H46" s="65">
        <v>54.3</v>
      </c>
      <c r="I46" s="65">
        <v>70</v>
      </c>
      <c r="J46" s="65">
        <v>70</v>
      </c>
      <c r="K46" s="65">
        <v>70</v>
      </c>
      <c r="L46" s="65">
        <v>72.2</v>
      </c>
      <c r="M46" s="65">
        <v>72.2</v>
      </c>
      <c r="N46" s="65">
        <v>72.2</v>
      </c>
      <c r="O46" s="65">
        <v>71.5</v>
      </c>
      <c r="P46" s="65">
        <v>71.5</v>
      </c>
      <c r="Q46" s="65">
        <v>71.5</v>
      </c>
      <c r="R46" s="65">
        <v>71.5</v>
      </c>
      <c r="S46" s="65">
        <v>71.5</v>
      </c>
      <c r="T46" s="65">
        <v>69.3</v>
      </c>
      <c r="U46" s="65">
        <v>71.8</v>
      </c>
      <c r="V46" s="65">
        <v>71.900000000000006</v>
      </c>
      <c r="W46" s="65">
        <v>72.099999999999994</v>
      </c>
      <c r="X46" s="45">
        <v>72.099999999999994</v>
      </c>
      <c r="Y46" s="45">
        <v>72.099999999999994</v>
      </c>
      <c r="Z46" s="65">
        <v>71.900000000000006</v>
      </c>
      <c r="AA46" s="65">
        <v>71.900000000000006</v>
      </c>
      <c r="AB46" s="65">
        <v>71.900000000000006</v>
      </c>
      <c r="AC46" s="65">
        <v>71.900000000000006</v>
      </c>
      <c r="AD46" s="65">
        <v>71.400000000000006</v>
      </c>
      <c r="AE46" s="65">
        <v>35.700000000000003</v>
      </c>
      <c r="AF46" s="65">
        <v>35</v>
      </c>
      <c r="AG46" s="55">
        <v>70</v>
      </c>
      <c r="AH46" s="48">
        <f t="shared" si="2"/>
        <v>72.2</v>
      </c>
      <c r="AI46" s="49">
        <f t="shared" si="3"/>
        <v>30</v>
      </c>
      <c r="AK46" s="50"/>
    </row>
    <row r="47" spans="1:88" x14ac:dyDescent="0.25">
      <c r="A47" s="54" t="s">
        <v>55</v>
      </c>
      <c r="B47" s="65">
        <v>69</v>
      </c>
      <c r="C47" s="65">
        <v>52</v>
      </c>
      <c r="D47" s="65">
        <v>71.099999999999994</v>
      </c>
      <c r="E47" s="65">
        <v>70.5</v>
      </c>
      <c r="F47" s="65">
        <v>70.5</v>
      </c>
      <c r="G47" s="65">
        <v>70.099999999999994</v>
      </c>
      <c r="H47" s="65">
        <v>70.400000000000006</v>
      </c>
      <c r="I47" s="65">
        <v>69.8</v>
      </c>
      <c r="J47" s="65">
        <v>69.8</v>
      </c>
      <c r="K47" s="65">
        <v>69.8</v>
      </c>
      <c r="L47" s="65">
        <v>69.3</v>
      </c>
      <c r="M47" s="65">
        <v>69.3</v>
      </c>
      <c r="N47" s="65">
        <v>69.3</v>
      </c>
      <c r="O47" s="65">
        <v>68.7</v>
      </c>
      <c r="P47" s="65">
        <v>68.7</v>
      </c>
      <c r="Q47" s="65">
        <v>68.7</v>
      </c>
      <c r="R47" s="65">
        <v>68.7</v>
      </c>
      <c r="S47" s="65">
        <v>70.7</v>
      </c>
      <c r="T47" s="65">
        <v>71.400000000000006</v>
      </c>
      <c r="U47" s="65">
        <v>69.400000000000006</v>
      </c>
      <c r="V47" s="65">
        <v>69.3</v>
      </c>
      <c r="W47" s="65">
        <v>68.900000000000006</v>
      </c>
      <c r="X47" s="45">
        <v>68.900000000000006</v>
      </c>
      <c r="Y47" s="45">
        <v>69.3</v>
      </c>
      <c r="Z47" s="65">
        <v>69.400000000000006</v>
      </c>
      <c r="AA47" s="65">
        <v>69.400000000000006</v>
      </c>
      <c r="AB47" s="65">
        <v>69.400000000000006</v>
      </c>
      <c r="AC47" s="65">
        <v>69.400000000000006</v>
      </c>
      <c r="AD47" s="65">
        <v>69.7</v>
      </c>
      <c r="AE47" s="65">
        <v>70.099999999999994</v>
      </c>
      <c r="AF47" s="65">
        <v>70.099999999999994</v>
      </c>
      <c r="AG47" s="55">
        <v>69</v>
      </c>
      <c r="AH47" s="48">
        <f t="shared" si="2"/>
        <v>71.400000000000006</v>
      </c>
      <c r="AI47" s="49">
        <f t="shared" si="3"/>
        <v>52</v>
      </c>
      <c r="AK47" s="50"/>
    </row>
    <row r="48" spans="1:88" x14ac:dyDescent="0.25">
      <c r="A48" s="54" t="s">
        <v>56</v>
      </c>
      <c r="B48" s="57">
        <v>61.5</v>
      </c>
      <c r="C48" s="57">
        <v>61.5</v>
      </c>
      <c r="D48" s="57">
        <v>61.5</v>
      </c>
      <c r="E48" s="57">
        <v>61.5</v>
      </c>
      <c r="F48" s="57">
        <v>61.5</v>
      </c>
      <c r="G48" s="57">
        <v>61.5</v>
      </c>
      <c r="H48" s="57">
        <v>61.5</v>
      </c>
      <c r="I48" s="57">
        <v>61.5</v>
      </c>
      <c r="J48" s="57">
        <v>61.5</v>
      </c>
      <c r="K48" s="57">
        <v>61.5</v>
      </c>
      <c r="L48" s="57">
        <v>61.5</v>
      </c>
      <c r="M48" s="57">
        <v>61.5</v>
      </c>
      <c r="N48" s="57">
        <v>61.5</v>
      </c>
      <c r="O48" s="57">
        <v>61.5</v>
      </c>
      <c r="P48" s="57">
        <v>61.5</v>
      </c>
      <c r="Q48" s="57">
        <v>61.5</v>
      </c>
      <c r="R48" s="57">
        <v>61.5</v>
      </c>
      <c r="S48" s="57">
        <v>61.32</v>
      </c>
      <c r="T48" s="45">
        <v>61.5</v>
      </c>
      <c r="U48" s="45">
        <v>61.5</v>
      </c>
      <c r="V48" s="65">
        <v>61.5</v>
      </c>
      <c r="W48" s="65">
        <v>61.5</v>
      </c>
      <c r="X48" s="45">
        <v>61.5</v>
      </c>
      <c r="Y48" s="45">
        <v>61.5</v>
      </c>
      <c r="Z48" s="65">
        <v>61.5</v>
      </c>
      <c r="AA48" s="65">
        <v>61.5</v>
      </c>
      <c r="AB48" s="65">
        <v>61.5</v>
      </c>
      <c r="AC48" s="65">
        <v>61.5</v>
      </c>
      <c r="AD48" s="57">
        <v>61.5</v>
      </c>
      <c r="AE48" s="57">
        <v>61.5</v>
      </c>
      <c r="AF48" s="57">
        <v>61.5</v>
      </c>
      <c r="AG48" s="55">
        <v>60</v>
      </c>
      <c r="AH48" s="48">
        <f t="shared" si="2"/>
        <v>61.5</v>
      </c>
      <c r="AI48" s="49">
        <f t="shared" si="3"/>
        <v>61.32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0</v>
      </c>
      <c r="I49" s="57">
        <v>13</v>
      </c>
      <c r="J49" s="57">
        <v>13</v>
      </c>
      <c r="K49" s="57">
        <v>15</v>
      </c>
      <c r="L49" s="57">
        <v>26</v>
      </c>
      <c r="M49" s="57">
        <v>30</v>
      </c>
      <c r="N49" s="57">
        <v>30</v>
      </c>
      <c r="O49" s="57">
        <v>29</v>
      </c>
      <c r="P49" s="57">
        <v>0</v>
      </c>
      <c r="Q49" s="57">
        <v>0</v>
      </c>
      <c r="R49" s="57">
        <v>0</v>
      </c>
      <c r="S49" s="57">
        <v>0</v>
      </c>
      <c r="T49" s="45">
        <v>0</v>
      </c>
      <c r="U49" s="45">
        <v>0</v>
      </c>
      <c r="V49" s="65">
        <v>30.2</v>
      </c>
      <c r="W49" s="65">
        <v>30.2</v>
      </c>
      <c r="X49" s="45">
        <v>29.4</v>
      </c>
      <c r="Y49" s="45">
        <v>29.4</v>
      </c>
      <c r="Z49" s="65">
        <v>29</v>
      </c>
      <c r="AA49" s="65">
        <v>29</v>
      </c>
      <c r="AB49" s="65">
        <v>29</v>
      </c>
      <c r="AC49" s="65">
        <v>29</v>
      </c>
      <c r="AD49" s="57">
        <v>15</v>
      </c>
      <c r="AE49" s="57">
        <v>0</v>
      </c>
      <c r="AF49" s="57">
        <v>0</v>
      </c>
      <c r="AG49" s="55">
        <v>30</v>
      </c>
      <c r="AH49" s="48">
        <f t="shared" si="2"/>
        <v>30.2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</v>
      </c>
      <c r="C51" s="65">
        <v>17</v>
      </c>
      <c r="D51" s="65">
        <v>17</v>
      </c>
      <c r="E51" s="65">
        <v>17</v>
      </c>
      <c r="F51" s="65">
        <v>17</v>
      </c>
      <c r="G51" s="65">
        <v>17</v>
      </c>
      <c r="H51" s="65">
        <v>17</v>
      </c>
      <c r="I51" s="65">
        <v>17</v>
      </c>
      <c r="J51" s="65">
        <v>17</v>
      </c>
      <c r="K51" s="65">
        <v>17</v>
      </c>
      <c r="L51" s="65">
        <v>17</v>
      </c>
      <c r="M51" s="65">
        <v>17</v>
      </c>
      <c r="N51" s="65">
        <v>17</v>
      </c>
      <c r="O51" s="65">
        <v>17</v>
      </c>
      <c r="P51" s="65">
        <v>17</v>
      </c>
      <c r="Q51" s="65">
        <v>17</v>
      </c>
      <c r="R51" s="65">
        <v>17</v>
      </c>
      <c r="S51" s="65">
        <v>17</v>
      </c>
      <c r="T51" s="45">
        <v>17</v>
      </c>
      <c r="U51" s="45">
        <v>17</v>
      </c>
      <c r="V51" s="45">
        <v>17</v>
      </c>
      <c r="W51" s="45">
        <v>17</v>
      </c>
      <c r="X51" s="45">
        <v>17</v>
      </c>
      <c r="Y51" s="45">
        <v>17</v>
      </c>
      <c r="Z51" s="45">
        <v>17</v>
      </c>
      <c r="AA51" s="45">
        <v>17</v>
      </c>
      <c r="AB51" s="45">
        <v>17</v>
      </c>
      <c r="AC51" s="45">
        <v>17</v>
      </c>
      <c r="AD51" s="45">
        <v>17</v>
      </c>
      <c r="AE51" s="45">
        <v>17</v>
      </c>
      <c r="AF51" s="45">
        <v>17</v>
      </c>
      <c r="AG51" s="55">
        <v>24</v>
      </c>
      <c r="AH51" s="48">
        <f t="shared" si="2"/>
        <v>17</v>
      </c>
      <c r="AI51" s="49">
        <f t="shared" si="3"/>
        <v>17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45">
        <v>0</v>
      </c>
      <c r="U52" s="45">
        <v>0</v>
      </c>
      <c r="V52" s="45">
        <v>0</v>
      </c>
      <c r="W52" s="45">
        <v>0</v>
      </c>
      <c r="X52" s="45">
        <v>0</v>
      </c>
      <c r="Y52" s="4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14</v>
      </c>
      <c r="C53" s="65">
        <v>14</v>
      </c>
      <c r="D53" s="65">
        <v>14</v>
      </c>
      <c r="E53" s="65">
        <v>14</v>
      </c>
      <c r="F53" s="65">
        <v>14</v>
      </c>
      <c r="G53" s="65">
        <v>14</v>
      </c>
      <c r="H53" s="65">
        <v>14</v>
      </c>
      <c r="I53" s="65">
        <v>14</v>
      </c>
      <c r="J53" s="65">
        <v>14</v>
      </c>
      <c r="K53" s="65">
        <v>14</v>
      </c>
      <c r="L53" s="65">
        <v>14</v>
      </c>
      <c r="M53" s="65">
        <v>14</v>
      </c>
      <c r="N53" s="65">
        <v>14</v>
      </c>
      <c r="O53" s="65">
        <v>14</v>
      </c>
      <c r="P53" s="65">
        <v>14</v>
      </c>
      <c r="Q53" s="65">
        <v>14</v>
      </c>
      <c r="R53" s="65">
        <v>14</v>
      </c>
      <c r="S53" s="65">
        <v>14</v>
      </c>
      <c r="T53" s="45">
        <v>13.6</v>
      </c>
      <c r="U53" s="45">
        <v>13.6</v>
      </c>
      <c r="V53" s="45">
        <v>13.6</v>
      </c>
      <c r="W53" s="45">
        <v>13.6</v>
      </c>
      <c r="X53" s="45">
        <v>13.6</v>
      </c>
      <c r="Y53" s="45">
        <v>13.6</v>
      </c>
      <c r="Z53" s="65">
        <v>13.7</v>
      </c>
      <c r="AA53" s="65">
        <v>13.7</v>
      </c>
      <c r="AB53" s="65">
        <v>13.7</v>
      </c>
      <c r="AC53" s="65">
        <v>13.7</v>
      </c>
      <c r="AD53" s="65">
        <v>13.7</v>
      </c>
      <c r="AE53" s="65">
        <v>13.7</v>
      </c>
      <c r="AF53" s="65">
        <v>13.7</v>
      </c>
      <c r="AG53" s="55">
        <v>14.1</v>
      </c>
      <c r="AH53" s="48">
        <f t="shared" si="2"/>
        <v>14</v>
      </c>
      <c r="AI53" s="49">
        <f t="shared" si="3"/>
        <v>13.6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9</v>
      </c>
      <c r="C54" s="65">
        <v>9</v>
      </c>
      <c r="D54" s="65">
        <v>9</v>
      </c>
      <c r="E54" s="65">
        <v>9</v>
      </c>
      <c r="F54" s="65">
        <v>9</v>
      </c>
      <c r="G54" s="65">
        <v>9</v>
      </c>
      <c r="H54" s="65">
        <v>9</v>
      </c>
      <c r="I54" s="65">
        <v>9</v>
      </c>
      <c r="J54" s="65">
        <v>9</v>
      </c>
      <c r="K54" s="65">
        <v>9</v>
      </c>
      <c r="L54" s="65">
        <v>9</v>
      </c>
      <c r="M54" s="65">
        <v>9</v>
      </c>
      <c r="N54" s="65">
        <v>9</v>
      </c>
      <c r="O54" s="65">
        <v>9</v>
      </c>
      <c r="P54" s="65">
        <v>9</v>
      </c>
      <c r="Q54" s="65">
        <v>9</v>
      </c>
      <c r="R54" s="65">
        <v>9</v>
      </c>
      <c r="S54" s="65">
        <v>9</v>
      </c>
      <c r="T54" s="45">
        <v>9</v>
      </c>
      <c r="U54" s="45">
        <v>9</v>
      </c>
      <c r="V54" s="45">
        <v>9</v>
      </c>
      <c r="W54" s="45">
        <v>9</v>
      </c>
      <c r="X54" s="45">
        <v>9</v>
      </c>
      <c r="Y54" s="45">
        <v>9</v>
      </c>
      <c r="Z54" s="65">
        <v>7.2</v>
      </c>
      <c r="AA54" s="65">
        <v>7.2</v>
      </c>
      <c r="AB54" s="65">
        <v>7.2</v>
      </c>
      <c r="AC54" s="65">
        <v>7.2</v>
      </c>
      <c r="AD54" s="65">
        <v>7.2</v>
      </c>
      <c r="AE54" s="65">
        <v>7.2</v>
      </c>
      <c r="AF54" s="65">
        <v>7.2</v>
      </c>
      <c r="AG54" s="55">
        <v>14</v>
      </c>
      <c r="AH54" s="48">
        <f t="shared" si="2"/>
        <v>9</v>
      </c>
      <c r="AI54" s="49">
        <f t="shared" si="3"/>
        <v>7.2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45">
        <v>9</v>
      </c>
      <c r="U55" s="45">
        <v>9</v>
      </c>
      <c r="V55" s="45">
        <v>9</v>
      </c>
      <c r="W55" s="45">
        <v>9</v>
      </c>
      <c r="X55" s="45">
        <v>9</v>
      </c>
      <c r="Y55" s="45">
        <v>9</v>
      </c>
      <c r="Z55" s="65">
        <v>9</v>
      </c>
      <c r="AA55" s="65">
        <v>9</v>
      </c>
      <c r="AB55" s="65">
        <v>9</v>
      </c>
      <c r="AC55" s="65">
        <v>9</v>
      </c>
      <c r="AD55" s="65">
        <v>9</v>
      </c>
      <c r="AE55" s="65">
        <v>9</v>
      </c>
      <c r="AF55" s="65">
        <v>9</v>
      </c>
      <c r="AG55" s="55">
        <v>10.050000000000001</v>
      </c>
      <c r="AH55" s="48">
        <f t="shared" si="2"/>
        <v>9</v>
      </c>
      <c r="AI55" s="49">
        <f t="shared" si="3"/>
        <v>9</v>
      </c>
      <c r="AK55" s="50"/>
    </row>
    <row r="56" spans="1:41" x14ac:dyDescent="0.25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45">
        <v>4.5999999999999996</v>
      </c>
      <c r="U56" s="45">
        <v>4.5999999999999996</v>
      </c>
      <c r="V56" s="45">
        <v>4.5999999999999996</v>
      </c>
      <c r="W56" s="45">
        <v>4.5999999999999996</v>
      </c>
      <c r="X56" s="45">
        <v>4.5999999999999996</v>
      </c>
      <c r="Y56" s="45">
        <v>4.5999999999999996</v>
      </c>
      <c r="Z56" s="65">
        <v>4.5999999999999996</v>
      </c>
      <c r="AA56" s="65">
        <v>4.5999999999999996</v>
      </c>
      <c r="AB56" s="65">
        <v>4.5999999999999996</v>
      </c>
      <c r="AC56" s="65">
        <v>4.5999999999999996</v>
      </c>
      <c r="AD56" s="65">
        <v>4.5999999999999996</v>
      </c>
      <c r="AE56" s="65">
        <v>4.5999999999999996</v>
      </c>
      <c r="AF56" s="65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72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375.64000000000004</v>
      </c>
      <c r="C58" s="61">
        <f t="shared" si="6"/>
        <v>311.64000000000004</v>
      </c>
      <c r="D58" s="61">
        <f t="shared" si="6"/>
        <v>326.44</v>
      </c>
      <c r="E58" s="61">
        <f t="shared" si="6"/>
        <v>325.34000000000003</v>
      </c>
      <c r="F58" s="61">
        <f t="shared" si="6"/>
        <v>324.34000000000003</v>
      </c>
      <c r="G58" s="61">
        <f t="shared" si="6"/>
        <v>357.14000000000004</v>
      </c>
      <c r="H58" s="61">
        <f t="shared" si="6"/>
        <v>356.64000000000004</v>
      </c>
      <c r="I58" s="61">
        <f t="shared" si="6"/>
        <v>415.44000000000005</v>
      </c>
      <c r="J58" s="61">
        <f t="shared" si="6"/>
        <v>415.44000000000005</v>
      </c>
      <c r="K58" s="61">
        <f t="shared" si="6"/>
        <v>417.44000000000005</v>
      </c>
      <c r="L58" s="61">
        <f t="shared" si="6"/>
        <v>429.64000000000004</v>
      </c>
      <c r="M58" s="61">
        <f t="shared" si="6"/>
        <v>433.64000000000004</v>
      </c>
      <c r="N58" s="61">
        <f t="shared" si="6"/>
        <v>433.64000000000004</v>
      </c>
      <c r="O58" s="61">
        <f t="shared" si="6"/>
        <v>431.34000000000003</v>
      </c>
      <c r="P58" s="61">
        <f t="shared" si="6"/>
        <v>402.34000000000003</v>
      </c>
      <c r="Q58" s="61">
        <f t="shared" si="6"/>
        <v>402.34000000000003</v>
      </c>
      <c r="R58" s="61">
        <f t="shared" si="6"/>
        <v>402.34000000000003</v>
      </c>
      <c r="S58" s="61">
        <f t="shared" si="6"/>
        <v>402.16</v>
      </c>
      <c r="T58" s="61">
        <f t="shared" si="6"/>
        <v>402.34000000000009</v>
      </c>
      <c r="U58" s="61">
        <f t="shared" si="6"/>
        <v>402.64000000000004</v>
      </c>
      <c r="V58" s="61">
        <f t="shared" si="6"/>
        <v>433.44000000000005</v>
      </c>
      <c r="W58" s="61">
        <f t="shared" si="6"/>
        <v>432.64000000000004</v>
      </c>
      <c r="X58" s="61">
        <v>431.44000000000005</v>
      </c>
      <c r="Y58" s="61">
        <f t="shared" si="6"/>
        <v>432.24</v>
      </c>
      <c r="Z58" s="61">
        <f t="shared" si="6"/>
        <v>430.04</v>
      </c>
      <c r="AA58" s="61">
        <f t="shared" si="6"/>
        <v>430.04</v>
      </c>
      <c r="AB58" s="61">
        <f t="shared" si="6"/>
        <v>430.04</v>
      </c>
      <c r="AC58" s="61">
        <f t="shared" si="6"/>
        <v>430.04</v>
      </c>
      <c r="AD58" s="61">
        <f t="shared" si="6"/>
        <v>416.24</v>
      </c>
      <c r="AE58" s="61">
        <f t="shared" si="6"/>
        <v>343.84</v>
      </c>
      <c r="AF58" s="61">
        <f t="shared" si="6"/>
        <v>343.04</v>
      </c>
      <c r="AG58" s="62">
        <f t="shared" si="6"/>
        <v>489.91</v>
      </c>
      <c r="AH58" s="48">
        <f t="shared" si="2"/>
        <v>433.64000000000004</v>
      </c>
      <c r="AI58" s="49">
        <f t="shared" si="3"/>
        <v>311.64000000000004</v>
      </c>
      <c r="AK58" s="50"/>
    </row>
    <row r="59" spans="1:41" x14ac:dyDescent="0.25">
      <c r="A59" s="44" t="s">
        <v>67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>
        <v>28</v>
      </c>
      <c r="W59" s="45">
        <v>45</v>
      </c>
      <c r="X59" s="65">
        <v>60</v>
      </c>
      <c r="Y59" s="45">
        <v>14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60</v>
      </c>
      <c r="AI59" s="49">
        <f t="shared" si="3"/>
        <v>0</v>
      </c>
      <c r="AK59" s="50"/>
    </row>
    <row r="60" spans="1:41" x14ac:dyDescent="0.25">
      <c r="A60" s="54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>
        <v>10</v>
      </c>
      <c r="W60" s="65">
        <v>20</v>
      </c>
      <c r="X60" s="65">
        <v>30</v>
      </c>
      <c r="Y60" s="65">
        <v>6.4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30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>
        <v>4</v>
      </c>
      <c r="W61" s="67">
        <v>7.3</v>
      </c>
      <c r="X61" s="65">
        <v>10</v>
      </c>
      <c r="Y61" s="67">
        <v>2.5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10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f t="shared" si="7"/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 t="shared" si="7"/>
        <v>0</v>
      </c>
      <c r="T62" s="61">
        <f t="shared" si="7"/>
        <v>0</v>
      </c>
      <c r="U62" s="61">
        <f t="shared" si="7"/>
        <v>0</v>
      </c>
      <c r="V62" s="61">
        <f t="shared" si="7"/>
        <v>42</v>
      </c>
      <c r="W62" s="61">
        <f t="shared" si="7"/>
        <v>72.3</v>
      </c>
      <c r="X62" s="61">
        <v>100</v>
      </c>
      <c r="Y62" s="61">
        <f t="shared" si="7"/>
        <v>22.9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100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-307</v>
      </c>
      <c r="C65" s="65">
        <v>-104</v>
      </c>
      <c r="D65" s="65">
        <v>-108</v>
      </c>
      <c r="E65" s="65">
        <v>-111.4</v>
      </c>
      <c r="F65" s="65">
        <v>-109.5</v>
      </c>
      <c r="G65" s="65">
        <v>-107</v>
      </c>
      <c r="H65" s="65">
        <v>-75</v>
      </c>
      <c r="I65" s="65">
        <v>-101</v>
      </c>
      <c r="J65" s="65">
        <v>-98</v>
      </c>
      <c r="K65" s="65">
        <v>-250</v>
      </c>
      <c r="L65" s="65">
        <v>-245</v>
      </c>
      <c r="M65" s="65">
        <v>-275.60000000000002</v>
      </c>
      <c r="N65" s="65">
        <v>-305.8</v>
      </c>
      <c r="O65" s="65">
        <v>-299.5</v>
      </c>
      <c r="P65" s="65">
        <v>-271.3</v>
      </c>
      <c r="Q65" s="65">
        <v>-204.3</v>
      </c>
      <c r="R65" s="65">
        <v>-216.9</v>
      </c>
      <c r="S65" s="65">
        <v>-187</v>
      </c>
      <c r="T65" s="65">
        <v>-141.69999999999999</v>
      </c>
      <c r="U65" s="65">
        <v>-106.8</v>
      </c>
      <c r="V65" s="65">
        <v>-104.5</v>
      </c>
      <c r="W65" s="65">
        <v>-129.1</v>
      </c>
      <c r="X65" s="65">
        <v>-194</v>
      </c>
      <c r="Y65" s="65">
        <v>-122</v>
      </c>
      <c r="Z65" s="65">
        <v>-119</v>
      </c>
      <c r="AA65" s="65">
        <v>-125.9</v>
      </c>
      <c r="AB65" s="65">
        <v>-203</v>
      </c>
      <c r="AC65" s="65">
        <v>-265</v>
      </c>
      <c r="AD65" s="65">
        <v>-190</v>
      </c>
      <c r="AE65" s="65">
        <v>-130</v>
      </c>
      <c r="AF65" s="65">
        <v>-186</v>
      </c>
      <c r="AG65" s="75"/>
      <c r="AH65" s="48">
        <f t="shared" si="2"/>
        <v>-75</v>
      </c>
      <c r="AI65" s="49">
        <f t="shared" si="3"/>
        <v>-307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65">
        <v>0</v>
      </c>
      <c r="Y66" s="76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65">
        <v>0</v>
      </c>
      <c r="Y67" s="45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65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65">
        <v>0</v>
      </c>
      <c r="Y69" s="77">
        <v>0</v>
      </c>
      <c r="Z69" s="77">
        <v>0</v>
      </c>
      <c r="AA69" s="77">
        <v>0</v>
      </c>
      <c r="AB69" s="77">
        <v>0</v>
      </c>
      <c r="AC69" s="77">
        <v>0</v>
      </c>
      <c r="AD69" s="77">
        <v>0</v>
      </c>
      <c r="AE69" s="77">
        <v>0</v>
      </c>
      <c r="AF69" s="77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65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65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65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65">
        <v>0</v>
      </c>
      <c r="Y73" s="79">
        <v>0</v>
      </c>
      <c r="Z73" s="79">
        <v>0</v>
      </c>
      <c r="AA73" s="79">
        <v>0</v>
      </c>
      <c r="AB73" s="79">
        <v>0</v>
      </c>
      <c r="AC73" s="79">
        <v>0</v>
      </c>
      <c r="AD73" s="79">
        <v>0</v>
      </c>
      <c r="AE73" s="79">
        <v>0</v>
      </c>
      <c r="AF73" s="79">
        <v>0</v>
      </c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61"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ht="16.5" thickBot="1" x14ac:dyDescent="0.3">
      <c r="A75" s="44" t="s">
        <v>83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179"/>
      <c r="Y75" s="76"/>
      <c r="Z75" s="76"/>
      <c r="AA75" s="76"/>
      <c r="AB75" s="76"/>
      <c r="AC75" s="76"/>
      <c r="AD75" s="76"/>
      <c r="AE75" s="76"/>
      <c r="AF75" s="76"/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ht="15.75" x14ac:dyDescent="0.25">
      <c r="A76" s="54" t="s">
        <v>84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180"/>
      <c r="Y76" s="77"/>
      <c r="Z76" s="77"/>
      <c r="AA76" s="77"/>
      <c r="AB76" s="77"/>
      <c r="AC76" s="77"/>
      <c r="AD76" s="77"/>
      <c r="AE76" s="77"/>
      <c r="AF76" s="77"/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0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1239.74</v>
      </c>
      <c r="C79" s="83">
        <f t="shared" si="11"/>
        <v>985.24</v>
      </c>
      <c r="D79" s="83">
        <f t="shared" si="11"/>
        <v>990.04</v>
      </c>
      <c r="E79" s="83">
        <f t="shared" si="11"/>
        <v>981.94</v>
      </c>
      <c r="F79" s="83">
        <f t="shared" si="11"/>
        <v>980.94</v>
      </c>
      <c r="G79" s="83">
        <f t="shared" si="11"/>
        <v>1025.1400000000001</v>
      </c>
      <c r="H79" s="83">
        <f t="shared" si="11"/>
        <v>1064.24</v>
      </c>
      <c r="I79" s="83">
        <f t="shared" si="11"/>
        <v>1173.1400000000001</v>
      </c>
      <c r="J79" s="83">
        <f t="shared" si="11"/>
        <v>1253.1400000000001</v>
      </c>
      <c r="K79" s="83">
        <f t="shared" si="11"/>
        <v>1505.14</v>
      </c>
      <c r="L79" s="83">
        <f t="shared" si="11"/>
        <v>1593.3400000000001</v>
      </c>
      <c r="M79" s="83">
        <f t="shared" si="11"/>
        <v>1577.4400000000003</v>
      </c>
      <c r="N79" s="83">
        <f t="shared" si="11"/>
        <v>1561.4400000000003</v>
      </c>
      <c r="O79" s="83">
        <f t="shared" si="11"/>
        <v>1500.1400000000003</v>
      </c>
      <c r="P79" s="83">
        <f t="shared" si="11"/>
        <v>1393.14</v>
      </c>
      <c r="Q79" s="83">
        <f t="shared" si="11"/>
        <v>1278.94</v>
      </c>
      <c r="R79" s="83">
        <f t="shared" si="11"/>
        <v>1258.94</v>
      </c>
      <c r="S79" s="83">
        <f t="shared" si="11"/>
        <v>1238.76</v>
      </c>
      <c r="T79" s="83">
        <f t="shared" si="11"/>
        <v>1219.6400000000001</v>
      </c>
      <c r="U79" s="83">
        <f t="shared" si="11"/>
        <v>1215.4400000000003</v>
      </c>
      <c r="V79" s="83">
        <f t="shared" si="11"/>
        <v>1291.6400000000003</v>
      </c>
      <c r="W79" s="83">
        <f t="shared" si="11"/>
        <v>1521.8400000000001</v>
      </c>
      <c r="X79" s="83">
        <v>1615.44</v>
      </c>
      <c r="Y79" s="83">
        <f t="shared" si="11"/>
        <v>1426.54</v>
      </c>
      <c r="Z79" s="83">
        <f t="shared" si="11"/>
        <v>1310.7400000000002</v>
      </c>
      <c r="AA79" s="83">
        <f t="shared" si="11"/>
        <v>1310.8400000000001</v>
      </c>
      <c r="AB79" s="83">
        <f t="shared" si="11"/>
        <v>1310.3400000000001</v>
      </c>
      <c r="AC79" s="83">
        <f t="shared" si="11"/>
        <v>1330.3400000000001</v>
      </c>
      <c r="AD79" s="83">
        <f t="shared" si="11"/>
        <v>1195.94</v>
      </c>
      <c r="AE79" s="83">
        <f t="shared" si="11"/>
        <v>1023.8400000000001</v>
      </c>
      <c r="AF79" s="83">
        <f t="shared" si="11"/>
        <v>1079.74</v>
      </c>
      <c r="AG79" s="62">
        <f t="shared" si="11"/>
        <v>1897.1900000000003</v>
      </c>
      <c r="AH79" s="48">
        <f t="shared" si="9"/>
        <v>1615.44</v>
      </c>
      <c r="AI79" s="49">
        <f t="shared" si="10"/>
        <v>980.94</v>
      </c>
    </row>
    <row r="80" spans="1:37" ht="16.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182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1239.74</v>
      </c>
      <c r="C81" s="83">
        <f t="shared" si="12"/>
        <v>985.24</v>
      </c>
      <c r="D81" s="83">
        <f t="shared" si="12"/>
        <v>990.04</v>
      </c>
      <c r="E81" s="83">
        <f t="shared" si="12"/>
        <v>981.94</v>
      </c>
      <c r="F81" s="83">
        <f t="shared" si="12"/>
        <v>980.94</v>
      </c>
      <c r="G81" s="83">
        <f t="shared" si="12"/>
        <v>1025.1400000000001</v>
      </c>
      <c r="H81" s="83">
        <f t="shared" si="12"/>
        <v>1064.24</v>
      </c>
      <c r="I81" s="83">
        <f t="shared" si="12"/>
        <v>1173.1400000000001</v>
      </c>
      <c r="J81" s="83">
        <f t="shared" si="12"/>
        <v>1253.1400000000001</v>
      </c>
      <c r="K81" s="83">
        <f t="shared" si="12"/>
        <v>1505.14</v>
      </c>
      <c r="L81" s="83">
        <f t="shared" si="12"/>
        <v>1593.3400000000001</v>
      </c>
      <c r="M81" s="83">
        <f t="shared" si="12"/>
        <v>1577.4400000000003</v>
      </c>
      <c r="N81" s="83">
        <f t="shared" si="12"/>
        <v>1561.4400000000003</v>
      </c>
      <c r="O81" s="83">
        <f t="shared" si="12"/>
        <v>1500.1400000000003</v>
      </c>
      <c r="P81" s="83">
        <f t="shared" si="12"/>
        <v>1393.14</v>
      </c>
      <c r="Q81" s="83">
        <f t="shared" si="12"/>
        <v>1278.94</v>
      </c>
      <c r="R81" s="83">
        <f t="shared" si="12"/>
        <v>1258.94</v>
      </c>
      <c r="S81" s="83">
        <f t="shared" si="12"/>
        <v>1238.76</v>
      </c>
      <c r="T81" s="83">
        <f t="shared" si="12"/>
        <v>1219.6400000000001</v>
      </c>
      <c r="U81" s="83">
        <f t="shared" si="12"/>
        <v>1215.4400000000003</v>
      </c>
      <c r="V81" s="83">
        <f t="shared" si="12"/>
        <v>1291.6400000000003</v>
      </c>
      <c r="W81" s="83">
        <f t="shared" si="12"/>
        <v>1521.8400000000001</v>
      </c>
      <c r="X81" s="83">
        <v>1615.44</v>
      </c>
      <c r="Y81" s="83">
        <f t="shared" si="12"/>
        <v>1426.54</v>
      </c>
      <c r="Z81" s="83">
        <f t="shared" si="12"/>
        <v>1310.7400000000002</v>
      </c>
      <c r="AA81" s="83">
        <f t="shared" si="12"/>
        <v>1310.8400000000001</v>
      </c>
      <c r="AB81" s="83">
        <f t="shared" si="12"/>
        <v>1310.3400000000001</v>
      </c>
      <c r="AC81" s="83">
        <f t="shared" si="12"/>
        <v>1330.3400000000001</v>
      </c>
      <c r="AD81" s="83">
        <f t="shared" si="12"/>
        <v>1195.94</v>
      </c>
      <c r="AE81" s="83">
        <f t="shared" si="12"/>
        <v>1023.8400000000001</v>
      </c>
      <c r="AF81" s="83">
        <f t="shared" si="12"/>
        <v>1079.74</v>
      </c>
      <c r="AG81" s="81">
        <f>AG78+AG74+AG62+AG58+AG40+AG80</f>
        <v>1359.0900000000001</v>
      </c>
      <c r="AH81" s="48">
        <f t="shared" si="9"/>
        <v>1615.44</v>
      </c>
      <c r="AI81" s="49">
        <f t="shared" si="10"/>
        <v>980.94</v>
      </c>
    </row>
    <row r="82" spans="1:37" ht="15.75" thickBot="1" x14ac:dyDescent="0.3">
      <c r="A82" s="74" t="s">
        <v>90</v>
      </c>
      <c r="B82" s="83">
        <f t="shared" ref="B82:AF82" si="13">B81-B89</f>
        <v>932.74</v>
      </c>
      <c r="C82" s="83">
        <f t="shared" si="13"/>
        <v>881.24</v>
      </c>
      <c r="D82" s="83">
        <f t="shared" si="13"/>
        <v>882.04</v>
      </c>
      <c r="E82" s="83">
        <f t="shared" si="13"/>
        <v>870.54000000000008</v>
      </c>
      <c r="F82" s="83">
        <f t="shared" si="13"/>
        <v>871.44</v>
      </c>
      <c r="G82" s="83">
        <f t="shared" si="13"/>
        <v>918.1400000000001</v>
      </c>
      <c r="H82" s="83">
        <f t="shared" si="13"/>
        <v>989.24</v>
      </c>
      <c r="I82" s="83">
        <f t="shared" si="13"/>
        <v>1072.1400000000001</v>
      </c>
      <c r="J82" s="83">
        <f t="shared" si="13"/>
        <v>1155.1400000000001</v>
      </c>
      <c r="K82" s="83">
        <f t="shared" si="13"/>
        <v>1255.1400000000001</v>
      </c>
      <c r="L82" s="83">
        <f t="shared" si="13"/>
        <v>1348.3400000000001</v>
      </c>
      <c r="M82" s="83">
        <f t="shared" si="13"/>
        <v>1301.8400000000001</v>
      </c>
      <c r="N82" s="83">
        <f t="shared" si="13"/>
        <v>1255.6400000000003</v>
      </c>
      <c r="O82" s="83">
        <f t="shared" si="13"/>
        <v>1200.6400000000003</v>
      </c>
      <c r="P82" s="83">
        <f t="shared" si="13"/>
        <v>1121.8400000000001</v>
      </c>
      <c r="Q82" s="83">
        <f t="shared" si="13"/>
        <v>1074.6400000000001</v>
      </c>
      <c r="R82" s="83">
        <f t="shared" si="13"/>
        <v>1042.04</v>
      </c>
      <c r="S82" s="83">
        <f t="shared" si="13"/>
        <v>1051.76</v>
      </c>
      <c r="T82" s="83">
        <f t="shared" si="13"/>
        <v>1077.94</v>
      </c>
      <c r="U82" s="83">
        <f t="shared" si="13"/>
        <v>1108.6400000000003</v>
      </c>
      <c r="V82" s="83">
        <f t="shared" si="13"/>
        <v>1187.1400000000003</v>
      </c>
      <c r="W82" s="83">
        <f t="shared" si="13"/>
        <v>1392.7400000000002</v>
      </c>
      <c r="X82" s="83">
        <v>1421.44</v>
      </c>
      <c r="Y82" s="83">
        <f t="shared" si="13"/>
        <v>1304.54</v>
      </c>
      <c r="Z82" s="83">
        <f t="shared" si="13"/>
        <v>1191.7400000000002</v>
      </c>
      <c r="AA82" s="83">
        <f t="shared" si="13"/>
        <v>1184.94</v>
      </c>
      <c r="AB82" s="83">
        <f t="shared" si="13"/>
        <v>1107.3400000000001</v>
      </c>
      <c r="AC82" s="83">
        <f t="shared" si="13"/>
        <v>1065.3400000000001</v>
      </c>
      <c r="AD82" s="83">
        <f t="shared" si="13"/>
        <v>1005.94</v>
      </c>
      <c r="AE82" s="83">
        <f t="shared" si="13"/>
        <v>893.84000000000015</v>
      </c>
      <c r="AF82" s="83">
        <f t="shared" si="13"/>
        <v>893.74</v>
      </c>
      <c r="AG82" s="81"/>
      <c r="AH82" s="48">
        <f t="shared" si="9"/>
        <v>1421.44</v>
      </c>
      <c r="AI82" s="49">
        <f t="shared" si="10"/>
        <v>870.54000000000008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307</v>
      </c>
      <c r="C86" s="76">
        <f t="shared" si="17"/>
        <v>104</v>
      </c>
      <c r="D86" s="76">
        <f t="shared" si="17"/>
        <v>108</v>
      </c>
      <c r="E86" s="76">
        <f t="shared" si="17"/>
        <v>111.4</v>
      </c>
      <c r="F86" s="76">
        <f t="shared" si="17"/>
        <v>109.5</v>
      </c>
      <c r="G86" s="76">
        <f t="shared" si="17"/>
        <v>107</v>
      </c>
      <c r="H86" s="76">
        <f t="shared" si="17"/>
        <v>75</v>
      </c>
      <c r="I86" s="76">
        <f t="shared" si="17"/>
        <v>101</v>
      </c>
      <c r="J86" s="76">
        <f t="shared" si="17"/>
        <v>98</v>
      </c>
      <c r="K86" s="76">
        <f t="shared" si="17"/>
        <v>250</v>
      </c>
      <c r="L86" s="76">
        <f t="shared" si="17"/>
        <v>245</v>
      </c>
      <c r="M86" s="76">
        <f t="shared" si="17"/>
        <v>275.60000000000002</v>
      </c>
      <c r="N86" s="76">
        <f t="shared" si="17"/>
        <v>305.8</v>
      </c>
      <c r="O86" s="76">
        <f t="shared" si="17"/>
        <v>299.5</v>
      </c>
      <c r="P86" s="76">
        <f t="shared" si="17"/>
        <v>271.3</v>
      </c>
      <c r="Q86" s="76">
        <f t="shared" si="17"/>
        <v>204.3</v>
      </c>
      <c r="R86" s="76">
        <f t="shared" si="17"/>
        <v>216.9</v>
      </c>
      <c r="S86" s="76">
        <f t="shared" si="17"/>
        <v>187</v>
      </c>
      <c r="T86" s="76">
        <f t="shared" si="17"/>
        <v>141.69999999999999</v>
      </c>
      <c r="U86" s="76">
        <f t="shared" si="17"/>
        <v>106.8</v>
      </c>
      <c r="V86" s="76">
        <f t="shared" si="17"/>
        <v>104.5</v>
      </c>
      <c r="W86" s="76">
        <f t="shared" si="17"/>
        <v>129.1</v>
      </c>
      <c r="X86" s="76">
        <v>194</v>
      </c>
      <c r="Y86" s="76">
        <f t="shared" si="17"/>
        <v>122</v>
      </c>
      <c r="Z86" s="76">
        <f t="shared" si="17"/>
        <v>119</v>
      </c>
      <c r="AA86" s="76">
        <f t="shared" si="17"/>
        <v>125.9</v>
      </c>
      <c r="AB86" s="76">
        <f t="shared" si="17"/>
        <v>203</v>
      </c>
      <c r="AC86" s="76">
        <f t="shared" si="17"/>
        <v>265</v>
      </c>
      <c r="AD86" s="76">
        <f t="shared" si="17"/>
        <v>190</v>
      </c>
      <c r="AE86" s="76">
        <f t="shared" si="17"/>
        <v>130</v>
      </c>
      <c r="AF86" s="76">
        <f t="shared" si="17"/>
        <v>186</v>
      </c>
      <c r="AG86" s="86"/>
      <c r="AH86" s="48">
        <f t="shared" si="9"/>
        <v>307</v>
      </c>
      <c r="AI86" s="49">
        <f t="shared" si="10"/>
        <v>75</v>
      </c>
    </row>
    <row r="87" spans="1:37" x14ac:dyDescent="0.25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6">
        <v>0</v>
      </c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307</v>
      </c>
      <c r="C89" s="61">
        <f t="shared" si="19"/>
        <v>104</v>
      </c>
      <c r="D89" s="61">
        <f t="shared" si="19"/>
        <v>108</v>
      </c>
      <c r="E89" s="61">
        <f t="shared" si="19"/>
        <v>111.4</v>
      </c>
      <c r="F89" s="61">
        <f t="shared" si="19"/>
        <v>109.5</v>
      </c>
      <c r="G89" s="61">
        <f t="shared" si="19"/>
        <v>107</v>
      </c>
      <c r="H89" s="61">
        <f t="shared" si="19"/>
        <v>75</v>
      </c>
      <c r="I89" s="61">
        <f t="shared" si="19"/>
        <v>101</v>
      </c>
      <c r="J89" s="61">
        <f t="shared" si="19"/>
        <v>98</v>
      </c>
      <c r="K89" s="61">
        <f t="shared" si="19"/>
        <v>250</v>
      </c>
      <c r="L89" s="61">
        <f t="shared" si="19"/>
        <v>245</v>
      </c>
      <c r="M89" s="61">
        <f t="shared" si="19"/>
        <v>275.60000000000002</v>
      </c>
      <c r="N89" s="61">
        <f t="shared" si="19"/>
        <v>305.8</v>
      </c>
      <c r="O89" s="61">
        <f t="shared" si="19"/>
        <v>299.5</v>
      </c>
      <c r="P89" s="61">
        <f t="shared" si="19"/>
        <v>271.3</v>
      </c>
      <c r="Q89" s="61">
        <f t="shared" si="19"/>
        <v>204.3</v>
      </c>
      <c r="R89" s="61">
        <f t="shared" si="19"/>
        <v>216.9</v>
      </c>
      <c r="S89" s="61">
        <f t="shared" si="19"/>
        <v>187</v>
      </c>
      <c r="T89" s="61">
        <f t="shared" si="19"/>
        <v>141.69999999999999</v>
      </c>
      <c r="U89" s="61">
        <f t="shared" si="19"/>
        <v>106.8</v>
      </c>
      <c r="V89" s="61">
        <f t="shared" si="19"/>
        <v>104.5</v>
      </c>
      <c r="W89" s="61">
        <f t="shared" si="19"/>
        <v>129.1</v>
      </c>
      <c r="X89" s="61">
        <v>194</v>
      </c>
      <c r="Y89" s="61">
        <f t="shared" si="19"/>
        <v>122</v>
      </c>
      <c r="Z89" s="61">
        <f t="shared" si="19"/>
        <v>119</v>
      </c>
      <c r="AA89" s="61">
        <f t="shared" si="19"/>
        <v>125.9</v>
      </c>
      <c r="AB89" s="61">
        <f t="shared" si="19"/>
        <v>203</v>
      </c>
      <c r="AC89" s="61">
        <f t="shared" si="19"/>
        <v>265</v>
      </c>
      <c r="AD89" s="61">
        <f t="shared" si="19"/>
        <v>190</v>
      </c>
      <c r="AE89" s="61">
        <f t="shared" si="19"/>
        <v>130</v>
      </c>
      <c r="AF89" s="61">
        <f t="shared" si="19"/>
        <v>186</v>
      </c>
      <c r="AG89" s="81"/>
      <c r="AH89" s="48">
        <f t="shared" si="9"/>
        <v>307</v>
      </c>
      <c r="AI89" s="49">
        <f t="shared" si="10"/>
        <v>75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-307</v>
      </c>
      <c r="C90" s="61">
        <f t="shared" si="20"/>
        <v>-104</v>
      </c>
      <c r="D90" s="61">
        <f t="shared" si="20"/>
        <v>-108</v>
      </c>
      <c r="E90" s="61">
        <f t="shared" si="20"/>
        <v>-111.4</v>
      </c>
      <c r="F90" s="61">
        <f t="shared" si="20"/>
        <v>-109.5</v>
      </c>
      <c r="G90" s="61">
        <f t="shared" si="20"/>
        <v>-107</v>
      </c>
      <c r="H90" s="61">
        <f t="shared" si="20"/>
        <v>-75</v>
      </c>
      <c r="I90" s="61">
        <f t="shared" si="20"/>
        <v>-101</v>
      </c>
      <c r="J90" s="61">
        <f t="shared" si="20"/>
        <v>-98</v>
      </c>
      <c r="K90" s="61">
        <f t="shared" si="20"/>
        <v>-250</v>
      </c>
      <c r="L90" s="61">
        <f t="shared" si="20"/>
        <v>-245</v>
      </c>
      <c r="M90" s="61">
        <f t="shared" si="20"/>
        <v>-275.60000000000002</v>
      </c>
      <c r="N90" s="61">
        <f t="shared" si="20"/>
        <v>-305.8</v>
      </c>
      <c r="O90" s="61">
        <f t="shared" si="20"/>
        <v>-299.5</v>
      </c>
      <c r="P90" s="61">
        <f t="shared" si="20"/>
        <v>-271.3</v>
      </c>
      <c r="Q90" s="61">
        <f t="shared" si="20"/>
        <v>-204.3</v>
      </c>
      <c r="R90" s="61">
        <f t="shared" si="20"/>
        <v>-216.9</v>
      </c>
      <c r="S90" s="61">
        <f t="shared" si="20"/>
        <v>-187</v>
      </c>
      <c r="T90" s="61">
        <f t="shared" si="20"/>
        <v>-141.69999999999999</v>
      </c>
      <c r="U90" s="61">
        <f t="shared" si="20"/>
        <v>-106.8</v>
      </c>
      <c r="V90" s="61">
        <f t="shared" si="20"/>
        <v>-104.5</v>
      </c>
      <c r="W90" s="61">
        <f t="shared" si="20"/>
        <v>-129.1</v>
      </c>
      <c r="X90" s="61">
        <v>-194</v>
      </c>
      <c r="Y90" s="61">
        <f t="shared" si="20"/>
        <v>-122</v>
      </c>
      <c r="Z90" s="61">
        <f t="shared" si="20"/>
        <v>-119</v>
      </c>
      <c r="AA90" s="61">
        <f t="shared" si="20"/>
        <v>-125.9</v>
      </c>
      <c r="AB90" s="61">
        <f t="shared" si="20"/>
        <v>-203</v>
      </c>
      <c r="AC90" s="61">
        <f t="shared" si="20"/>
        <v>-265</v>
      </c>
      <c r="AD90" s="61">
        <f t="shared" si="20"/>
        <v>-190</v>
      </c>
      <c r="AE90" s="61">
        <f t="shared" si="20"/>
        <v>-130</v>
      </c>
      <c r="AF90" s="61">
        <f t="shared" si="20"/>
        <v>-186</v>
      </c>
      <c r="AG90" s="81"/>
      <c r="AH90" s="48">
        <f t="shared" si="9"/>
        <v>-75</v>
      </c>
      <c r="AI90" s="49">
        <f t="shared" si="10"/>
        <v>-307</v>
      </c>
    </row>
    <row r="91" spans="1:37" ht="15.75" thickBot="1" x14ac:dyDescent="0.3">
      <c r="A91" s="88" t="s">
        <v>96</v>
      </c>
      <c r="B91" s="89">
        <v>50.033999999999999</v>
      </c>
      <c r="C91" s="89">
        <v>50.027000000000001</v>
      </c>
      <c r="D91" s="89">
        <v>50.03</v>
      </c>
      <c r="E91" s="89">
        <v>49.98</v>
      </c>
      <c r="F91" s="89">
        <v>49.975999999999999</v>
      </c>
      <c r="G91" s="89">
        <v>50.006</v>
      </c>
      <c r="H91" s="89">
        <v>50.076000000000001</v>
      </c>
      <c r="I91" s="89">
        <v>49.956000000000003</v>
      </c>
      <c r="J91" s="89">
        <v>49.817</v>
      </c>
      <c r="K91" s="89">
        <v>49.962000000000003</v>
      </c>
      <c r="L91" s="89">
        <v>49.968000000000004</v>
      </c>
      <c r="M91" s="89">
        <v>49.97</v>
      </c>
      <c r="N91" s="89">
        <v>50.040999999999997</v>
      </c>
      <c r="O91" s="89">
        <v>49.981999999999999</v>
      </c>
      <c r="P91" s="89">
        <v>49.808999999999997</v>
      </c>
      <c r="Q91" s="89">
        <v>49.959000000000003</v>
      </c>
      <c r="R91" s="89">
        <v>49.994</v>
      </c>
      <c r="S91" s="89">
        <v>50.04</v>
      </c>
      <c r="T91" s="89">
        <v>49.97</v>
      </c>
      <c r="U91" s="89">
        <v>50.01</v>
      </c>
      <c r="V91" s="89">
        <v>49.933999999999997</v>
      </c>
      <c r="W91" s="89">
        <v>49.88</v>
      </c>
      <c r="X91" s="89">
        <v>49.87</v>
      </c>
      <c r="Y91" s="89">
        <v>49.968000000000004</v>
      </c>
      <c r="Z91" s="89">
        <v>50</v>
      </c>
      <c r="AA91" s="89"/>
      <c r="AB91" s="89">
        <v>49.965000000000003</v>
      </c>
      <c r="AC91" s="89">
        <v>50.004600000000003</v>
      </c>
      <c r="AD91" s="89" t="s">
        <v>250</v>
      </c>
      <c r="AE91" s="89">
        <v>49.959000000000003</v>
      </c>
      <c r="AF91" s="89">
        <v>50.003999999999998</v>
      </c>
      <c r="AG91" s="90"/>
      <c r="AH91" s="48">
        <f t="shared" si="9"/>
        <v>50.076000000000001</v>
      </c>
      <c r="AI91" s="49">
        <f t="shared" si="10"/>
        <v>49.808999999999997</v>
      </c>
    </row>
    <row r="92" spans="1:37" ht="15.75" thickBot="1" x14ac:dyDescent="0.3">
      <c r="A92" s="91" t="s">
        <v>97</v>
      </c>
      <c r="B92" s="65">
        <v>126.8</v>
      </c>
      <c r="C92" s="65">
        <v>129</v>
      </c>
      <c r="D92" s="65">
        <v>128.30000000000001</v>
      </c>
      <c r="E92" s="65">
        <v>128</v>
      </c>
      <c r="F92" s="65">
        <v>128.4</v>
      </c>
      <c r="G92" s="65">
        <v>127</v>
      </c>
      <c r="H92" s="65">
        <v>126.1</v>
      </c>
      <c r="I92" s="65">
        <v>124.7</v>
      </c>
      <c r="J92" s="65">
        <v>124.4</v>
      </c>
      <c r="K92" s="65">
        <v>122.8</v>
      </c>
      <c r="L92" s="65">
        <v>121.8</v>
      </c>
      <c r="M92" s="65">
        <v>125</v>
      </c>
      <c r="N92" s="65">
        <v>123.8</v>
      </c>
      <c r="O92" s="65">
        <v>124.6</v>
      </c>
      <c r="P92" s="65">
        <v>125.9</v>
      </c>
      <c r="Q92" s="65">
        <v>125.3</v>
      </c>
      <c r="R92" s="65">
        <v>124.1</v>
      </c>
      <c r="S92" s="65">
        <v>124.3</v>
      </c>
      <c r="T92" s="65">
        <v>124.7</v>
      </c>
      <c r="U92" s="65">
        <v>125.2</v>
      </c>
      <c r="V92" s="65">
        <v>126.6</v>
      </c>
      <c r="W92" s="65">
        <v>126.1</v>
      </c>
      <c r="X92" s="89">
        <v>126.2</v>
      </c>
      <c r="Y92" s="65">
        <v>127.4</v>
      </c>
      <c r="Z92" s="65">
        <v>128.30000000000001</v>
      </c>
      <c r="AA92" s="65"/>
      <c r="AB92" s="65">
        <v>128.1</v>
      </c>
      <c r="AC92" s="65">
        <v>128.19999999999999</v>
      </c>
      <c r="AD92" s="65">
        <v>127.3</v>
      </c>
      <c r="AE92" s="65">
        <v>127.9</v>
      </c>
      <c r="AF92" s="65">
        <v>128.5</v>
      </c>
      <c r="AG92" s="92"/>
      <c r="AH92" s="48">
        <f t="shared" si="9"/>
        <v>129</v>
      </c>
      <c r="AI92" s="49">
        <f t="shared" si="10"/>
        <v>121.8</v>
      </c>
    </row>
    <row r="93" spans="1:37" ht="15.75" thickBot="1" x14ac:dyDescent="0.3">
      <c r="A93" s="91" t="s">
        <v>98</v>
      </c>
      <c r="B93" s="65">
        <v>131.1</v>
      </c>
      <c r="C93" s="65">
        <v>132.30000000000001</v>
      </c>
      <c r="D93" s="65">
        <v>132.19999999999999</v>
      </c>
      <c r="E93" s="65">
        <v>132</v>
      </c>
      <c r="F93" s="65">
        <v>132.19999999999999</v>
      </c>
      <c r="G93" s="65">
        <v>131</v>
      </c>
      <c r="H93" s="65">
        <v>129.9</v>
      </c>
      <c r="I93" s="65">
        <v>128.69999999999999</v>
      </c>
      <c r="J93" s="65">
        <v>127.8</v>
      </c>
      <c r="K93" s="65">
        <v>126.2</v>
      </c>
      <c r="L93" s="65">
        <v>125.3</v>
      </c>
      <c r="M93" s="65">
        <v>127.5</v>
      </c>
      <c r="N93" s="65">
        <v>127.1</v>
      </c>
      <c r="O93" s="65">
        <v>127.7</v>
      </c>
      <c r="P93" s="65">
        <v>128.80000000000001</v>
      </c>
      <c r="Q93" s="65">
        <v>128.6</v>
      </c>
      <c r="R93" s="65">
        <v>1278</v>
      </c>
      <c r="S93" s="65">
        <v>128</v>
      </c>
      <c r="T93" s="65">
        <v>128</v>
      </c>
      <c r="U93" s="65">
        <v>128.30000000000001</v>
      </c>
      <c r="V93" s="65">
        <v>129.30000000000001</v>
      </c>
      <c r="W93" s="65">
        <v>128.1</v>
      </c>
      <c r="X93" s="89">
        <v>128.4</v>
      </c>
      <c r="Y93" s="65">
        <v>129.30000000000001</v>
      </c>
      <c r="Z93" s="65">
        <v>130</v>
      </c>
      <c r="AA93" s="65"/>
      <c r="AB93" s="65">
        <v>130.69999999999999</v>
      </c>
      <c r="AC93" s="65">
        <v>130.80000000000001</v>
      </c>
      <c r="AD93" s="65">
        <v>130.4</v>
      </c>
      <c r="AE93" s="65">
        <v>131.4</v>
      </c>
      <c r="AF93" s="65">
        <v>132.1</v>
      </c>
      <c r="AG93" s="92"/>
      <c r="AH93" s="48">
        <f t="shared" si="9"/>
        <v>1278</v>
      </c>
      <c r="AI93" s="49">
        <f t="shared" si="10"/>
        <v>125.3</v>
      </c>
    </row>
    <row r="94" spans="1:37" ht="15.75" thickBot="1" x14ac:dyDescent="0.3">
      <c r="A94" s="91" t="s">
        <v>99</v>
      </c>
      <c r="B94" s="65">
        <v>131.69999999999999</v>
      </c>
      <c r="C94" s="65">
        <v>133</v>
      </c>
      <c r="D94" s="65">
        <v>132.69999999999999</v>
      </c>
      <c r="E94" s="65">
        <v>133.19999999999999</v>
      </c>
      <c r="F94" s="65">
        <v>132.4</v>
      </c>
      <c r="G94" s="65">
        <v>131.9</v>
      </c>
      <c r="H94" s="65">
        <v>130.69999999999999</v>
      </c>
      <c r="I94" s="65">
        <v>130.1</v>
      </c>
      <c r="J94" s="65">
        <v>129.4</v>
      </c>
      <c r="K94" s="65">
        <v>125.8</v>
      </c>
      <c r="L94" s="65">
        <v>126.1</v>
      </c>
      <c r="M94" s="65">
        <v>128.5</v>
      </c>
      <c r="N94" s="65">
        <v>129</v>
      </c>
      <c r="O94" s="65">
        <v>129.6</v>
      </c>
      <c r="P94" s="65">
        <v>129.5</v>
      </c>
      <c r="Q94" s="65">
        <v>131.4</v>
      </c>
      <c r="R94" s="65">
        <v>128.69999999999999</v>
      </c>
      <c r="S94" s="65">
        <v>128.80000000000001</v>
      </c>
      <c r="T94" s="65">
        <v>127.9</v>
      </c>
      <c r="U94" s="65">
        <v>129.30000000000001</v>
      </c>
      <c r="V94" s="65">
        <v>129.30000000000001</v>
      </c>
      <c r="W94" s="65">
        <v>126.8</v>
      </c>
      <c r="X94" s="89">
        <v>127.5</v>
      </c>
      <c r="Y94" s="65">
        <v>132.69999999999999</v>
      </c>
      <c r="Z94" s="65">
        <v>132.4</v>
      </c>
      <c r="AA94" s="65"/>
      <c r="AB94" s="65">
        <v>133.19999999999999</v>
      </c>
      <c r="AC94" s="65">
        <v>131.80000000000001</v>
      </c>
      <c r="AD94" s="65">
        <v>130.6</v>
      </c>
      <c r="AE94" s="65">
        <v>132.19999999999999</v>
      </c>
      <c r="AF94" s="65">
        <v>132</v>
      </c>
      <c r="AG94" s="92"/>
      <c r="AH94" s="48">
        <f t="shared" si="9"/>
        <v>133.19999999999999</v>
      </c>
      <c r="AI94" s="49">
        <f t="shared" si="10"/>
        <v>125.8</v>
      </c>
    </row>
    <row r="95" spans="1:37" ht="15.75" thickBot="1" x14ac:dyDescent="0.3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89"/>
      <c r="Y95" s="65"/>
      <c r="Z95" s="65"/>
      <c r="AA95" s="65"/>
      <c r="AB95" s="65"/>
      <c r="AC95" s="65"/>
      <c r="AD95" s="65"/>
      <c r="AE95" s="65"/>
      <c r="AF95" s="65"/>
      <c r="AG95" s="92"/>
      <c r="AH95" s="48">
        <f t="shared" si="9"/>
        <v>0</v>
      </c>
      <c r="AI95" s="49">
        <f t="shared" si="10"/>
        <v>0</v>
      </c>
    </row>
    <row r="96" spans="1:37" ht="15.75" thickBot="1" x14ac:dyDescent="0.3">
      <c r="A96" s="93" t="s">
        <v>101</v>
      </c>
      <c r="B96" s="94">
        <v>131.9</v>
      </c>
      <c r="C96" s="94">
        <v>133.6</v>
      </c>
      <c r="D96" s="94">
        <v>134.80000000000001</v>
      </c>
      <c r="E96" s="94">
        <v>134.80000000000001</v>
      </c>
      <c r="F96" s="94">
        <v>135.6</v>
      </c>
      <c r="G96" s="94">
        <v>132</v>
      </c>
      <c r="H96" s="94">
        <v>131.4</v>
      </c>
      <c r="I96" s="94">
        <v>132.6</v>
      </c>
      <c r="J96" s="94">
        <v>130.1</v>
      </c>
      <c r="K96" s="94">
        <v>129.4</v>
      </c>
      <c r="L96" s="94">
        <v>129.5</v>
      </c>
      <c r="M96" s="94">
        <v>134.30000000000001</v>
      </c>
      <c r="N96" s="94">
        <v>135.5</v>
      </c>
      <c r="O96" s="94">
        <v>133.80000000000001</v>
      </c>
      <c r="P96" s="94">
        <v>133.9</v>
      </c>
      <c r="Q96" s="94">
        <v>134.80000000000001</v>
      </c>
      <c r="R96" s="94">
        <v>134.69999999999999</v>
      </c>
      <c r="S96" s="94">
        <v>134.1</v>
      </c>
      <c r="T96" s="94">
        <v>133.4</v>
      </c>
      <c r="U96" s="94">
        <v>132.80000000000001</v>
      </c>
      <c r="V96" s="94">
        <v>135.30000000000001</v>
      </c>
      <c r="W96" s="94">
        <v>129.30000000000001</v>
      </c>
      <c r="X96" s="89">
        <v>132.4</v>
      </c>
      <c r="Y96" s="94">
        <v>135</v>
      </c>
      <c r="Z96" s="94">
        <v>134.9</v>
      </c>
      <c r="AA96" s="94"/>
      <c r="AB96" s="94">
        <v>134.1</v>
      </c>
      <c r="AC96" s="94">
        <v>134.30000000000001</v>
      </c>
      <c r="AD96" s="94">
        <v>132.1</v>
      </c>
      <c r="AE96" s="94">
        <v>134.1</v>
      </c>
      <c r="AF96" s="94">
        <v>135.6</v>
      </c>
      <c r="AG96" s="95"/>
      <c r="AH96" s="48">
        <f t="shared" si="9"/>
        <v>135.6</v>
      </c>
      <c r="AI96" s="49">
        <f t="shared" si="10"/>
        <v>129.30000000000001</v>
      </c>
    </row>
    <row r="97" spans="1:37" ht="15.75" thickBot="1" x14ac:dyDescent="0.3">
      <c r="A97" s="91" t="s">
        <v>102</v>
      </c>
      <c r="B97" s="65">
        <v>131.30000000000001</v>
      </c>
      <c r="C97" s="65">
        <v>134.4</v>
      </c>
      <c r="D97" s="65">
        <v>135.80000000000001</v>
      </c>
      <c r="E97" s="65">
        <v>135.19999999999999</v>
      </c>
      <c r="F97" s="65">
        <v>135.9</v>
      </c>
      <c r="G97" s="65">
        <v>132.69999999999999</v>
      </c>
      <c r="H97" s="65">
        <v>129.9</v>
      </c>
      <c r="I97" s="65">
        <v>129.9</v>
      </c>
      <c r="J97" s="65">
        <v>129.19999999999999</v>
      </c>
      <c r="K97" s="65">
        <v>128.30000000000001</v>
      </c>
      <c r="L97" s="65">
        <v>125.2</v>
      </c>
      <c r="M97" s="65">
        <v>131.1</v>
      </c>
      <c r="N97" s="65">
        <v>133.6</v>
      </c>
      <c r="O97" s="65">
        <v>132</v>
      </c>
      <c r="P97" s="65">
        <v>131.6</v>
      </c>
      <c r="Q97" s="65">
        <v>134.1</v>
      </c>
      <c r="R97" s="65">
        <v>33.700000000000003</v>
      </c>
      <c r="S97" s="65">
        <v>131.9</v>
      </c>
      <c r="T97" s="65">
        <v>131</v>
      </c>
      <c r="U97" s="65">
        <v>128.80000000000001</v>
      </c>
      <c r="V97" s="65">
        <v>133.9</v>
      </c>
      <c r="W97" s="65">
        <v>129.4</v>
      </c>
      <c r="X97" s="89">
        <v>129.30000000000001</v>
      </c>
      <c r="Y97" s="65">
        <v>131.4</v>
      </c>
      <c r="Z97" s="65">
        <v>131.6</v>
      </c>
      <c r="AA97" s="65"/>
      <c r="AB97" s="65">
        <v>132.69999999999999</v>
      </c>
      <c r="AC97" s="65">
        <v>133.30000000000001</v>
      </c>
      <c r="AD97" s="65">
        <v>130.4</v>
      </c>
      <c r="AE97" s="65">
        <v>132.4</v>
      </c>
      <c r="AF97" s="65">
        <v>134.30000000000001</v>
      </c>
      <c r="AG97" s="92"/>
      <c r="AH97" s="48">
        <f t="shared" si="9"/>
        <v>135.9</v>
      </c>
      <c r="AI97" s="49">
        <f t="shared" si="10"/>
        <v>33.700000000000003</v>
      </c>
    </row>
    <row r="98" spans="1:37" ht="15.75" thickBot="1" x14ac:dyDescent="0.3">
      <c r="A98" s="91" t="s">
        <v>104</v>
      </c>
      <c r="B98" s="96">
        <v>66.099999999999994</v>
      </c>
      <c r="C98" s="96">
        <v>66.599999999999994</v>
      </c>
      <c r="D98" s="96">
        <v>66.5</v>
      </c>
      <c r="E98" s="96">
        <v>66.400000000000006</v>
      </c>
      <c r="F98" s="96">
        <v>66.5</v>
      </c>
      <c r="G98" s="96">
        <v>65.900000000000006</v>
      </c>
      <c r="H98" s="96">
        <v>65.3</v>
      </c>
      <c r="I98" s="96">
        <v>64.599999999999994</v>
      </c>
      <c r="J98" s="96">
        <v>64.3</v>
      </c>
      <c r="K98" s="96">
        <v>63.6</v>
      </c>
      <c r="L98" s="96">
        <v>62.9</v>
      </c>
      <c r="M98" s="96">
        <v>64</v>
      </c>
      <c r="N98" s="96">
        <v>63.8</v>
      </c>
      <c r="O98" s="96">
        <v>64</v>
      </c>
      <c r="P98" s="96">
        <v>64.7</v>
      </c>
      <c r="Q98" s="96">
        <v>64.7</v>
      </c>
      <c r="R98" s="96">
        <v>64.3</v>
      </c>
      <c r="S98" s="96">
        <v>64.599999999999994</v>
      </c>
      <c r="T98" s="96">
        <v>64.3</v>
      </c>
      <c r="U98" s="96">
        <v>64.599999999999994</v>
      </c>
      <c r="V98" s="96">
        <v>64.5</v>
      </c>
      <c r="W98" s="96">
        <v>64.400000000000006</v>
      </c>
      <c r="X98" s="89">
        <v>64.5</v>
      </c>
      <c r="Y98" s="96">
        <v>65</v>
      </c>
      <c r="Z98" s="96">
        <v>65.400000000000006</v>
      </c>
      <c r="AA98" s="96"/>
      <c r="AB98" s="96">
        <v>66</v>
      </c>
      <c r="AC98" s="96">
        <v>66</v>
      </c>
      <c r="AD98" s="96">
        <v>65.8</v>
      </c>
      <c r="AE98" s="96">
        <v>66.5</v>
      </c>
      <c r="AF98" s="96">
        <v>66.900000000000006</v>
      </c>
      <c r="AG98" s="97"/>
      <c r="AH98" s="48">
        <f t="shared" si="9"/>
        <v>66.900000000000006</v>
      </c>
      <c r="AI98" s="49">
        <f t="shared" si="10"/>
        <v>62.9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 t="s">
        <v>248</v>
      </c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105</v>
      </c>
      <c r="B100" s="100">
        <f t="shared" ref="B100:AF100" si="21">SUM(B15,B20,B22:B23,B48,B50:B51,B53,B55,B101:B105,B127,B133,B139,B148,B150,B162,B169,B172:B173,B180,B182,B184,B188:B190,B192:B194,B199,B205:B206,B208:B210,B218,B223)</f>
        <v>66.100000000000009</v>
      </c>
      <c r="C100" s="100">
        <f t="shared" si="21"/>
        <v>57.939999999999984</v>
      </c>
      <c r="D100" s="100">
        <f t="shared" si="21"/>
        <v>57.240000000000009</v>
      </c>
      <c r="E100" s="100">
        <f t="shared" si="21"/>
        <v>51.639999999999986</v>
      </c>
      <c r="F100" s="100">
        <f t="shared" si="21"/>
        <v>55.239999999999981</v>
      </c>
      <c r="G100" s="100">
        <f t="shared" si="21"/>
        <v>77.739999999999995</v>
      </c>
      <c r="H100" s="100">
        <f t="shared" si="21"/>
        <v>102.14000000000001</v>
      </c>
      <c r="I100" s="100">
        <f t="shared" si="21"/>
        <v>140.43999999999997</v>
      </c>
      <c r="J100" s="100">
        <f t="shared" si="21"/>
        <v>188.43999999999997</v>
      </c>
      <c r="K100" s="100">
        <f t="shared" si="21"/>
        <v>219.53999999999996</v>
      </c>
      <c r="L100" s="100">
        <f t="shared" si="21"/>
        <v>260.83999999999997</v>
      </c>
      <c r="M100" s="100">
        <f t="shared" si="21"/>
        <v>262.14000000000004</v>
      </c>
      <c r="N100" s="100">
        <f t="shared" si="21"/>
        <v>237.33999999999997</v>
      </c>
      <c r="O100" s="100">
        <f t="shared" si="21"/>
        <v>226.44000000000003</v>
      </c>
      <c r="P100" s="100">
        <f t="shared" si="21"/>
        <v>200.54</v>
      </c>
      <c r="Q100" s="100">
        <f t="shared" si="21"/>
        <v>188.2</v>
      </c>
      <c r="R100" s="100">
        <f t="shared" si="21"/>
        <v>176.2</v>
      </c>
      <c r="S100" s="100">
        <f t="shared" si="21"/>
        <v>177.52000000000004</v>
      </c>
      <c r="T100" s="100">
        <f t="shared" si="21"/>
        <v>190.6</v>
      </c>
      <c r="U100" s="100">
        <f t="shared" si="21"/>
        <v>208</v>
      </c>
      <c r="V100" s="100">
        <f t="shared" si="21"/>
        <v>222.2</v>
      </c>
      <c r="W100" s="100">
        <f t="shared" si="21"/>
        <v>241.64999999999998</v>
      </c>
      <c r="X100" s="189">
        <v>312</v>
      </c>
      <c r="Y100" s="100">
        <f t="shared" si="21"/>
        <v>269.99999999999994</v>
      </c>
      <c r="Z100" s="100">
        <f t="shared" si="21"/>
        <v>281.78300000000002</v>
      </c>
      <c r="AA100" s="100">
        <f t="shared" si="21"/>
        <v>152.39999999999998</v>
      </c>
      <c r="AB100" s="100">
        <f t="shared" si="21"/>
        <v>228.90000000000003</v>
      </c>
      <c r="AC100" s="100">
        <f t="shared" si="21"/>
        <v>207.8</v>
      </c>
      <c r="AD100" s="100">
        <f t="shared" si="21"/>
        <v>185.7</v>
      </c>
      <c r="AE100" s="100">
        <f t="shared" si="21"/>
        <v>120.99999999999997</v>
      </c>
      <c r="AF100" s="100">
        <f t="shared" si="21"/>
        <v>76.499999999999986</v>
      </c>
      <c r="AG100" s="101"/>
      <c r="AH100" s="48">
        <f t="shared" si="9"/>
        <v>312</v>
      </c>
      <c r="AI100" s="49">
        <f t="shared" si="10"/>
        <v>51.639999999999986</v>
      </c>
    </row>
    <row r="101" spans="1:37" ht="15.75" thickBot="1" x14ac:dyDescent="0.3">
      <c r="A101" s="88" t="s">
        <v>106</v>
      </c>
      <c r="B101" s="102">
        <v>33.4</v>
      </c>
      <c r="C101" s="102">
        <v>20.100000000000001</v>
      </c>
      <c r="D101" s="102">
        <v>27.4</v>
      </c>
      <c r="E101" s="102">
        <v>28.6</v>
      </c>
      <c r="F101" s="102">
        <v>29.2</v>
      </c>
      <c r="G101" s="102">
        <v>36.200000000000003</v>
      </c>
      <c r="H101" s="102">
        <v>39.200000000000003</v>
      </c>
      <c r="I101" s="102">
        <v>49.8</v>
      </c>
      <c r="J101" s="102">
        <v>53.5</v>
      </c>
      <c r="K101" s="102">
        <v>48.7</v>
      </c>
      <c r="L101" s="102">
        <v>46.3</v>
      </c>
      <c r="M101" s="102">
        <v>45.2</v>
      </c>
      <c r="N101" s="102">
        <v>51.7</v>
      </c>
      <c r="O101" s="102">
        <v>54.3</v>
      </c>
      <c r="P101" s="102">
        <v>49.8</v>
      </c>
      <c r="Q101" s="102">
        <v>51.6</v>
      </c>
      <c r="R101" s="102">
        <v>54.8</v>
      </c>
      <c r="S101" s="102">
        <v>53.9</v>
      </c>
      <c r="T101" s="102">
        <v>55.4</v>
      </c>
      <c r="U101" s="102">
        <v>50.9</v>
      </c>
      <c r="V101" s="102">
        <v>50.8</v>
      </c>
      <c r="W101" s="102">
        <v>49.85</v>
      </c>
      <c r="X101" s="102">
        <v>34.6</v>
      </c>
      <c r="Y101" s="102">
        <v>47.1</v>
      </c>
      <c r="Z101" s="102">
        <v>53</v>
      </c>
      <c r="AA101" s="102"/>
      <c r="AB101" s="102">
        <v>58.9</v>
      </c>
      <c r="AC101" s="102">
        <v>57.1</v>
      </c>
      <c r="AD101" s="102">
        <v>60</v>
      </c>
      <c r="AE101" s="102">
        <v>46.8</v>
      </c>
      <c r="AF101" s="102">
        <v>31</v>
      </c>
      <c r="AG101" s="103">
        <v>75</v>
      </c>
      <c r="AH101" s="48">
        <f t="shared" si="9"/>
        <v>60</v>
      </c>
      <c r="AI101" s="49">
        <f t="shared" si="10"/>
        <v>20.100000000000001</v>
      </c>
    </row>
    <row r="102" spans="1:37" x14ac:dyDescent="0.25">
      <c r="A102" s="91" t="s">
        <v>107</v>
      </c>
      <c r="B102" s="104">
        <v>51.8</v>
      </c>
      <c r="C102" s="104">
        <v>34.1</v>
      </c>
      <c r="D102" s="104">
        <v>42.8</v>
      </c>
      <c r="E102" s="104">
        <v>44.4</v>
      </c>
      <c r="F102" s="104">
        <v>45</v>
      </c>
      <c r="G102" s="104">
        <v>56.1</v>
      </c>
      <c r="H102" s="104">
        <v>63.1</v>
      </c>
      <c r="I102" s="104">
        <v>78.7</v>
      </c>
      <c r="J102" s="104">
        <v>83.1</v>
      </c>
      <c r="K102" s="104">
        <v>75.2</v>
      </c>
      <c r="L102" s="104">
        <v>71.2</v>
      </c>
      <c r="M102" s="104">
        <v>65.3</v>
      </c>
      <c r="N102" s="104">
        <v>74.900000000000006</v>
      </c>
      <c r="O102" s="104">
        <v>78</v>
      </c>
      <c r="P102" s="104">
        <v>74.400000000000006</v>
      </c>
      <c r="Q102" s="104">
        <v>76.3</v>
      </c>
      <c r="R102" s="104">
        <v>81.5</v>
      </c>
      <c r="S102" s="104">
        <v>80.099999999999994</v>
      </c>
      <c r="T102" s="104">
        <v>81.5</v>
      </c>
      <c r="U102" s="104">
        <v>75.7</v>
      </c>
      <c r="V102" s="104">
        <v>73.900000000000006</v>
      </c>
      <c r="W102" s="104">
        <v>54.2</v>
      </c>
      <c r="X102" s="191">
        <v>49.5</v>
      </c>
      <c r="Y102" s="104">
        <v>66</v>
      </c>
      <c r="Z102" s="104">
        <v>76.599999999999994</v>
      </c>
      <c r="AA102" s="104"/>
      <c r="AB102" s="104">
        <v>85</v>
      </c>
      <c r="AC102" s="104">
        <v>84.7</v>
      </c>
      <c r="AD102" s="104">
        <v>89</v>
      </c>
      <c r="AE102" s="104">
        <v>69.099999999999994</v>
      </c>
      <c r="AF102" s="104">
        <v>49</v>
      </c>
      <c r="AG102" s="103">
        <v>240</v>
      </c>
      <c r="AH102" s="48">
        <f t="shared" si="9"/>
        <v>89</v>
      </c>
      <c r="AI102" s="49">
        <f t="shared" si="10"/>
        <v>34.1</v>
      </c>
    </row>
    <row r="103" spans="1:37" x14ac:dyDescent="0.25">
      <c r="A103" s="91" t="s">
        <v>108</v>
      </c>
      <c r="B103" s="104">
        <f>-67.1-71.4</f>
        <v>-138.5</v>
      </c>
      <c r="C103" s="104">
        <f>-57-60</f>
        <v>-117</v>
      </c>
      <c r="D103" s="104">
        <f>-64-67</f>
        <v>-131</v>
      </c>
      <c r="E103" s="104">
        <f>-66.7-70.7</f>
        <v>-137.4</v>
      </c>
      <c r="F103" s="104">
        <f>-66.4-70.6</f>
        <v>-137</v>
      </c>
      <c r="G103" s="104">
        <f>-66.9-70.8</f>
        <v>-137.69999999999999</v>
      </c>
      <c r="H103" s="104">
        <f>-65.7-69</f>
        <v>-134.69999999999999</v>
      </c>
      <c r="I103" s="104">
        <f>-62.6-65.7</f>
        <v>-128.30000000000001</v>
      </c>
      <c r="J103" s="104">
        <f>-45.7-49</f>
        <v>-94.7</v>
      </c>
      <c r="K103" s="104">
        <f>-27.4-30</f>
        <v>-57.4</v>
      </c>
      <c r="L103" s="104">
        <f>-8.1-8.5</f>
        <v>-16.600000000000001</v>
      </c>
      <c r="M103" s="104">
        <f>-5.5-5.7</f>
        <v>-11.2</v>
      </c>
      <c r="N103" s="104">
        <f>-22-25</f>
        <v>-47</v>
      </c>
      <c r="O103" s="104">
        <v>-66</v>
      </c>
      <c r="P103" s="104">
        <f>-40-44</f>
        <v>-84</v>
      </c>
      <c r="Q103" s="104">
        <f>-45-49</f>
        <v>-94</v>
      </c>
      <c r="R103" s="104">
        <f>-54-58</f>
        <v>-112</v>
      </c>
      <c r="S103" s="104">
        <f>-51.9-54.8</f>
        <v>-106.69999999999999</v>
      </c>
      <c r="T103" s="104">
        <f>-48.7-51.8</f>
        <v>-100.5</v>
      </c>
      <c r="U103" s="104">
        <f>-37.7-40.6</f>
        <v>-78.300000000000011</v>
      </c>
      <c r="V103" s="104">
        <v>-81</v>
      </c>
      <c r="W103" s="104">
        <v>-22.7</v>
      </c>
      <c r="X103" s="192">
        <v>-25.8</v>
      </c>
      <c r="Y103" s="104">
        <v>-16.5</v>
      </c>
      <c r="Z103" s="104">
        <v>-19.216999999999999</v>
      </c>
      <c r="AA103" s="104"/>
      <c r="AB103" s="104">
        <v>-80</v>
      </c>
      <c r="AC103" s="104">
        <v>-95</v>
      </c>
      <c r="AD103" s="104">
        <v>-120</v>
      </c>
      <c r="AE103" s="104">
        <v>-135</v>
      </c>
      <c r="AF103" s="104">
        <v>-135</v>
      </c>
      <c r="AG103" s="103">
        <v>240</v>
      </c>
      <c r="AH103" s="48">
        <f t="shared" si="9"/>
        <v>-11.2</v>
      </c>
      <c r="AI103" s="49">
        <f t="shared" si="10"/>
        <v>-138.5</v>
      </c>
    </row>
    <row r="104" spans="1:37" x14ac:dyDescent="0.25">
      <c r="A104" s="91" t="s">
        <v>109</v>
      </c>
      <c r="B104" s="104">
        <v>-7.7</v>
      </c>
      <c r="C104" s="104">
        <v>-7.3</v>
      </c>
      <c r="D104" s="104">
        <v>-10</v>
      </c>
      <c r="E104" s="104">
        <v>-12</v>
      </c>
      <c r="F104" s="104">
        <v>-10</v>
      </c>
      <c r="G104" s="104">
        <v>-10.3</v>
      </c>
      <c r="H104" s="104">
        <v>-8.5</v>
      </c>
      <c r="I104" s="104">
        <v>-7.9</v>
      </c>
      <c r="J104" s="104">
        <v>-1.6</v>
      </c>
      <c r="K104" s="104">
        <v>4.9000000000000004</v>
      </c>
      <c r="L104" s="104">
        <v>11.8</v>
      </c>
      <c r="M104" s="104">
        <v>15.1</v>
      </c>
      <c r="N104" s="104">
        <v>10</v>
      </c>
      <c r="O104" s="104">
        <v>7.4</v>
      </c>
      <c r="P104" s="104">
        <v>5.6</v>
      </c>
      <c r="Q104" s="104">
        <v>2.7</v>
      </c>
      <c r="R104" s="104">
        <v>0.3</v>
      </c>
      <c r="S104" s="104">
        <v>0</v>
      </c>
      <c r="T104" s="104">
        <v>2.6</v>
      </c>
      <c r="U104" s="104">
        <v>8</v>
      </c>
      <c r="V104" s="104">
        <v>26.8</v>
      </c>
      <c r="W104" s="104">
        <v>8.6999999999999993</v>
      </c>
      <c r="X104" s="193">
        <v>60.5</v>
      </c>
      <c r="Y104" s="104">
        <v>21.7</v>
      </c>
      <c r="Z104" s="104">
        <v>19.3</v>
      </c>
      <c r="AA104" s="104"/>
      <c r="AB104" s="104">
        <v>12.8</v>
      </c>
      <c r="AC104" s="104">
        <v>8.8000000000000007</v>
      </c>
      <c r="AD104" s="104">
        <v>4.5</v>
      </c>
      <c r="AE104" s="104">
        <v>-4.4000000000000004</v>
      </c>
      <c r="AF104" s="104">
        <v>-7.3</v>
      </c>
      <c r="AG104" s="103">
        <v>60</v>
      </c>
      <c r="AH104" s="48">
        <f t="shared" si="9"/>
        <v>60.5</v>
      </c>
      <c r="AI104" s="49">
        <f t="shared" si="10"/>
        <v>-12</v>
      </c>
    </row>
    <row r="105" spans="1:37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93">
        <v>0</v>
      </c>
      <c r="Y105" s="106">
        <v>0</v>
      </c>
      <c r="Z105" s="106">
        <v>0</v>
      </c>
      <c r="AA105" s="106"/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111</v>
      </c>
      <c r="B106" s="106">
        <v>-13.3</v>
      </c>
      <c r="C106" s="106">
        <v>6.1</v>
      </c>
      <c r="D106" s="106">
        <v>-3.2</v>
      </c>
      <c r="E106" s="106">
        <v>-10.6</v>
      </c>
      <c r="F106" s="106">
        <v>-18.7</v>
      </c>
      <c r="G106" s="106">
        <v>-15</v>
      </c>
      <c r="H106" s="106">
        <v>-8</v>
      </c>
      <c r="I106" s="106">
        <v>-1.3</v>
      </c>
      <c r="J106" s="106">
        <v>18.100000000000001</v>
      </c>
      <c r="K106" s="106">
        <v>52.2</v>
      </c>
      <c r="L106" s="106">
        <v>107.2</v>
      </c>
      <c r="M106" s="106">
        <v>95</v>
      </c>
      <c r="N106" s="106">
        <v>68.8</v>
      </c>
      <c r="O106" s="106">
        <v>42.3</v>
      </c>
      <c r="P106" s="106">
        <v>25</v>
      </c>
      <c r="Q106" s="106">
        <v>8.6999999999999993</v>
      </c>
      <c r="R106" s="106">
        <v>-1.5</v>
      </c>
      <c r="S106" s="106">
        <v>0</v>
      </c>
      <c r="T106" s="106">
        <v>6</v>
      </c>
      <c r="U106" s="106">
        <v>-19</v>
      </c>
      <c r="V106" s="106">
        <v>8.6999999999999993</v>
      </c>
      <c r="W106" s="106">
        <v>68.2</v>
      </c>
      <c r="X106" s="193">
        <v>64</v>
      </c>
      <c r="Y106" s="106">
        <v>61.8</v>
      </c>
      <c r="Z106" s="106">
        <v>22</v>
      </c>
      <c r="AA106" s="106"/>
      <c r="AB106" s="106">
        <v>10.199999999999999</v>
      </c>
      <c r="AC106" s="106">
        <v>-22.3</v>
      </c>
      <c r="AD106" s="106">
        <v>-35</v>
      </c>
      <c r="AE106" s="106">
        <v>-33</v>
      </c>
      <c r="AF106" s="106">
        <v>-25</v>
      </c>
      <c r="AG106" s="107"/>
      <c r="AH106" s="48">
        <f t="shared" si="9"/>
        <v>107.2</v>
      </c>
      <c r="AI106" s="49">
        <f t="shared" si="10"/>
        <v>-35</v>
      </c>
    </row>
    <row r="107" spans="1:37" x14ac:dyDescent="0.25">
      <c r="A107" s="105" t="s">
        <v>112</v>
      </c>
      <c r="B107" s="106">
        <v>-7.5</v>
      </c>
      <c r="C107" s="106">
        <v>8.8000000000000007</v>
      </c>
      <c r="D107" s="106">
        <v>8.1</v>
      </c>
      <c r="E107" s="106">
        <v>3.4</v>
      </c>
      <c r="F107" s="106">
        <v>4.0999999999999996</v>
      </c>
      <c r="G107" s="106">
        <v>4.3</v>
      </c>
      <c r="H107" s="106">
        <v>19.7</v>
      </c>
      <c r="I107" s="106">
        <v>10.3</v>
      </c>
      <c r="J107" s="106">
        <v>10.8</v>
      </c>
      <c r="K107" s="106">
        <v>22.6</v>
      </c>
      <c r="L107" s="106">
        <v>30.2</v>
      </c>
      <c r="M107" s="106">
        <v>37.4</v>
      </c>
      <c r="N107" s="106">
        <v>20.3</v>
      </c>
      <c r="O107" s="106">
        <v>13.6</v>
      </c>
      <c r="P107" s="106">
        <v>20.100000000000001</v>
      </c>
      <c r="Q107" s="106">
        <v>14</v>
      </c>
      <c r="R107" s="106">
        <v>6.4</v>
      </c>
      <c r="S107" s="106">
        <v>10</v>
      </c>
      <c r="T107" s="106">
        <v>7.7</v>
      </c>
      <c r="U107" s="106">
        <v>-17.100000000000001</v>
      </c>
      <c r="V107" s="106">
        <v>7.5</v>
      </c>
      <c r="W107" s="106">
        <v>43.3</v>
      </c>
      <c r="X107" s="194">
        <v>55.6</v>
      </c>
      <c r="Y107" s="106">
        <v>35.1</v>
      </c>
      <c r="Z107" s="106">
        <v>17.8</v>
      </c>
      <c r="AA107" s="106"/>
      <c r="AB107" s="106">
        <v>4.5</v>
      </c>
      <c r="AC107" s="106">
        <v>5.4</v>
      </c>
      <c r="AD107" s="106">
        <v>-3</v>
      </c>
      <c r="AE107" s="106">
        <v>3</v>
      </c>
      <c r="AF107" s="106">
        <v>12</v>
      </c>
      <c r="AG107" s="108"/>
      <c r="AH107" s="48">
        <f t="shared" si="9"/>
        <v>55.6</v>
      </c>
      <c r="AI107" s="49">
        <f t="shared" si="10"/>
        <v>-17.100000000000001</v>
      </c>
    </row>
    <row r="108" spans="1:37" x14ac:dyDescent="0.25">
      <c r="A108" s="109" t="s">
        <v>113</v>
      </c>
      <c r="B108" s="94">
        <v>65.599999999999994</v>
      </c>
      <c r="C108" s="94">
        <v>66.2</v>
      </c>
      <c r="D108" s="94">
        <v>68.2</v>
      </c>
      <c r="E108" s="94">
        <v>70.099999999999994</v>
      </c>
      <c r="F108" s="94">
        <v>69.5</v>
      </c>
      <c r="G108" s="94">
        <v>67.099999999999994</v>
      </c>
      <c r="H108" s="94">
        <v>61</v>
      </c>
      <c r="I108" s="94">
        <v>59.7</v>
      </c>
      <c r="J108" s="94">
        <v>53</v>
      </c>
      <c r="K108" s="94">
        <v>48.5</v>
      </c>
      <c r="L108" s="94">
        <v>41.5</v>
      </c>
      <c r="M108" s="94">
        <v>37.700000000000003</v>
      </c>
      <c r="N108" s="94">
        <v>44.3</v>
      </c>
      <c r="O108" s="94">
        <v>49.7</v>
      </c>
      <c r="P108" s="94">
        <v>528</v>
      </c>
      <c r="Q108" s="94">
        <v>52.1</v>
      </c>
      <c r="R108" s="94">
        <v>53.8</v>
      </c>
      <c r="S108" s="94">
        <v>53.2</v>
      </c>
      <c r="T108" s="94">
        <v>52</v>
      </c>
      <c r="U108" s="94">
        <v>48.3</v>
      </c>
      <c r="V108" s="94">
        <v>39.1</v>
      </c>
      <c r="W108" s="94">
        <v>25.2</v>
      </c>
      <c r="X108" s="194">
        <v>30</v>
      </c>
      <c r="Y108" s="94">
        <v>35</v>
      </c>
      <c r="Z108" s="94">
        <v>38.4</v>
      </c>
      <c r="AA108" s="94"/>
      <c r="AB108" s="94">
        <v>33.1</v>
      </c>
      <c r="AC108" s="94">
        <v>50</v>
      </c>
      <c r="AD108" s="94">
        <v>54</v>
      </c>
      <c r="AE108" s="94">
        <v>59</v>
      </c>
      <c r="AF108" s="94">
        <v>58</v>
      </c>
      <c r="AG108" s="108"/>
      <c r="AH108" s="48">
        <f t="shared" si="9"/>
        <v>528</v>
      </c>
      <c r="AI108" s="49">
        <f t="shared" si="10"/>
        <v>25.2</v>
      </c>
    </row>
    <row r="109" spans="1:37" ht="15.75" thickBot="1" x14ac:dyDescent="0.3">
      <c r="A109" s="109" t="s">
        <v>114</v>
      </c>
      <c r="B109" s="94">
        <v>102.5</v>
      </c>
      <c r="C109" s="94">
        <v>79</v>
      </c>
      <c r="D109" s="94">
        <v>95</v>
      </c>
      <c r="E109" s="94">
        <v>99.2</v>
      </c>
      <c r="F109" s="94">
        <v>96.9</v>
      </c>
      <c r="G109" s="94">
        <v>99.8</v>
      </c>
      <c r="H109" s="94">
        <v>99</v>
      </c>
      <c r="I109" s="94">
        <v>100.1</v>
      </c>
      <c r="J109" s="94">
        <v>75.5</v>
      </c>
      <c r="K109" s="94">
        <v>43</v>
      </c>
      <c r="L109" s="94">
        <v>15.4</v>
      </c>
      <c r="M109" s="94">
        <v>14</v>
      </c>
      <c r="N109" s="94">
        <v>40.299999999999997</v>
      </c>
      <c r="O109" s="94">
        <v>52</v>
      </c>
      <c r="P109" s="94">
        <v>60.2</v>
      </c>
      <c r="Q109" s="94">
        <v>70.5</v>
      </c>
      <c r="R109" s="94">
        <v>83.7</v>
      </c>
      <c r="S109" s="94">
        <v>78.599999999999994</v>
      </c>
      <c r="T109" s="94">
        <v>72.900000000000006</v>
      </c>
      <c r="U109" s="94">
        <v>58.5</v>
      </c>
      <c r="V109" s="94">
        <v>61</v>
      </c>
      <c r="W109" s="94">
        <v>11.2</v>
      </c>
      <c r="X109" s="94">
        <v>-13.2</v>
      </c>
      <c r="Y109" s="94">
        <v>7.3</v>
      </c>
      <c r="Z109" s="94">
        <v>30.5</v>
      </c>
      <c r="AA109" s="94"/>
      <c r="AB109" s="94">
        <v>65.599999999999994</v>
      </c>
      <c r="AC109" s="94">
        <v>79.7</v>
      </c>
      <c r="AD109" s="94">
        <v>90</v>
      </c>
      <c r="AE109" s="94">
        <v>96</v>
      </c>
      <c r="AF109" s="94">
        <v>100</v>
      </c>
      <c r="AG109" s="108"/>
      <c r="AH109" s="48">
        <f t="shared" si="9"/>
        <v>102.5</v>
      </c>
      <c r="AI109" s="49">
        <f t="shared" si="10"/>
        <v>-13.2</v>
      </c>
    </row>
    <row r="110" spans="1:37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226" t="s">
        <v>249</v>
      </c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1593.3400000000001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7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2079/08/7)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2079/08/7)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6">B81</f>
        <v>1239.74</v>
      </c>
      <c r="U238" s="159">
        <f t="shared" si="26"/>
        <v>985.24</v>
      </c>
      <c r="V238" s="159">
        <f t="shared" si="26"/>
        <v>990.04</v>
      </c>
      <c r="W238" s="159">
        <f t="shared" si="26"/>
        <v>981.94</v>
      </c>
      <c r="X238" s="159">
        <f t="shared" si="26"/>
        <v>980.94</v>
      </c>
      <c r="Y238" s="159">
        <f t="shared" si="26"/>
        <v>1025.1400000000001</v>
      </c>
      <c r="Z238" s="159">
        <f t="shared" si="26"/>
        <v>1064.24</v>
      </c>
      <c r="AA238" s="159">
        <f t="shared" si="26"/>
        <v>1173.1400000000001</v>
      </c>
      <c r="AB238" s="159">
        <f t="shared" si="26"/>
        <v>1253.1400000000001</v>
      </c>
      <c r="AC238" s="159">
        <f t="shared" si="26"/>
        <v>1505.14</v>
      </c>
      <c r="AD238" s="159">
        <f t="shared" si="26"/>
        <v>1593.3400000000001</v>
      </c>
      <c r="AE238" s="159">
        <f t="shared" si="26"/>
        <v>1577.4400000000003</v>
      </c>
      <c r="AF238" s="159">
        <f t="shared" si="26"/>
        <v>1561.4400000000003</v>
      </c>
      <c r="AG238" s="159">
        <f t="shared" si="26"/>
        <v>1500.1400000000003</v>
      </c>
      <c r="AH238" s="159">
        <f t="shared" si="26"/>
        <v>1393.14</v>
      </c>
      <c r="AI238" s="159">
        <f t="shared" si="26"/>
        <v>1278.94</v>
      </c>
      <c r="AJ238" s="159">
        <f t="shared" si="26"/>
        <v>1258.94</v>
      </c>
      <c r="AK238" s="159">
        <f t="shared" si="26"/>
        <v>1238.76</v>
      </c>
      <c r="AL238" s="159">
        <f t="shared" si="26"/>
        <v>1219.6400000000001</v>
      </c>
      <c r="AM238" s="159">
        <f t="shared" si="26"/>
        <v>1215.4400000000003</v>
      </c>
      <c r="AN238" s="159">
        <f t="shared" si="26"/>
        <v>1291.6400000000003</v>
      </c>
      <c r="AO238" s="159">
        <f t="shared" si="26"/>
        <v>1521.8400000000001</v>
      </c>
      <c r="AP238" s="159">
        <f t="shared" si="26"/>
        <v>1615.44</v>
      </c>
      <c r="AQ238" s="159">
        <f t="shared" si="26"/>
        <v>1426.54</v>
      </c>
      <c r="AR238" s="159">
        <f t="shared" si="26"/>
        <v>1310.7400000000002</v>
      </c>
      <c r="AS238" s="159">
        <f t="shared" si="26"/>
        <v>1310.8400000000001</v>
      </c>
      <c r="AT238" s="159">
        <f t="shared" si="26"/>
        <v>1310.3400000000001</v>
      </c>
      <c r="AU238" s="159">
        <f t="shared" si="26"/>
        <v>1330.3400000000001</v>
      </c>
      <c r="AV238" s="159">
        <f t="shared" si="26"/>
        <v>1195.94</v>
      </c>
      <c r="AW238" s="159">
        <f t="shared" si="26"/>
        <v>1023.8400000000001</v>
      </c>
      <c r="AX238" s="159">
        <f t="shared" si="26"/>
        <v>1079.74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5">
    <cfRule type="expression" dxfId="187" priority="147">
      <formula>$AH11=0</formula>
    </cfRule>
  </conditionalFormatting>
  <conditionalFormatting sqref="B8 M8 S8 AB8">
    <cfRule type="expression" dxfId="186" priority="377">
      <formula>AND(C$9&gt;=14/24,C$9&lt;20/24)</formula>
    </cfRule>
    <cfRule type="expression" dxfId="185" priority="378">
      <formula>AND(C$9&gt;=8/24,C$9&lt;14/24)</formula>
    </cfRule>
    <cfRule type="expression" dxfId="184" priority="379">
      <formula>C$9&lt;8/24</formula>
    </cfRule>
  </conditionalFormatting>
  <conditionalFormatting sqref="B41:B44 C44:W44 Y44:AG44">
    <cfRule type="expression" dxfId="183" priority="202">
      <formula>AND(B$9&gt;=8/24,B$9&lt;14/24)</formula>
    </cfRule>
    <cfRule type="expression" dxfId="182" priority="203">
      <formula>B$9&lt;8/24</formula>
    </cfRule>
  </conditionalFormatting>
  <conditionalFormatting sqref="B45:D47">
    <cfRule type="expression" dxfId="180" priority="257">
      <formula>AND(B$9&gt;=8/24,B$9&lt;14/24)</formula>
    </cfRule>
    <cfRule type="expression" dxfId="179" priority="258">
      <formula>B$9&lt;8/24</formula>
    </cfRule>
  </conditionalFormatting>
  <conditionalFormatting sqref="B39:K39">
    <cfRule type="expression" dxfId="178" priority="270">
      <formula>AND(B$9&gt;=8/24,B$9&lt;14/24)</formula>
    </cfRule>
    <cfRule type="expression" dxfId="177" priority="271">
      <formula>B$9&lt;8/24</formula>
    </cfRule>
  </conditionalFormatting>
  <conditionalFormatting sqref="B30:L30">
    <cfRule type="expression" dxfId="176" priority="135">
      <formula>AND(B$9&gt;=8/24,B$9&lt;14/24)</formula>
    </cfRule>
    <cfRule type="expression" dxfId="175" priority="136">
      <formula>B$9&lt;8/24</formula>
    </cfRule>
  </conditionalFormatting>
  <conditionalFormatting sqref="B11:R11">
    <cfRule type="expression" dxfId="174" priority="274">
      <formula>AND(B$9&gt;=8/24,B$9&lt;14/24)</formula>
    </cfRule>
    <cfRule type="expression" dxfId="173" priority="275">
      <formula>B$9&lt;8/24</formula>
    </cfRule>
    <cfRule type="expression" dxfId="172" priority="273">
      <formula>AND(B$9&gt;=14/24,B$9&lt;20/24)</formula>
    </cfRule>
    <cfRule type="expression" dxfId="171" priority="272">
      <formula>B$9&gt;=20/24</formula>
    </cfRule>
  </conditionalFormatting>
  <conditionalFormatting sqref="B11:R16">
    <cfRule type="expression" dxfId="170" priority="267">
      <formula>B11&gt;$AG11</formula>
    </cfRule>
  </conditionalFormatting>
  <conditionalFormatting sqref="B12:R15">
    <cfRule type="expression" dxfId="169" priority="237">
      <formula>B$9&gt;=20/24</formula>
    </cfRule>
    <cfRule type="expression" dxfId="168" priority="238">
      <formula>AND(B$9&gt;=14/24,B$9&lt;20/24)</formula>
    </cfRule>
    <cfRule type="expression" dxfId="167" priority="240">
      <formula>B$9&lt;8/24</formula>
    </cfRule>
    <cfRule type="expression" dxfId="166" priority="239">
      <formula>AND(B$9&gt;=8/24,B$9&lt;14/24)</formula>
    </cfRule>
  </conditionalFormatting>
  <conditionalFormatting sqref="B50:S56">
    <cfRule type="expression" dxfId="165" priority="228">
      <formula>B$9&gt;=20/24</formula>
    </cfRule>
    <cfRule type="expression" dxfId="164" priority="230">
      <formula>AND(B$9&gt;=8/24,B$9&lt;14/24)</formula>
    </cfRule>
    <cfRule type="expression" dxfId="163" priority="231">
      <formula>B$9&lt;8/24</formula>
    </cfRule>
    <cfRule type="expression" dxfId="162" priority="229">
      <formula>AND(B$9&gt;=14/24,B$9&lt;20/24)</formula>
    </cfRule>
  </conditionalFormatting>
  <conditionalFormatting sqref="B17:W17">
    <cfRule type="expression" dxfId="161" priority="152">
      <formula>B$9&lt;8/24</formula>
    </cfRule>
    <cfRule type="expression" dxfId="160" priority="149">
      <formula>B$9&gt;=20/24</formula>
    </cfRule>
    <cfRule type="expression" dxfId="159" priority="150">
      <formula>AND(B$9&gt;=14/24,B$9&lt;20/24)</formula>
    </cfRule>
    <cfRule type="expression" dxfId="158" priority="151">
      <formula>AND(B$9&gt;=8/24,B$9&lt;14/24)</formula>
    </cfRule>
  </conditionalFormatting>
  <conditionalFormatting sqref="B18:W19 B24:W24">
    <cfRule type="expression" dxfId="157" priority="221">
      <formula>AND(B$9&gt;=8/24,B$9&lt;14/24)</formula>
    </cfRule>
    <cfRule type="expression" dxfId="156" priority="222">
      <formula>B$9&lt;8/24</formula>
    </cfRule>
  </conditionalFormatting>
  <conditionalFormatting sqref="B18:W24">
    <cfRule type="expression" dxfId="155" priority="219">
      <formula>B$9&gt;=20/24</formula>
    </cfRule>
    <cfRule type="expression" dxfId="154" priority="220">
      <formula>AND(B$9&gt;=14/24,B$9&lt;20/24)</formula>
    </cfRule>
  </conditionalFormatting>
  <conditionalFormatting sqref="B19:W24">
    <cfRule type="expression" dxfId="153" priority="218">
      <formula>B19&gt;$AG19</formula>
    </cfRule>
  </conditionalFormatting>
  <conditionalFormatting sqref="B25:W27 B29:W29 B31:L34 M32:W34 C59:R61 B59:B62 C62:W62 Y62:AG62 Y79:AG79 Y80:AF81">
    <cfRule type="expression" dxfId="152" priority="252">
      <formula>AND(B$9&gt;=8/24,B$9&lt;14/24)</formula>
    </cfRule>
    <cfRule type="expression" dxfId="151" priority="253">
      <formula>B$9&lt;8/24</formula>
    </cfRule>
  </conditionalFormatting>
  <conditionalFormatting sqref="B25:W27 B29:W29 Y62:AG62 Y79:AG79 Y80:AF81">
    <cfRule type="expression" dxfId="150" priority="250">
      <formula>B$9&gt;=20/24</formula>
    </cfRule>
    <cfRule type="expression" dxfId="149" priority="251">
      <formula>AND(B$9&gt;=14/24,B$9&lt;20/24)</formula>
    </cfRule>
  </conditionalFormatting>
  <conditionalFormatting sqref="B25:W29 Y40:AG40">
    <cfRule type="expression" dxfId="148" priority="245">
      <formula>B25&gt;$AG25</formula>
    </cfRule>
  </conditionalFormatting>
  <conditionalFormatting sqref="B28:W28">
    <cfRule type="expression" dxfId="147" priority="225">
      <formula>AND(B$9&gt;=8/24,B$9&lt;14/24)</formula>
    </cfRule>
    <cfRule type="expression" dxfId="146" priority="226">
      <formula>B$9&lt;8/24</formula>
    </cfRule>
    <cfRule type="expression" dxfId="145" priority="224">
      <formula>AND(B$9&gt;=14/24,B$9&lt;20/24)</formula>
    </cfRule>
    <cfRule type="expression" dxfId="144" priority="223">
      <formula>B$9&gt;=20/24</formula>
    </cfRule>
  </conditionalFormatting>
  <conditionalFormatting sqref="B30:W36">
    <cfRule type="expression" dxfId="143" priority="132">
      <formula>B30&gt;$AG30</formula>
    </cfRule>
  </conditionalFormatting>
  <conditionalFormatting sqref="B30:W37">
    <cfRule type="expression" dxfId="142" priority="134">
      <formula>AND(B$9&gt;=14/24,B$9&lt;20/24)</formula>
    </cfRule>
    <cfRule type="expression" dxfId="141" priority="133">
      <formula>B$9&gt;=20/24</formula>
    </cfRule>
  </conditionalFormatting>
  <conditionalFormatting sqref="B35:W35">
    <cfRule type="expression" dxfId="140" priority="248">
      <formula>AND(B$9&gt;=8/24,B$9&lt;14/24)</formula>
    </cfRule>
    <cfRule type="expression" dxfId="139" priority="249">
      <formula>B$9&lt;8/24</formula>
    </cfRule>
  </conditionalFormatting>
  <conditionalFormatting sqref="B36:W37">
    <cfRule type="expression" dxfId="138" priority="235">
      <formula>AND(B$9&gt;=8/24,B$9&lt;14/24)</formula>
    </cfRule>
    <cfRule type="expression" dxfId="137" priority="236">
      <formula>B$9&lt;8/24</formula>
    </cfRule>
  </conditionalFormatting>
  <conditionalFormatting sqref="B39:W39">
    <cfRule type="expression" dxfId="136" priority="269">
      <formula>AND(B$9&gt;=14/24,B$9&lt;20/24)</formula>
    </cfRule>
    <cfRule type="expression" dxfId="135" priority="268">
      <formula>B$9&gt;=20/24</formula>
    </cfRule>
  </conditionalFormatting>
  <conditionalFormatting sqref="B39:W62 Y44:AG44">
    <cfRule type="expression" dxfId="134" priority="199">
      <formula>B39&gt;$AG39</formula>
    </cfRule>
  </conditionalFormatting>
  <conditionalFormatting sqref="B41:W47 Y44:AG44">
    <cfRule type="expression" dxfId="133" priority="201">
      <formula>AND(B$9&gt;=14/24,B$9&lt;20/24)</formula>
    </cfRule>
    <cfRule type="expression" dxfId="132" priority="200">
      <formula>B$9&gt;=20/24</formula>
    </cfRule>
  </conditionalFormatting>
  <conditionalFormatting sqref="B59:W81 Y63:AF78">
    <cfRule type="expression" dxfId="131" priority="213">
      <formula>B$9&gt;=20/24</formula>
    </cfRule>
    <cfRule type="expression" dxfId="130" priority="214">
      <formula>AND(B$9&gt;=14/24,B$9&lt;20/24)</formula>
    </cfRule>
  </conditionalFormatting>
  <conditionalFormatting sqref="B9:AF10 AB11:AF11 B16:W16 AB16:AF16 B216:AF216 B218:B224 D218:AF224 U237:AF237 AB20:AF20 B20:W23">
    <cfRule type="expression" dxfId="125" priority="372">
      <formula>AND(B$9&gt;=8/24,B$9&lt;14/24)</formula>
    </cfRule>
  </conditionalFormatting>
  <conditionalFormatting sqref="B9:AF10 AB11:AF11 B16:W16 AB16:AF16 B216:AF216 B218:B224 D218:AF224 U237:AF237">
    <cfRule type="expression" dxfId="124" priority="371">
      <formula>AND(B$9&gt;=14/24,B$9&lt;20/24)</formula>
    </cfRule>
  </conditionalFormatting>
  <conditionalFormatting sqref="B9:AF10 AB11:AF11 B16:W16 AB16:AF16 AB20:AF20 B20:W23 B216:AF216 B218:B224 D218:AF224 U237:AF237">
    <cfRule type="expression" dxfId="123" priority="373">
      <formula>B$9&lt;8/24</formula>
    </cfRule>
  </conditionalFormatting>
  <conditionalFormatting sqref="B38:AF38">
    <cfRule type="expression" dxfId="122" priority="254">
      <formula>B38&gt;$AG38</formula>
    </cfRule>
    <cfRule type="expression" dxfId="121" priority="262">
      <formula>B$9&lt;8/24</formula>
    </cfRule>
    <cfRule type="expression" dxfId="120" priority="261">
      <formula>AND(B$9&gt;=8/24,B$9&lt;14/24)</formula>
    </cfRule>
    <cfRule type="expression" dxfId="119" priority="260">
      <formula>AND(B$9&gt;=14/24,B$9&lt;20/24)</formula>
    </cfRule>
    <cfRule type="expression" dxfId="118" priority="259">
      <formula>B$9&gt;=20/24</formula>
    </cfRule>
  </conditionalFormatting>
  <conditionalFormatting sqref="B83:AF99">
    <cfRule type="expression" dxfId="117" priority="30">
      <formula>B$9&gt;=20/24</formula>
    </cfRule>
    <cfRule type="expression" dxfId="116" priority="31">
      <formula>AND(B$9&gt;=14/24,B$9&lt;20/24)</formula>
    </cfRule>
    <cfRule type="expression" dxfId="115" priority="32">
      <formula>AND(B$9&gt;=8/24,B$9&lt;14/24)</formula>
    </cfRule>
    <cfRule type="expression" dxfId="114" priority="33">
      <formula>B$9&lt;8/24</formula>
    </cfRule>
  </conditionalFormatting>
  <conditionalFormatting sqref="B101:AF108">
    <cfRule type="expression" dxfId="113" priority="29">
      <formula>B$9&lt;8/24</formula>
    </cfRule>
    <cfRule type="expression" dxfId="112" priority="28">
      <formula>AND(B$9&gt;=8/24,B$9&lt;14/24)</formula>
    </cfRule>
    <cfRule type="expression" dxfId="111" priority="27">
      <formula>AND(B$9&gt;=14/24,B$9&lt;20/24)</formula>
    </cfRule>
    <cfRule type="expression" dxfId="110" priority="26">
      <formula>B$9&gt;=20/24</formula>
    </cfRule>
  </conditionalFormatting>
  <conditionalFormatting sqref="E45:W47 Z45:AF47">
    <cfRule type="expression" dxfId="105" priority="334">
      <formula>AND(E$9&gt;=8/24,E$9&lt;14/24)</formula>
    </cfRule>
    <cfRule type="expression" dxfId="104" priority="335">
      <formula>E$9&lt;8/24</formula>
    </cfRule>
  </conditionalFormatting>
  <conditionalFormatting sqref="M30:W30">
    <cfRule type="expression" dxfId="103" priority="140">
      <formula>AND(M$9&gt;=8/24,M$9&lt;14/24)</formula>
    </cfRule>
    <cfRule type="expression" dxfId="102" priority="141">
      <formula>M$9&lt;8/24</formula>
    </cfRule>
  </conditionalFormatting>
  <conditionalFormatting sqref="O3:P3">
    <cfRule type="iconSet" priority="37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01" priority="376">
      <formula>C$9&gt;=20/24</formula>
    </cfRule>
  </conditionalFormatting>
  <conditionalFormatting sqref="S8">
    <cfRule type="expression" dxfId="100" priority="346">
      <formula>AND(U$9&gt;=14/24,U$9&lt;20/24)</formula>
    </cfRule>
    <cfRule type="expression" dxfId="99" priority="345">
      <formula>U$9&gt;=20/24</formula>
    </cfRule>
    <cfRule type="expression" dxfId="98" priority="348">
      <formula>U$9&lt;8/24</formula>
    </cfRule>
    <cfRule type="expression" dxfId="97" priority="347">
      <formula>AND(U$9&gt;=8/24,U$9&lt;14/24)</formula>
    </cfRule>
  </conditionalFormatting>
  <conditionalFormatting sqref="S11:W14 L39:R39 S59:W61 Y59:AF61">
    <cfRule type="expression" dxfId="96" priority="330">
      <formula>L$9&lt;8/24</formula>
    </cfRule>
    <cfRule type="expression" dxfId="95" priority="329">
      <formula>AND(L$9&gt;=8/24,L$9&lt;14/24)</formula>
    </cfRule>
  </conditionalFormatting>
  <conditionalFormatting sqref="S11:W15 AB12:AF15">
    <cfRule type="expression" dxfId="94" priority="314">
      <formula>S$9&gt;=20/24</formula>
    </cfRule>
    <cfRule type="expression" dxfId="93" priority="315">
      <formula>AND(S$9&gt;=14/24,S$9&lt;20/24)</formula>
    </cfRule>
  </conditionalFormatting>
  <conditionalFormatting sqref="S11:W16 AB11:AF16 AB18:AF18 B37:W37 B18:W18 X12:AA12">
    <cfRule type="expression" dxfId="92" priority="364">
      <formula>B11&gt;$AG11</formula>
    </cfRule>
  </conditionalFormatting>
  <conditionalFormatting sqref="S39:W39 AB39:AF39">
    <cfRule type="expression" dxfId="91" priority="368">
      <formula>S$9&lt;8/24</formula>
    </cfRule>
    <cfRule type="expression" dxfId="90" priority="367">
      <formula>AND(S$9&gt;=8/24,S$9&lt;14/24)</formula>
    </cfRule>
  </conditionalFormatting>
  <conditionalFormatting sqref="S11:AA11 X13:AA37 AB19:AF37 X39:AF39">
    <cfRule type="expression" dxfId="89" priority="17">
      <formula>S11&gt;$AG11</formula>
    </cfRule>
  </conditionalFormatting>
  <conditionalFormatting sqref="T237">
    <cfRule type="expression" dxfId="88" priority="389">
      <formula>AX$9&gt;=20/24</formula>
    </cfRule>
    <cfRule type="expression" dxfId="87" priority="390">
      <formula>AND(AX$9&gt;=14/24,AX$9&lt;20/24)</formula>
    </cfRule>
    <cfRule type="expression" dxfId="86" priority="391">
      <formula>AND(AX$9&gt;=8/24,AX$9&lt;14/24)</formula>
    </cfRule>
    <cfRule type="expression" dxfId="85" priority="392">
      <formula>AX$9&lt;8/24</formula>
    </cfRule>
  </conditionalFormatting>
  <conditionalFormatting sqref="T48:U56 Z50:AF51 V50:W56">
    <cfRule type="expression" dxfId="84" priority="302">
      <formula>AND(T$9&gt;=8/24,T$9&lt;14/24)</formula>
    </cfRule>
    <cfRule type="expression" dxfId="83" priority="303">
      <formula>T$9&lt;8/24</formula>
    </cfRule>
  </conditionalFormatting>
  <conditionalFormatting sqref="T48:W56">
    <cfRule type="expression" dxfId="82" priority="301">
      <formula>AND(T$9&gt;=14/24,T$9&lt;20/24)</formula>
    </cfRule>
    <cfRule type="expression" dxfId="81" priority="300">
      <formula>T$9&gt;=20/24</formula>
    </cfRule>
  </conditionalFormatting>
  <conditionalFormatting sqref="V3 AB3">
    <cfRule type="iconSet" priority="375">
      <iconSet iconSet="3TrafficLights2" reverse="1">
        <cfvo type="percent" val="0"/>
        <cfvo type="num" val="1"/>
        <cfvo type="num" val="1"/>
      </iconSet>
    </cfRule>
  </conditionalFormatting>
  <conditionalFormatting sqref="V48:W49 Z48:AC49">
    <cfRule type="expression" dxfId="80" priority="307">
      <formula>AND(V$9&gt;=8/24,V$9&lt;14/24)</formula>
    </cfRule>
    <cfRule type="expression" dxfId="79" priority="308">
      <formula>V$9&lt;8/24</formula>
    </cfRule>
  </conditionalFormatting>
  <conditionalFormatting sqref="X40:X43">
    <cfRule type="expression" dxfId="78" priority="11">
      <formula>X40&gt;$AG40</formula>
    </cfRule>
  </conditionalFormatting>
  <conditionalFormatting sqref="X41:X43 Y43">
    <cfRule type="expression" dxfId="77" priority="15">
      <formula>AND(X$9&gt;=8/24,X$9&lt;14/24)</formula>
    </cfRule>
    <cfRule type="expression" dxfId="76" priority="16">
      <formula>X$9&lt;8/24</formula>
    </cfRule>
  </conditionalFormatting>
  <conditionalFormatting sqref="X44">
    <cfRule type="expression" dxfId="75" priority="119">
      <formula>X$9="PEAK"</formula>
    </cfRule>
  </conditionalFormatting>
  <conditionalFormatting sqref="X59:X61">
    <cfRule type="expression" dxfId="74" priority="4">
      <formula>AND(X$9&gt;=8/24,X$9&lt;14/24)</formula>
    </cfRule>
    <cfRule type="expression" dxfId="73" priority="5">
      <formula>X$9&lt;8/24</formula>
    </cfRule>
  </conditionalFormatting>
  <conditionalFormatting sqref="X62:X63">
    <cfRule type="expression" dxfId="72" priority="83">
      <formula>X$9&gt;=20/24</formula>
    </cfRule>
    <cfRule type="expression" dxfId="71" priority="84">
      <formula>AND(X$9&gt;=14/24,X$9&lt;20/24)</formula>
    </cfRule>
    <cfRule type="expression" dxfId="70" priority="86">
      <formula>X$9&lt;8/24</formula>
    </cfRule>
    <cfRule type="expression" dxfId="69" priority="85">
      <formula>AND(X$9&gt;=8/24,X$9&lt;14/24)</formula>
    </cfRule>
  </conditionalFormatting>
  <conditionalFormatting sqref="X64:X74">
    <cfRule type="expression" dxfId="68" priority="69">
      <formula>X$9&lt;8/24</formula>
    </cfRule>
    <cfRule type="expression" dxfId="67" priority="68">
      <formula>AND(X$9&gt;=8/24,X$9&lt;14/24)</formula>
    </cfRule>
    <cfRule type="expression" dxfId="66" priority="67">
      <formula>AND(X$9&gt;=14/24,X$9&lt;20/24)</formula>
    </cfRule>
    <cfRule type="expression" dxfId="65" priority="66">
      <formula>X$9&gt;=20/24</formula>
    </cfRule>
  </conditionalFormatting>
  <conditionalFormatting sqref="X75:X76">
    <cfRule type="expression" dxfId="64" priority="126">
      <formula>X$9="PEAK"</formula>
    </cfRule>
  </conditionalFormatting>
  <conditionalFormatting sqref="X77:X79">
    <cfRule type="expression" dxfId="63" priority="65">
      <formula>X$9&lt;8/24</formula>
    </cfRule>
    <cfRule type="expression" dxfId="62" priority="64">
      <formula>AND(X$9&gt;=8/24,X$9&lt;14/24)</formula>
    </cfRule>
    <cfRule type="expression" dxfId="61" priority="63">
      <formula>AND(X$9&gt;=14/24,X$9&lt;20/24)</formula>
    </cfRule>
    <cfRule type="expression" dxfId="60" priority="62">
      <formula>X$9&gt;=20/24</formula>
    </cfRule>
  </conditionalFormatting>
  <conditionalFormatting sqref="X80">
    <cfRule type="expression" dxfId="59" priority="124">
      <formula>X$9="PEAK"</formula>
    </cfRule>
  </conditionalFormatting>
  <conditionalFormatting sqref="X81">
    <cfRule type="expression" dxfId="58" priority="54">
      <formula>X$9&gt;=20/24</formula>
    </cfRule>
    <cfRule type="expression" dxfId="57" priority="55">
      <formula>AND(X$9&gt;=14/24,X$9&lt;20/24)</formula>
    </cfRule>
    <cfRule type="expression" dxfId="56" priority="56">
      <formula>AND(X$9&gt;=8/24,X$9&lt;14/24)</formula>
    </cfRule>
    <cfRule type="expression" dxfId="55" priority="57">
      <formula>X$9&lt;8/24</formula>
    </cfRule>
  </conditionalFormatting>
  <conditionalFormatting sqref="X100">
    <cfRule type="expression" dxfId="50" priority="106">
      <formula>X$101="PN"</formula>
    </cfRule>
  </conditionalFormatting>
  <conditionalFormatting sqref="X45:Y56">
    <cfRule type="expression" dxfId="48" priority="10">
      <formula>X$9&lt;8/24</formula>
    </cfRule>
    <cfRule type="expression" dxfId="47" priority="9">
      <formula>AND(X$9&gt;=8/24,X$9&lt;14/24)</formula>
    </cfRule>
    <cfRule type="expression" dxfId="46" priority="8">
      <formula>AND(X$9&gt;=14/24,X$9&lt;20/24)</formula>
    </cfRule>
    <cfRule type="expression" dxfId="45" priority="7">
      <formula>X$9&gt;=20/24</formula>
    </cfRule>
  </conditionalFormatting>
  <conditionalFormatting sqref="X11:AA37 AB17:AF37 X39:AF39">
    <cfRule type="expression" dxfId="44" priority="18">
      <formula>X$9&gt;=20/24</formula>
    </cfRule>
    <cfRule type="expression" dxfId="43" priority="19">
      <formula>AND(X$9&gt;=14/24,X$9&lt;20/24)</formula>
    </cfRule>
  </conditionalFormatting>
  <conditionalFormatting sqref="X11:AA37 AB21:AF37 X39:AA39">
    <cfRule type="expression" dxfId="42" priority="21">
      <formula>X$9&lt;8/24</formula>
    </cfRule>
    <cfRule type="expression" dxfId="41" priority="20">
      <formula>AND(X$9&gt;=8/24,X$9&lt;14/24)</formula>
    </cfRule>
  </conditionalFormatting>
  <conditionalFormatting sqref="X41:AF43">
    <cfRule type="expression" dxfId="40" priority="14">
      <formula>AND(X$9&gt;=14/24,X$9&lt;20/24)</formula>
    </cfRule>
    <cfRule type="expression" dxfId="39" priority="13">
      <formula>X$9&gt;=20/24</formula>
    </cfRule>
  </conditionalFormatting>
  <conditionalFormatting sqref="X45:AF56">
    <cfRule type="expression" dxfId="38" priority="6">
      <formula>X45&gt;$AG45</formula>
    </cfRule>
  </conditionalFormatting>
  <conditionalFormatting sqref="X59:AF61">
    <cfRule type="expression" dxfId="37" priority="2">
      <formula>X$9&gt;=20/24</formula>
    </cfRule>
    <cfRule type="expression" dxfId="36" priority="3">
      <formula>AND(X$9&gt;=14/24,X$9&lt;20/24)</formula>
    </cfRule>
    <cfRule type="expression" dxfId="35" priority="1">
      <formula>X59&gt;$AG59</formula>
    </cfRule>
  </conditionalFormatting>
  <conditionalFormatting sqref="X57:AG58">
    <cfRule type="expression" dxfId="34" priority="96">
      <formula>X57&gt;$AG57</formula>
    </cfRule>
  </conditionalFormatting>
  <conditionalFormatting sqref="X62:AG62">
    <cfRule type="expression" dxfId="33" priority="82">
      <formula>X62&gt;$AG62</formula>
    </cfRule>
  </conditionalFormatting>
  <conditionalFormatting sqref="Y41:Z42 C41:W43 AA41:AF43 Z43">
    <cfRule type="expression" dxfId="32" priority="207">
      <formula>AND(C$9&gt;=8/24,C$9&lt;14/24)</formula>
    </cfRule>
    <cfRule type="expression" dxfId="31" priority="208">
      <formula>C$9&lt;8/24</formula>
    </cfRule>
  </conditionalFormatting>
  <conditionalFormatting sqref="Y41:AF43">
    <cfRule type="expression" dxfId="30" priority="12">
      <formula>Y41&gt;$AG41</formula>
    </cfRule>
  </conditionalFormatting>
  <conditionalFormatting sqref="Y63:AF78 B63:W81">
    <cfRule type="expression" dxfId="29" priority="215">
      <formula>AND(B$9&gt;=8/24,B$9&lt;14/24)</formula>
    </cfRule>
    <cfRule type="expression" dxfId="28" priority="216">
      <formula>B$9&lt;8/24</formula>
    </cfRule>
  </conditionalFormatting>
  <conditionalFormatting sqref="Z48:AC49">
    <cfRule type="expression" dxfId="27" priority="305">
      <formula>Z$9&gt;=20/24</formula>
    </cfRule>
    <cfRule type="expression" dxfId="26" priority="306">
      <formula>AND(Z$9&gt;=14/24,Z$9&lt;20/24)</formula>
    </cfRule>
  </conditionalFormatting>
  <conditionalFormatting sqref="Z45:AF47">
    <cfRule type="expression" dxfId="25" priority="333">
      <formula>AND(Z$9&gt;=14/24,Z$9&lt;20/24)</formula>
    </cfRule>
    <cfRule type="expression" dxfId="24" priority="332">
      <formula>Z$9&gt;=20/24</formula>
    </cfRule>
  </conditionalFormatting>
  <conditionalFormatting sqref="Z50:AF56">
    <cfRule type="expression" dxfId="23" priority="162">
      <formula>AND(Z$9&gt;=14/24,Z$9&lt;20/24)</formula>
    </cfRule>
    <cfRule type="expression" dxfId="22" priority="161">
      <formula>Z$9&gt;=20/24</formula>
    </cfRule>
  </conditionalFormatting>
  <conditionalFormatting sqref="Z52:AF56">
    <cfRule type="expression" dxfId="21" priority="164">
      <formula>Z$9&lt;8/24</formula>
    </cfRule>
    <cfRule type="expression" dxfId="20" priority="163">
      <formula>AND(Z$9&gt;=8/24,Z$9&lt;14/24)</formula>
    </cfRule>
  </conditionalFormatting>
  <conditionalFormatting sqref="AB8">
    <cfRule type="expression" dxfId="19" priority="344">
      <formula>AD$9&lt;8/24</formula>
    </cfRule>
    <cfRule type="expression" dxfId="18" priority="342">
      <formula>AND(AD$9&gt;=14/24,AD$9&lt;20/24)</formula>
    </cfRule>
    <cfRule type="expression" dxfId="17" priority="341">
      <formula>AD$9&gt;=20/24</formula>
    </cfRule>
    <cfRule type="expression" dxfId="16" priority="343">
      <formula>AND(AD$9&gt;=8/24,AD$9&lt;14/24)</formula>
    </cfRule>
  </conditionalFormatting>
  <conditionalFormatting sqref="AB11:AF11 B16:W16 AB16:AF16 B9:AF10 B216:AF216 B218:B224 D218:AF224 U237:AF237">
    <cfRule type="expression" dxfId="15" priority="370">
      <formula>B$9&gt;=20/24</formula>
    </cfRule>
  </conditionalFormatting>
  <conditionalFormatting sqref="AB12:AF15 S15:W15">
    <cfRule type="expression" dxfId="14" priority="316">
      <formula>AND(S$9&gt;=8/24,S$9&lt;14/24)</formula>
    </cfRule>
    <cfRule type="expression" dxfId="13" priority="317">
      <formula>S$9&lt;8/24</formula>
    </cfRule>
  </conditionalFormatting>
  <conditionalFormatting sqref="AB17:AF17 B17:W17">
    <cfRule type="expression" dxfId="12" priority="158">
      <formula>B17&gt;$AG17</formula>
    </cfRule>
  </conditionalFormatting>
  <conditionalFormatting sqref="AB17:AF17">
    <cfRule type="expression" dxfId="11" priority="156">
      <formula>AB$9&lt;8/24</formula>
    </cfRule>
    <cfRule type="expression" dxfId="10" priority="155">
      <formula>AND(AB$9&gt;=8/24,AB$9&lt;14/24)</formula>
    </cfRule>
  </conditionalFormatting>
  <conditionalFormatting sqref="AB18:AF19 M31:W31">
    <cfRule type="expression" dxfId="9" priority="293">
      <formula>AND(M$9&gt;=8/24,M$9&lt;14/24)</formula>
    </cfRule>
    <cfRule type="expression" dxfId="8" priority="294">
      <formula>M$9&lt;8/24</formula>
    </cfRule>
  </conditionalFormatting>
  <conditionalFormatting sqref="AG237">
    <cfRule type="expression" dxfId="7" priority="383">
      <formula>AND(B$9&gt;=8/24,B$9&lt;14/24)</formula>
    </cfRule>
    <cfRule type="expression" dxfId="6" priority="381">
      <formula>B$9&gt;=20/24</formula>
    </cfRule>
    <cfRule type="expression" dxfId="5" priority="382">
      <formula>AND(B$9&gt;=14/24,B$9&lt;20/24)</formula>
    </cfRule>
    <cfRule type="expression" dxfId="4" priority="384">
      <formula>B$9&lt;8/24</formula>
    </cfRule>
  </conditionalFormatting>
  <conditionalFormatting sqref="AH237:AX237">
    <cfRule type="expression" dxfId="3" priority="388">
      <formula>AG$9&lt;8/24</formula>
    </cfRule>
    <cfRule type="expression" dxfId="2" priority="385">
      <formula>AG$9&gt;=20/24</formula>
    </cfRule>
    <cfRule type="expression" dxfId="1" priority="386">
      <formula>AND(AG$9&gt;=14/24,AG$9&lt;20/24)</formula>
    </cfRule>
    <cfRule type="expression" dxfId="0" priority="387">
      <formula>AND(AG$9&gt;=8/24,AG$9&lt;14/24)</formula>
    </cfRule>
  </conditionalFormatting>
  <conditionalFormatting sqref="AL4:AL6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AL17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361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AL37 AL34 AL18:AL29 AL7:AL16 AL31:AL32">
    <cfRule type="iconSet" priority="393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8" id="{7C8807F8-0672-4F6D-A6D5-DD8B0A91C83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  <x14:conditionalFormatting xmlns:xm="http://schemas.microsoft.com/office/excel/2006/main">
          <x14:cfRule type="expression" priority="189" id="{C8F43CC2-79E3-496B-BA92-308CBD9A73A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8" id="{85EF14F8-76B5-4733-9991-B548E1F8D8E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7" id="{90B33239-EAE6-4C39-9968-C187951B491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6" id="{63785C14-659A-4402-A2B9-5E2AEFB6D8B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B82:W82 Y82:AF82</xm:sqref>
        </x14:conditionalFormatting>
        <x14:conditionalFormatting xmlns:xm="http://schemas.microsoft.com/office/excel/2006/main">
          <x14:cfRule type="expression" priority="23" id="{E7E5D343-4D55-4177-9D3F-EDB7EA43F7E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177D649F-3996-4835-991E-71FA1AA1226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4" id="{4FF07314-652D-42EC-AA5C-5E56243CB14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B109:AF109</xm:sqref>
        </x14:conditionalFormatting>
        <x14:conditionalFormatting xmlns:xm="http://schemas.microsoft.com/office/excel/2006/main">
          <x14:cfRule type="expression" priority="182" id="{F6B44FA8-6032-49FD-9010-520BBCD9527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C109:W109 Y109:AF109</xm:sqref>
        </x14:conditionalFormatting>
        <x14:conditionalFormatting xmlns:xm="http://schemas.microsoft.com/office/excel/2006/main">
          <x14:cfRule type="expression" priority="61" id="{54C75FFA-37AF-41F4-A481-85D237CA6E2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8" id="{9C8AF337-B61E-4ECB-8C71-C640CCAE947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9" id="{39164A66-048E-4D3C-820B-6F9E735F61B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0" id="{9D43E6E4-0E8B-4465-B469-8C41EE5A662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X82</xm:sqref>
        </x14:conditionalFormatting>
        <x14:conditionalFormatting xmlns:xm="http://schemas.microsoft.com/office/excel/2006/main">
          <x14:cfRule type="expression" priority="25" id="{CF89C67E-BB5A-4335-9F3E-1AAFCEC817D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X109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38" sqref="B3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3" width="6.85546875" style="1" customWidth="1"/>
    <col min="24" max="24" width="7.140625" style="1" customWidth="1"/>
    <col min="25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AG40</f>
        <v>707.78000000000009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AG58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2079/08/8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AG62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C74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>X73</f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B74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1585MW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1303.69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Load=978</v>
      </c>
      <c r="B7" s="35">
        <f t="shared" ref="B7:AF7" si="1">B81</f>
        <v>1108.24</v>
      </c>
      <c r="C7" s="35">
        <f t="shared" si="1"/>
        <v>978.24</v>
      </c>
      <c r="D7" s="35">
        <f t="shared" si="1"/>
        <v>985.6400000000001</v>
      </c>
      <c r="E7" s="35">
        <f t="shared" si="1"/>
        <v>987.1400000000001</v>
      </c>
      <c r="F7" s="35">
        <f t="shared" si="1"/>
        <v>979.04</v>
      </c>
      <c r="G7" s="35">
        <f t="shared" si="1"/>
        <v>1023.5400000000002</v>
      </c>
      <c r="H7" s="35">
        <f t="shared" si="1"/>
        <v>1093.6400000000001</v>
      </c>
      <c r="I7" s="35">
        <f t="shared" si="1"/>
        <v>1176.24</v>
      </c>
      <c r="J7" s="35">
        <f t="shared" si="1"/>
        <v>1219.8400000000001</v>
      </c>
      <c r="K7" s="35">
        <f t="shared" si="1"/>
        <v>1518.7400000000002</v>
      </c>
      <c r="L7" s="35">
        <f t="shared" si="1"/>
        <v>1584.7400000000002</v>
      </c>
      <c r="M7" s="35">
        <f t="shared" si="1"/>
        <v>1577.2400000000002</v>
      </c>
      <c r="N7" s="35">
        <f t="shared" si="1"/>
        <v>1525.2400000000002</v>
      </c>
      <c r="O7" s="35">
        <f t="shared" si="1"/>
        <v>1406.3400000000001</v>
      </c>
      <c r="P7" s="35">
        <f t="shared" si="1"/>
        <v>1375.2400000000002</v>
      </c>
      <c r="Q7" s="35">
        <f t="shared" si="1"/>
        <v>1370.2400000000002</v>
      </c>
      <c r="R7" s="35">
        <f t="shared" si="1"/>
        <v>1237.2400000000002</v>
      </c>
      <c r="S7" s="35">
        <f t="shared" si="1"/>
        <v>1178.44</v>
      </c>
      <c r="T7" s="35">
        <f t="shared" si="1"/>
        <v>1189.3400000000001</v>
      </c>
      <c r="U7" s="35">
        <f t="shared" si="1"/>
        <v>1278.94</v>
      </c>
      <c r="V7" s="35">
        <f t="shared" si="1"/>
        <v>1316.14</v>
      </c>
      <c r="W7" s="35">
        <f t="shared" si="1"/>
        <v>1470.14</v>
      </c>
      <c r="X7" s="35">
        <f t="shared" si="1"/>
        <v>1604.7400000000002</v>
      </c>
      <c r="Y7" s="35">
        <f t="shared" si="1"/>
        <v>1570.8400000000001</v>
      </c>
      <c r="Z7" s="35">
        <f t="shared" si="1"/>
        <v>1430.64</v>
      </c>
      <c r="AA7" s="35">
        <f t="shared" si="1"/>
        <v>1300.8400000000001</v>
      </c>
      <c r="AB7" s="35">
        <f t="shared" si="1"/>
        <v>1274.6400000000001</v>
      </c>
      <c r="AC7" s="35">
        <f t="shared" si="1"/>
        <v>1272.6400000000001</v>
      </c>
      <c r="AD7" s="35">
        <f t="shared" si="1"/>
        <v>1239.6400000000001</v>
      </c>
      <c r="AE7" s="35">
        <f t="shared" si="1"/>
        <v>1097.0400000000002</v>
      </c>
      <c r="AF7" s="35">
        <f t="shared" si="1"/>
        <v>1074.8400000000001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34.700000000000003</v>
      </c>
      <c r="C11" s="45">
        <v>34.700000000000003</v>
      </c>
      <c r="D11" s="45">
        <v>34.700000000000003</v>
      </c>
      <c r="E11" s="45">
        <v>34.299999999999997</v>
      </c>
      <c r="F11" s="45">
        <v>34.299999999999997</v>
      </c>
      <c r="G11" s="45">
        <v>34.299999999999997</v>
      </c>
      <c r="H11" s="45">
        <v>34.299999999999997</v>
      </c>
      <c r="I11" s="45">
        <v>34.299999999999997</v>
      </c>
      <c r="J11" s="45">
        <v>34.299999999999997</v>
      </c>
      <c r="K11" s="45">
        <v>34.299999999999997</v>
      </c>
      <c r="L11" s="45">
        <v>34.299999999999997</v>
      </c>
      <c r="M11" s="45">
        <v>33.299999999999997</v>
      </c>
      <c r="N11" s="45">
        <v>33.299999999999997</v>
      </c>
      <c r="O11" s="45">
        <v>33.299999999999997</v>
      </c>
      <c r="P11" s="45">
        <v>33.299999999999997</v>
      </c>
      <c r="Q11" s="45">
        <v>33.299999999999997</v>
      </c>
      <c r="R11" s="45">
        <v>33.299999999999997</v>
      </c>
      <c r="S11" s="45">
        <v>33.4</v>
      </c>
      <c r="T11" s="46">
        <v>31.8</v>
      </c>
      <c r="U11" s="46">
        <v>32.200000000000003</v>
      </c>
      <c r="V11" s="46">
        <v>33</v>
      </c>
      <c r="W11" s="46">
        <v>33</v>
      </c>
      <c r="X11" s="45">
        <v>33</v>
      </c>
      <c r="Y11" s="45">
        <v>33</v>
      </c>
      <c r="Z11" s="45">
        <v>33</v>
      </c>
      <c r="AA11" s="45">
        <v>33</v>
      </c>
      <c r="AB11" s="46">
        <v>32.5</v>
      </c>
      <c r="AC11" s="46">
        <v>32.5</v>
      </c>
      <c r="AD11" s="46">
        <v>32.5</v>
      </c>
      <c r="AE11" s="46">
        <v>32.5</v>
      </c>
      <c r="AF11" s="46">
        <v>32.5</v>
      </c>
      <c r="AG11" s="47">
        <v>52.4</v>
      </c>
      <c r="AH11" s="48">
        <f>MAX(B11:AF11)</f>
        <v>34.700000000000003</v>
      </c>
      <c r="AI11" s="49">
        <f>MIN(B11:AF11)</f>
        <v>31.8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50.5</v>
      </c>
      <c r="T12" s="45">
        <v>50.3</v>
      </c>
      <c r="U12" s="45">
        <v>50.3</v>
      </c>
      <c r="V12" s="45">
        <v>50.1</v>
      </c>
      <c r="W12" s="45">
        <v>50.1</v>
      </c>
      <c r="X12" s="45">
        <v>50.1</v>
      </c>
      <c r="Y12" s="45">
        <v>50.1</v>
      </c>
      <c r="Z12" s="45">
        <v>50.1</v>
      </c>
      <c r="AA12" s="45">
        <v>50.2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5" si="2">MAX(B12:AF12)</f>
        <v>50.5</v>
      </c>
      <c r="AI12" s="49">
        <f t="shared" ref="AI12:AI75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31.5</v>
      </c>
      <c r="C13" s="45">
        <v>31.5</v>
      </c>
      <c r="D13" s="45">
        <v>31.5</v>
      </c>
      <c r="E13" s="45">
        <v>31.1</v>
      </c>
      <c r="F13" s="45">
        <v>31.1</v>
      </c>
      <c r="G13" s="45">
        <v>31.1</v>
      </c>
      <c r="H13" s="45">
        <v>30</v>
      </c>
      <c r="I13" s="45">
        <v>30</v>
      </c>
      <c r="J13" s="45">
        <v>30</v>
      </c>
      <c r="K13" s="45">
        <v>30</v>
      </c>
      <c r="L13" s="45">
        <v>30</v>
      </c>
      <c r="M13" s="45">
        <v>28.4</v>
      </c>
      <c r="N13" s="45">
        <v>28.4</v>
      </c>
      <c r="O13" s="45">
        <v>28.4</v>
      </c>
      <c r="P13" s="45">
        <v>28.4</v>
      </c>
      <c r="Q13" s="45">
        <v>28.4</v>
      </c>
      <c r="R13" s="45">
        <v>28.4</v>
      </c>
      <c r="S13" s="45">
        <v>28.3</v>
      </c>
      <c r="T13" s="45">
        <v>31.8</v>
      </c>
      <c r="U13" s="45">
        <v>31.8</v>
      </c>
      <c r="V13" s="45">
        <v>29.2</v>
      </c>
      <c r="W13" s="45">
        <v>29.2</v>
      </c>
      <c r="X13" s="45">
        <v>29.2</v>
      </c>
      <c r="Y13" s="45">
        <v>29.2</v>
      </c>
      <c r="Z13" s="45">
        <v>29.2</v>
      </c>
      <c r="AA13" s="45">
        <v>32.700000000000003</v>
      </c>
      <c r="AB13" s="45">
        <v>30</v>
      </c>
      <c r="AC13" s="45">
        <v>30</v>
      </c>
      <c r="AD13" s="45">
        <v>30</v>
      </c>
      <c r="AE13" s="45">
        <v>30</v>
      </c>
      <c r="AF13" s="45">
        <v>30</v>
      </c>
      <c r="AG13" s="51">
        <v>45</v>
      </c>
      <c r="AH13" s="48">
        <f t="shared" si="2"/>
        <v>32.700000000000003</v>
      </c>
      <c r="AI13" s="49">
        <f t="shared" si="3"/>
        <v>28.3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20</v>
      </c>
      <c r="C14" s="45">
        <v>20</v>
      </c>
      <c r="D14" s="45">
        <v>20</v>
      </c>
      <c r="E14" s="45">
        <v>20</v>
      </c>
      <c r="F14" s="45">
        <v>20</v>
      </c>
      <c r="G14" s="45">
        <v>20</v>
      </c>
      <c r="H14" s="45">
        <v>19</v>
      </c>
      <c r="I14" s="45">
        <v>19</v>
      </c>
      <c r="J14" s="45">
        <v>21</v>
      </c>
      <c r="K14" s="45">
        <v>18</v>
      </c>
      <c r="L14" s="45">
        <v>18</v>
      </c>
      <c r="M14" s="45">
        <v>18</v>
      </c>
      <c r="N14" s="45">
        <v>17</v>
      </c>
      <c r="O14" s="45">
        <v>17</v>
      </c>
      <c r="P14" s="45">
        <v>17</v>
      </c>
      <c r="Q14" s="45">
        <v>17</v>
      </c>
      <c r="R14" s="45">
        <v>17</v>
      </c>
      <c r="S14" s="45">
        <v>18.5</v>
      </c>
      <c r="T14" s="45">
        <v>18.5</v>
      </c>
      <c r="U14" s="45">
        <v>18.5</v>
      </c>
      <c r="V14" s="45">
        <v>18.5</v>
      </c>
      <c r="W14" s="45">
        <v>18.5</v>
      </c>
      <c r="X14" s="45">
        <v>18.5</v>
      </c>
      <c r="Y14" s="45">
        <v>18.5</v>
      </c>
      <c r="Z14" s="45">
        <v>18.5</v>
      </c>
      <c r="AA14" s="45">
        <v>18.5</v>
      </c>
      <c r="AB14" s="45">
        <v>18.5</v>
      </c>
      <c r="AC14" s="45">
        <v>18.5</v>
      </c>
      <c r="AD14" s="45">
        <v>18.5</v>
      </c>
      <c r="AE14" s="45">
        <v>18.5</v>
      </c>
      <c r="AF14" s="45">
        <v>18.5</v>
      </c>
      <c r="AG14" s="51">
        <v>42</v>
      </c>
      <c r="AH14" s="48">
        <f t="shared" si="2"/>
        <v>21</v>
      </c>
      <c r="AI14" s="49">
        <f t="shared" si="3"/>
        <v>17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5</v>
      </c>
      <c r="C15" s="45">
        <v>0</v>
      </c>
      <c r="D15" s="45">
        <v>0</v>
      </c>
      <c r="E15" s="45">
        <v>0</v>
      </c>
      <c r="F15" s="45">
        <v>0</v>
      </c>
      <c r="G15" s="45">
        <v>15.4</v>
      </c>
      <c r="H15" s="45">
        <v>20</v>
      </c>
      <c r="I15" s="45">
        <v>20</v>
      </c>
      <c r="J15" s="45">
        <v>19.8</v>
      </c>
      <c r="K15" s="45">
        <v>19.8</v>
      </c>
      <c r="L15" s="45">
        <v>19.8</v>
      </c>
      <c r="M15" s="45">
        <v>17.3</v>
      </c>
      <c r="N15" s="45">
        <v>16.8</v>
      </c>
      <c r="O15" s="45">
        <v>16.8</v>
      </c>
      <c r="P15" s="45">
        <v>16.8</v>
      </c>
      <c r="Q15" s="45">
        <v>16.8</v>
      </c>
      <c r="R15" s="45">
        <v>16.8</v>
      </c>
      <c r="S15" s="45">
        <v>7.9</v>
      </c>
      <c r="T15" s="45">
        <v>18.100000000000001</v>
      </c>
      <c r="U15" s="45">
        <v>18.100000000000001</v>
      </c>
      <c r="V15" s="45">
        <v>17.600000000000001</v>
      </c>
      <c r="W15" s="45">
        <v>17.600000000000001</v>
      </c>
      <c r="X15" s="45">
        <v>17.600000000000001</v>
      </c>
      <c r="Y15" s="45">
        <v>17.600000000000001</v>
      </c>
      <c r="Z15" s="45">
        <v>17.600000000000001</v>
      </c>
      <c r="AA15" s="45">
        <v>17.8</v>
      </c>
      <c r="AB15" s="45">
        <v>18.2</v>
      </c>
      <c r="AC15" s="45">
        <v>18.2</v>
      </c>
      <c r="AD15" s="45">
        <v>18.2</v>
      </c>
      <c r="AE15" s="45">
        <v>18.2</v>
      </c>
      <c r="AF15" s="45">
        <v>0</v>
      </c>
      <c r="AG15" s="52">
        <v>30</v>
      </c>
      <c r="AH15" s="48">
        <f t="shared" si="2"/>
        <v>20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15.9</v>
      </c>
      <c r="C16" s="45">
        <v>15.9</v>
      </c>
      <c r="D16" s="45">
        <v>15.9</v>
      </c>
      <c r="E16" s="45">
        <v>15.9</v>
      </c>
      <c r="F16" s="45">
        <v>15.9</v>
      </c>
      <c r="G16" s="45">
        <v>15.9</v>
      </c>
      <c r="H16" s="45">
        <v>15.6</v>
      </c>
      <c r="I16" s="45">
        <v>15.6</v>
      </c>
      <c r="J16" s="45">
        <v>15.6</v>
      </c>
      <c r="K16" s="45">
        <v>15.6</v>
      </c>
      <c r="L16" s="45">
        <v>15.6</v>
      </c>
      <c r="M16" s="45">
        <v>15.6</v>
      </c>
      <c r="N16" s="45">
        <v>15.5</v>
      </c>
      <c r="O16" s="45">
        <v>15.5</v>
      </c>
      <c r="P16" s="45">
        <v>15.5</v>
      </c>
      <c r="Q16" s="45">
        <v>15.5</v>
      </c>
      <c r="R16" s="45">
        <v>15.5</v>
      </c>
      <c r="S16" s="45">
        <v>14.9</v>
      </c>
      <c r="T16" s="45">
        <v>15.1</v>
      </c>
      <c r="U16" s="45">
        <v>15.1</v>
      </c>
      <c r="V16" s="45">
        <v>15.1</v>
      </c>
      <c r="W16" s="45">
        <v>15.1</v>
      </c>
      <c r="X16" s="45">
        <v>15.1</v>
      </c>
      <c r="Y16" s="45">
        <v>15.1</v>
      </c>
      <c r="Z16" s="45">
        <v>15.1</v>
      </c>
      <c r="AA16" s="45">
        <v>16.899999999999999</v>
      </c>
      <c r="AB16" s="45">
        <v>16.899999999999999</v>
      </c>
      <c r="AC16" s="45">
        <v>16.899999999999999</v>
      </c>
      <c r="AD16" s="45">
        <v>16.899999999999999</v>
      </c>
      <c r="AE16" s="45">
        <v>16.899999999999999</v>
      </c>
      <c r="AF16" s="45">
        <v>16.899999999999999</v>
      </c>
      <c r="AG16" s="51">
        <v>24.2</v>
      </c>
      <c r="AH16" s="48">
        <f t="shared" si="2"/>
        <v>16.899999999999999</v>
      </c>
      <c r="AI16" s="49">
        <f t="shared" si="3"/>
        <v>14.9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5</v>
      </c>
      <c r="C17" s="45">
        <v>0</v>
      </c>
      <c r="D17" s="45">
        <v>0</v>
      </c>
      <c r="E17" s="45">
        <v>0</v>
      </c>
      <c r="F17" s="45">
        <v>0</v>
      </c>
      <c r="G17" s="45">
        <v>12</v>
      </c>
      <c r="H17" s="45">
        <v>18</v>
      </c>
      <c r="I17" s="45">
        <v>18</v>
      </c>
      <c r="J17" s="45">
        <v>18</v>
      </c>
      <c r="K17" s="45">
        <v>18</v>
      </c>
      <c r="L17" s="45">
        <v>18</v>
      </c>
      <c r="M17" s="45">
        <v>18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17.5</v>
      </c>
      <c r="T17" s="45">
        <v>17.5</v>
      </c>
      <c r="U17" s="45">
        <v>17.5</v>
      </c>
      <c r="V17" s="45">
        <v>17.5</v>
      </c>
      <c r="W17" s="45">
        <v>17.5</v>
      </c>
      <c r="X17" s="45">
        <v>17.5</v>
      </c>
      <c r="Y17" s="45">
        <v>17.5</v>
      </c>
      <c r="Z17" s="45">
        <v>17.5</v>
      </c>
      <c r="AA17" s="45">
        <v>17.5</v>
      </c>
      <c r="AB17" s="45">
        <v>17.5</v>
      </c>
      <c r="AC17" s="45">
        <v>17.5</v>
      </c>
      <c r="AD17" s="45">
        <v>17.5</v>
      </c>
      <c r="AE17" s="45">
        <v>10</v>
      </c>
      <c r="AF17" s="45">
        <v>0</v>
      </c>
      <c r="AG17" s="52">
        <v>30</v>
      </c>
      <c r="AH17" s="48">
        <f t="shared" si="2"/>
        <v>18</v>
      </c>
      <c r="AI17" s="49">
        <f t="shared" si="3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17</v>
      </c>
      <c r="C18" s="45">
        <v>17</v>
      </c>
      <c r="D18" s="45">
        <v>17</v>
      </c>
      <c r="E18" s="45">
        <v>17</v>
      </c>
      <c r="F18" s="45">
        <v>17</v>
      </c>
      <c r="G18" s="45">
        <v>17</v>
      </c>
      <c r="H18" s="45">
        <v>17</v>
      </c>
      <c r="I18" s="45">
        <v>17</v>
      </c>
      <c r="J18" s="45">
        <v>17</v>
      </c>
      <c r="K18" s="45">
        <v>17</v>
      </c>
      <c r="L18" s="45">
        <v>17</v>
      </c>
      <c r="M18" s="45">
        <v>17</v>
      </c>
      <c r="N18" s="45">
        <v>17</v>
      </c>
      <c r="O18" s="45">
        <v>17</v>
      </c>
      <c r="P18" s="45">
        <v>17</v>
      </c>
      <c r="Q18" s="45">
        <v>17</v>
      </c>
      <c r="R18" s="45">
        <v>17</v>
      </c>
      <c r="S18" s="45">
        <v>17</v>
      </c>
      <c r="T18" s="45">
        <v>17</v>
      </c>
      <c r="U18" s="45">
        <v>17</v>
      </c>
      <c r="V18" s="45">
        <v>17</v>
      </c>
      <c r="W18" s="45">
        <v>17</v>
      </c>
      <c r="X18" s="45">
        <v>17</v>
      </c>
      <c r="Y18" s="45">
        <v>17</v>
      </c>
      <c r="Z18" s="45">
        <v>17</v>
      </c>
      <c r="AA18" s="45">
        <v>17</v>
      </c>
      <c r="AB18" s="45">
        <v>17.8</v>
      </c>
      <c r="AC18" s="45">
        <v>17.8</v>
      </c>
      <c r="AD18" s="45">
        <v>17.8</v>
      </c>
      <c r="AE18" s="45">
        <v>17.8</v>
      </c>
      <c r="AF18" s="45">
        <v>17.8</v>
      </c>
      <c r="AG18" s="51">
        <v>25</v>
      </c>
      <c r="AH18" s="48">
        <f t="shared" si="2"/>
        <v>17.8</v>
      </c>
      <c r="AI18" s="49">
        <f t="shared" si="3"/>
        <v>17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15</v>
      </c>
      <c r="C19" s="45">
        <v>15</v>
      </c>
      <c r="D19" s="45">
        <v>15</v>
      </c>
      <c r="E19" s="45">
        <v>15</v>
      </c>
      <c r="F19" s="45">
        <v>15</v>
      </c>
      <c r="G19" s="45">
        <v>15</v>
      </c>
      <c r="H19" s="45">
        <v>15</v>
      </c>
      <c r="I19" s="45">
        <v>15</v>
      </c>
      <c r="J19" s="45">
        <v>15</v>
      </c>
      <c r="K19" s="45">
        <v>15</v>
      </c>
      <c r="L19" s="45">
        <v>15</v>
      </c>
      <c r="M19" s="45">
        <v>15</v>
      </c>
      <c r="N19" s="45">
        <v>15</v>
      </c>
      <c r="O19" s="45">
        <v>15</v>
      </c>
      <c r="P19" s="45">
        <v>15</v>
      </c>
      <c r="Q19" s="45">
        <v>15</v>
      </c>
      <c r="R19" s="45">
        <v>15</v>
      </c>
      <c r="S19" s="45">
        <v>15</v>
      </c>
      <c r="T19" s="45">
        <v>15</v>
      </c>
      <c r="U19" s="45">
        <v>15</v>
      </c>
      <c r="V19" s="45">
        <v>15</v>
      </c>
      <c r="W19" s="45">
        <v>15</v>
      </c>
      <c r="X19" s="45">
        <v>15</v>
      </c>
      <c r="Y19" s="45">
        <v>15</v>
      </c>
      <c r="Z19" s="45">
        <v>15</v>
      </c>
      <c r="AA19" s="45">
        <v>15</v>
      </c>
      <c r="AB19" s="45">
        <v>15</v>
      </c>
      <c r="AC19" s="45">
        <v>15</v>
      </c>
      <c r="AD19" s="45">
        <v>15</v>
      </c>
      <c r="AE19" s="45">
        <v>15</v>
      </c>
      <c r="AF19" s="45">
        <v>15</v>
      </c>
      <c r="AG19" s="51">
        <v>25</v>
      </c>
      <c r="AH19" s="48">
        <f t="shared" si="2"/>
        <v>15</v>
      </c>
      <c r="AI19" s="49">
        <f t="shared" si="3"/>
        <v>15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14.8</v>
      </c>
      <c r="C21" s="45">
        <v>14.8</v>
      </c>
      <c r="D21" s="45">
        <v>14.8</v>
      </c>
      <c r="E21" s="45">
        <v>15</v>
      </c>
      <c r="F21" s="45">
        <v>15</v>
      </c>
      <c r="G21" s="45">
        <v>15</v>
      </c>
      <c r="H21" s="45">
        <v>15</v>
      </c>
      <c r="I21" s="45">
        <v>15</v>
      </c>
      <c r="J21" s="45">
        <v>15</v>
      </c>
      <c r="K21" s="45">
        <v>15</v>
      </c>
      <c r="L21" s="45">
        <v>15</v>
      </c>
      <c r="M21" s="45">
        <v>15</v>
      </c>
      <c r="N21" s="45">
        <v>15</v>
      </c>
      <c r="O21" s="45">
        <v>15</v>
      </c>
      <c r="P21" s="45">
        <v>15</v>
      </c>
      <c r="Q21" s="45">
        <v>15</v>
      </c>
      <c r="R21" s="45">
        <v>15</v>
      </c>
      <c r="S21" s="45">
        <v>15</v>
      </c>
      <c r="T21" s="45">
        <v>15</v>
      </c>
      <c r="U21" s="45">
        <v>15</v>
      </c>
      <c r="V21" s="45">
        <v>15</v>
      </c>
      <c r="W21" s="45">
        <v>15</v>
      </c>
      <c r="X21" s="45">
        <v>15</v>
      </c>
      <c r="Y21" s="45">
        <v>15</v>
      </c>
      <c r="Z21" s="45">
        <v>15</v>
      </c>
      <c r="AA21" s="45">
        <v>15</v>
      </c>
      <c r="AB21" s="45">
        <v>13.6</v>
      </c>
      <c r="AC21" s="45">
        <v>13.6</v>
      </c>
      <c r="AD21" s="45">
        <v>13.6</v>
      </c>
      <c r="AE21" s="45">
        <v>13.6</v>
      </c>
      <c r="AF21" s="45">
        <v>13.6</v>
      </c>
      <c r="AG21" s="51">
        <v>23.5</v>
      </c>
      <c r="AH21" s="48">
        <f t="shared" si="2"/>
        <v>15</v>
      </c>
      <c r="AI21" s="49">
        <f t="shared" si="3"/>
        <v>13.6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7</v>
      </c>
      <c r="C22" s="45">
        <v>7</v>
      </c>
      <c r="D22" s="45">
        <v>7</v>
      </c>
      <c r="E22" s="45">
        <v>7</v>
      </c>
      <c r="F22" s="45">
        <v>7</v>
      </c>
      <c r="G22" s="45">
        <v>7</v>
      </c>
      <c r="H22" s="45">
        <v>7.5</v>
      </c>
      <c r="I22" s="45">
        <v>7.5</v>
      </c>
      <c r="J22" s="45">
        <v>7.5</v>
      </c>
      <c r="K22" s="45">
        <v>7.5</v>
      </c>
      <c r="L22" s="45">
        <v>7.5</v>
      </c>
      <c r="M22" s="45">
        <v>7.5</v>
      </c>
      <c r="N22" s="45">
        <v>7.5</v>
      </c>
      <c r="O22" s="45">
        <v>7.5</v>
      </c>
      <c r="P22" s="45">
        <v>7.5</v>
      </c>
      <c r="Q22" s="45">
        <v>7.5</v>
      </c>
      <c r="R22" s="45">
        <v>7.5</v>
      </c>
      <c r="S22" s="45">
        <v>7.5</v>
      </c>
      <c r="T22" s="45">
        <v>7.5</v>
      </c>
      <c r="U22" s="45">
        <v>7.5</v>
      </c>
      <c r="V22" s="45">
        <v>7.5</v>
      </c>
      <c r="W22" s="45">
        <v>7.5</v>
      </c>
      <c r="X22" s="45">
        <v>7.5</v>
      </c>
      <c r="Y22" s="45">
        <v>7.5</v>
      </c>
      <c r="Z22" s="45">
        <v>7.5</v>
      </c>
      <c r="AA22" s="45">
        <v>7.5</v>
      </c>
      <c r="AB22" s="45">
        <v>7.5</v>
      </c>
      <c r="AC22" s="45">
        <v>7.5</v>
      </c>
      <c r="AD22" s="45">
        <v>7.5</v>
      </c>
      <c r="AE22" s="45">
        <v>7.5</v>
      </c>
      <c r="AF22" s="45">
        <v>7.5</v>
      </c>
      <c r="AG22" s="51">
        <v>22.2</v>
      </c>
      <c r="AH22" s="48">
        <f t="shared" si="2"/>
        <v>7.5</v>
      </c>
      <c r="AI22" s="49">
        <f t="shared" si="3"/>
        <v>7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10.6</v>
      </c>
      <c r="C23" s="45">
        <v>10.6</v>
      </c>
      <c r="D23" s="45">
        <v>10.6</v>
      </c>
      <c r="E23" s="45">
        <v>10.6</v>
      </c>
      <c r="F23" s="45">
        <v>10.6</v>
      </c>
      <c r="G23" s="45">
        <v>10.6</v>
      </c>
      <c r="H23" s="45">
        <v>10.6</v>
      </c>
      <c r="I23" s="45">
        <v>10.6</v>
      </c>
      <c r="J23" s="45">
        <v>10.6</v>
      </c>
      <c r="K23" s="45">
        <v>10.6</v>
      </c>
      <c r="L23" s="45">
        <v>10.6</v>
      </c>
      <c r="M23" s="45">
        <v>10.6</v>
      </c>
      <c r="N23" s="45">
        <v>10.6</v>
      </c>
      <c r="O23" s="45">
        <v>10.6</v>
      </c>
      <c r="P23" s="45">
        <v>10.6</v>
      </c>
      <c r="Q23" s="45">
        <v>10.6</v>
      </c>
      <c r="R23" s="45">
        <v>10.6</v>
      </c>
      <c r="S23" s="45">
        <v>10.6</v>
      </c>
      <c r="T23" s="45">
        <v>10.6</v>
      </c>
      <c r="U23" s="45">
        <v>10.6</v>
      </c>
      <c r="V23" s="45">
        <v>10.6</v>
      </c>
      <c r="W23" s="45">
        <v>10.6</v>
      </c>
      <c r="X23" s="45">
        <v>10.6</v>
      </c>
      <c r="Y23" s="45">
        <v>10.6</v>
      </c>
      <c r="Z23" s="45">
        <v>10.6</v>
      </c>
      <c r="AA23" s="45">
        <v>10.6</v>
      </c>
      <c r="AB23" s="45">
        <v>10.6</v>
      </c>
      <c r="AC23" s="45">
        <v>10.6</v>
      </c>
      <c r="AD23" s="45">
        <v>10.6</v>
      </c>
      <c r="AE23" s="45">
        <v>10.6</v>
      </c>
      <c r="AF23" s="45">
        <v>10.6</v>
      </c>
      <c r="AG23" s="51">
        <v>22.1</v>
      </c>
      <c r="AH23" s="48">
        <f t="shared" si="2"/>
        <v>10.6</v>
      </c>
      <c r="AI23" s="49">
        <f t="shared" si="3"/>
        <v>10.6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15</v>
      </c>
      <c r="C24" s="45">
        <v>15</v>
      </c>
      <c r="D24" s="45">
        <v>15</v>
      </c>
      <c r="E24" s="45">
        <v>15</v>
      </c>
      <c r="F24" s="45">
        <v>15</v>
      </c>
      <c r="G24" s="45">
        <v>15</v>
      </c>
      <c r="H24" s="45">
        <v>15</v>
      </c>
      <c r="I24" s="45">
        <v>15</v>
      </c>
      <c r="J24" s="45">
        <v>15</v>
      </c>
      <c r="K24" s="45">
        <v>15</v>
      </c>
      <c r="L24" s="45">
        <v>15</v>
      </c>
      <c r="M24" s="45">
        <v>15</v>
      </c>
      <c r="N24" s="45">
        <v>15</v>
      </c>
      <c r="O24" s="45">
        <v>15</v>
      </c>
      <c r="P24" s="45">
        <v>15</v>
      </c>
      <c r="Q24" s="45">
        <v>15</v>
      </c>
      <c r="R24" s="45">
        <v>15</v>
      </c>
      <c r="S24" s="45">
        <v>15</v>
      </c>
      <c r="T24" s="45">
        <v>15</v>
      </c>
      <c r="U24" s="45">
        <v>15</v>
      </c>
      <c r="V24" s="45">
        <v>15</v>
      </c>
      <c r="W24" s="45">
        <v>15</v>
      </c>
      <c r="X24" s="45">
        <v>15</v>
      </c>
      <c r="Y24" s="45">
        <v>15</v>
      </c>
      <c r="Z24" s="45">
        <v>15</v>
      </c>
      <c r="AA24" s="45">
        <v>15</v>
      </c>
      <c r="AB24" s="45">
        <v>15</v>
      </c>
      <c r="AC24" s="45">
        <v>15</v>
      </c>
      <c r="AD24" s="45">
        <v>15</v>
      </c>
      <c r="AE24" s="45">
        <v>15</v>
      </c>
      <c r="AF24" s="45">
        <v>15</v>
      </c>
      <c r="AG24" s="51">
        <v>22</v>
      </c>
      <c r="AH24" s="48">
        <f t="shared" si="2"/>
        <v>15</v>
      </c>
      <c r="AI24" s="49">
        <f t="shared" si="3"/>
        <v>15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10</v>
      </c>
      <c r="C25" s="45">
        <v>10</v>
      </c>
      <c r="D25" s="45">
        <v>10</v>
      </c>
      <c r="E25" s="45">
        <v>10</v>
      </c>
      <c r="F25" s="45">
        <v>10</v>
      </c>
      <c r="G25" s="45">
        <v>10</v>
      </c>
      <c r="H25" s="45">
        <v>10</v>
      </c>
      <c r="I25" s="45">
        <v>10</v>
      </c>
      <c r="J25" s="45">
        <v>10</v>
      </c>
      <c r="K25" s="45">
        <v>10</v>
      </c>
      <c r="L25" s="45">
        <v>10</v>
      </c>
      <c r="M25" s="45">
        <v>10</v>
      </c>
      <c r="N25" s="45">
        <v>10</v>
      </c>
      <c r="O25" s="45">
        <v>10</v>
      </c>
      <c r="P25" s="45">
        <v>10</v>
      </c>
      <c r="Q25" s="45">
        <v>10</v>
      </c>
      <c r="R25" s="45">
        <v>10</v>
      </c>
      <c r="S25" s="45">
        <v>10</v>
      </c>
      <c r="T25" s="45">
        <v>10</v>
      </c>
      <c r="U25" s="45">
        <v>10</v>
      </c>
      <c r="V25" s="45">
        <v>10</v>
      </c>
      <c r="W25" s="45">
        <v>10</v>
      </c>
      <c r="X25" s="45">
        <v>10</v>
      </c>
      <c r="Y25" s="45">
        <v>10</v>
      </c>
      <c r="Z25" s="45">
        <v>10</v>
      </c>
      <c r="AA25" s="45">
        <v>10</v>
      </c>
      <c r="AB25" s="45">
        <v>12</v>
      </c>
      <c r="AC25" s="45">
        <v>12</v>
      </c>
      <c r="AD25" s="45">
        <v>12</v>
      </c>
      <c r="AE25" s="45">
        <v>12</v>
      </c>
      <c r="AF25" s="45">
        <v>12</v>
      </c>
      <c r="AG25" s="51">
        <v>22</v>
      </c>
      <c r="AH25" s="48">
        <f t="shared" si="2"/>
        <v>12</v>
      </c>
      <c r="AI25" s="49">
        <f t="shared" si="3"/>
        <v>10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5</v>
      </c>
      <c r="H26" s="45">
        <v>10</v>
      </c>
      <c r="I26" s="45">
        <v>10</v>
      </c>
      <c r="J26" s="45">
        <v>10</v>
      </c>
      <c r="K26" s="45">
        <v>10</v>
      </c>
      <c r="L26" s="45">
        <v>10</v>
      </c>
      <c r="M26" s="45">
        <v>10</v>
      </c>
      <c r="N26" s="45">
        <v>9</v>
      </c>
      <c r="O26" s="45">
        <v>9</v>
      </c>
      <c r="P26" s="45">
        <v>9</v>
      </c>
      <c r="Q26" s="45">
        <v>9</v>
      </c>
      <c r="R26" s="45">
        <v>9</v>
      </c>
      <c r="S26" s="45">
        <v>9</v>
      </c>
      <c r="T26" s="45">
        <v>9</v>
      </c>
      <c r="U26" s="45">
        <v>9</v>
      </c>
      <c r="V26" s="45">
        <v>9</v>
      </c>
      <c r="W26" s="45">
        <v>9</v>
      </c>
      <c r="X26" s="45">
        <v>9</v>
      </c>
      <c r="Y26" s="45">
        <v>9</v>
      </c>
      <c r="Z26" s="45">
        <v>9</v>
      </c>
      <c r="AA26" s="45">
        <v>9</v>
      </c>
      <c r="AB26" s="45">
        <v>9</v>
      </c>
      <c r="AC26" s="45">
        <v>9</v>
      </c>
      <c r="AD26" s="45">
        <v>9</v>
      </c>
      <c r="AE26" s="45">
        <v>9</v>
      </c>
      <c r="AF26" s="45">
        <v>0</v>
      </c>
      <c r="AG26" s="51">
        <v>20</v>
      </c>
      <c r="AH26" s="48">
        <f t="shared" si="2"/>
        <v>10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6.3</v>
      </c>
      <c r="C27" s="45">
        <v>6.3</v>
      </c>
      <c r="D27" s="45">
        <v>6.3</v>
      </c>
      <c r="E27" s="45">
        <v>6.3</v>
      </c>
      <c r="F27" s="45">
        <v>6.3</v>
      </c>
      <c r="G27" s="45">
        <v>6.3</v>
      </c>
      <c r="H27" s="45">
        <v>6.3</v>
      </c>
      <c r="I27" s="45">
        <v>6.3</v>
      </c>
      <c r="J27" s="45">
        <v>6.3</v>
      </c>
      <c r="K27" s="45">
        <v>6.3</v>
      </c>
      <c r="L27" s="45">
        <v>6.3</v>
      </c>
      <c r="M27" s="45">
        <v>6.3</v>
      </c>
      <c r="N27" s="45">
        <v>6.3</v>
      </c>
      <c r="O27" s="45">
        <v>6.3</v>
      </c>
      <c r="P27" s="45">
        <v>6.3</v>
      </c>
      <c r="Q27" s="45">
        <v>6.3</v>
      </c>
      <c r="R27" s="45">
        <v>6.3</v>
      </c>
      <c r="S27" s="45">
        <v>6.3</v>
      </c>
      <c r="T27" s="45">
        <v>6.3</v>
      </c>
      <c r="U27" s="45">
        <v>6.3</v>
      </c>
      <c r="V27" s="45">
        <v>6.3</v>
      </c>
      <c r="W27" s="45">
        <v>6.3</v>
      </c>
      <c r="X27" s="45">
        <v>6.3</v>
      </c>
      <c r="Y27" s="45">
        <v>6.3</v>
      </c>
      <c r="Z27" s="45">
        <v>6.3</v>
      </c>
      <c r="AA27" s="45">
        <v>6.3</v>
      </c>
      <c r="AB27" s="45">
        <v>6.3</v>
      </c>
      <c r="AC27" s="45">
        <v>6.3</v>
      </c>
      <c r="AD27" s="45">
        <v>6.3</v>
      </c>
      <c r="AE27" s="45">
        <v>6.3</v>
      </c>
      <c r="AF27" s="45">
        <v>6.3</v>
      </c>
      <c r="AG27" s="51">
        <v>14.9</v>
      </c>
      <c r="AH27" s="48">
        <f t="shared" si="2"/>
        <v>6.3</v>
      </c>
      <c r="AI27" s="49">
        <f t="shared" si="3"/>
        <v>6.3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6.3</v>
      </c>
      <c r="C28" s="45">
        <v>6.3</v>
      </c>
      <c r="D28" s="45">
        <v>6.3</v>
      </c>
      <c r="E28" s="45">
        <v>6.3</v>
      </c>
      <c r="F28" s="45">
        <v>6.3</v>
      </c>
      <c r="G28" s="45">
        <v>6.3</v>
      </c>
      <c r="H28" s="45">
        <v>6.3</v>
      </c>
      <c r="I28" s="45">
        <v>6.3</v>
      </c>
      <c r="J28" s="45">
        <v>6.3</v>
      </c>
      <c r="K28" s="45">
        <v>6.3</v>
      </c>
      <c r="L28" s="45">
        <v>6.3</v>
      </c>
      <c r="M28" s="45">
        <v>6.3</v>
      </c>
      <c r="N28" s="45">
        <v>6.3</v>
      </c>
      <c r="O28" s="45">
        <v>6.3</v>
      </c>
      <c r="P28" s="45">
        <v>6.3</v>
      </c>
      <c r="Q28" s="45">
        <v>6.3</v>
      </c>
      <c r="R28" s="45">
        <v>6.3</v>
      </c>
      <c r="S28" s="45">
        <v>6.3</v>
      </c>
      <c r="T28" s="45">
        <v>6.3</v>
      </c>
      <c r="U28" s="45">
        <v>6.3</v>
      </c>
      <c r="V28" s="45">
        <v>6.3</v>
      </c>
      <c r="W28" s="45">
        <v>6.3</v>
      </c>
      <c r="X28" s="45">
        <v>6.3</v>
      </c>
      <c r="Y28" s="45">
        <v>6.3</v>
      </c>
      <c r="Z28" s="45">
        <v>6.3</v>
      </c>
      <c r="AA28" s="45">
        <v>6.3</v>
      </c>
      <c r="AB28" s="45">
        <v>6.3</v>
      </c>
      <c r="AC28" s="45">
        <v>6.3</v>
      </c>
      <c r="AD28" s="45">
        <v>6.3</v>
      </c>
      <c r="AE28" s="45">
        <v>6.3</v>
      </c>
      <c r="AF28" s="45">
        <v>6.3</v>
      </c>
      <c r="AG28" s="51">
        <v>13.6</v>
      </c>
      <c r="AH28" s="48">
        <f t="shared" si="2"/>
        <v>6.3</v>
      </c>
      <c r="AI28" s="49">
        <f t="shared" si="3"/>
        <v>6.3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3.5</v>
      </c>
      <c r="C29" s="45">
        <v>3.5</v>
      </c>
      <c r="D29" s="45">
        <v>3.5</v>
      </c>
      <c r="E29" s="45">
        <v>3.5</v>
      </c>
      <c r="F29" s="45">
        <v>3.5</v>
      </c>
      <c r="G29" s="45">
        <v>3.5</v>
      </c>
      <c r="H29" s="45">
        <v>3.5</v>
      </c>
      <c r="I29" s="45">
        <v>3.5</v>
      </c>
      <c r="J29" s="45">
        <v>3.5</v>
      </c>
      <c r="K29" s="45">
        <v>3.5</v>
      </c>
      <c r="L29" s="45">
        <v>3.5</v>
      </c>
      <c r="M29" s="45">
        <v>3.5</v>
      </c>
      <c r="N29" s="45">
        <v>3.5</v>
      </c>
      <c r="O29" s="45">
        <v>3.5</v>
      </c>
      <c r="P29" s="45">
        <v>3.5</v>
      </c>
      <c r="Q29" s="45">
        <v>3.5</v>
      </c>
      <c r="R29" s="45">
        <v>3.5</v>
      </c>
      <c r="S29" s="45">
        <v>3.5</v>
      </c>
      <c r="T29" s="45">
        <v>3.5</v>
      </c>
      <c r="U29" s="45">
        <v>3.5</v>
      </c>
      <c r="V29" s="45">
        <v>3.5</v>
      </c>
      <c r="W29" s="45">
        <v>3.5</v>
      </c>
      <c r="X29" s="45">
        <v>3.5</v>
      </c>
      <c r="Y29" s="45">
        <v>3.5</v>
      </c>
      <c r="Z29" s="45">
        <v>3.5</v>
      </c>
      <c r="AA29" s="45">
        <v>3.5</v>
      </c>
      <c r="AB29" s="45">
        <v>3.5</v>
      </c>
      <c r="AC29" s="45">
        <v>3.5</v>
      </c>
      <c r="AD29" s="45">
        <v>3.5</v>
      </c>
      <c r="AE29" s="45">
        <v>3.5</v>
      </c>
      <c r="AF29" s="45">
        <v>3.5</v>
      </c>
      <c r="AG29" s="51">
        <v>13</v>
      </c>
      <c r="AH29" s="48">
        <f t="shared" si="2"/>
        <v>3.5</v>
      </c>
      <c r="AI29" s="49">
        <f t="shared" si="3"/>
        <v>3.5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3</v>
      </c>
      <c r="H30" s="45">
        <v>9</v>
      </c>
      <c r="I30" s="45">
        <v>9</v>
      </c>
      <c r="J30" s="45">
        <v>9</v>
      </c>
      <c r="K30" s="45">
        <v>9</v>
      </c>
      <c r="L30" s="45">
        <v>9</v>
      </c>
      <c r="M30" s="45">
        <v>9</v>
      </c>
      <c r="N30" s="45">
        <v>8</v>
      </c>
      <c r="O30" s="45">
        <v>8</v>
      </c>
      <c r="P30" s="45">
        <v>8</v>
      </c>
      <c r="Q30" s="45">
        <v>8</v>
      </c>
      <c r="R30" s="45">
        <v>8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8</v>
      </c>
      <c r="Y30" s="45">
        <v>8</v>
      </c>
      <c r="Z30" s="45">
        <v>8</v>
      </c>
      <c r="AA30" s="45">
        <v>8</v>
      </c>
      <c r="AB30" s="45">
        <v>8</v>
      </c>
      <c r="AC30" s="45">
        <v>8</v>
      </c>
      <c r="AD30" s="45">
        <v>8</v>
      </c>
      <c r="AE30" s="45">
        <v>0</v>
      </c>
      <c r="AF30" s="45">
        <v>0</v>
      </c>
      <c r="AG30" s="51">
        <v>12</v>
      </c>
      <c r="AH30" s="48">
        <f t="shared" si="2"/>
        <v>9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10</v>
      </c>
      <c r="C31" s="45">
        <v>10</v>
      </c>
      <c r="D31" s="45">
        <v>10</v>
      </c>
      <c r="E31" s="45">
        <v>10</v>
      </c>
      <c r="F31" s="45">
        <v>10</v>
      </c>
      <c r="G31" s="45">
        <v>10</v>
      </c>
      <c r="H31" s="45">
        <v>10</v>
      </c>
      <c r="I31" s="45">
        <v>10</v>
      </c>
      <c r="J31" s="45">
        <v>10</v>
      </c>
      <c r="K31" s="45">
        <v>10</v>
      </c>
      <c r="L31" s="45">
        <v>10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>
        <v>12</v>
      </c>
      <c r="S31" s="45">
        <v>12</v>
      </c>
      <c r="T31" s="45">
        <v>12</v>
      </c>
      <c r="U31" s="45">
        <v>12</v>
      </c>
      <c r="V31" s="45">
        <v>12</v>
      </c>
      <c r="W31" s="45">
        <v>12</v>
      </c>
      <c r="X31" s="45">
        <v>12</v>
      </c>
      <c r="Y31" s="45">
        <v>12</v>
      </c>
      <c r="Z31" s="45">
        <v>12</v>
      </c>
      <c r="AA31" s="45">
        <v>12</v>
      </c>
      <c r="AB31" s="45">
        <v>12</v>
      </c>
      <c r="AC31" s="45">
        <v>12</v>
      </c>
      <c r="AD31" s="45">
        <v>12</v>
      </c>
      <c r="AE31" s="45">
        <v>0</v>
      </c>
      <c r="AF31" s="45">
        <v>0</v>
      </c>
      <c r="AG31" s="51">
        <v>12</v>
      </c>
      <c r="AH31" s="48">
        <f t="shared" si="2"/>
        <v>12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6</v>
      </c>
      <c r="C32" s="45">
        <v>6</v>
      </c>
      <c r="D32" s="45">
        <v>6</v>
      </c>
      <c r="E32" s="45">
        <v>6</v>
      </c>
      <c r="F32" s="45">
        <v>6</v>
      </c>
      <c r="G32" s="45">
        <v>6</v>
      </c>
      <c r="H32" s="45">
        <v>6</v>
      </c>
      <c r="I32" s="45">
        <v>6</v>
      </c>
      <c r="J32" s="45">
        <v>6</v>
      </c>
      <c r="K32" s="45">
        <v>6</v>
      </c>
      <c r="L32" s="45">
        <v>6</v>
      </c>
      <c r="M32" s="45">
        <v>6</v>
      </c>
      <c r="N32" s="45">
        <v>6</v>
      </c>
      <c r="O32" s="45">
        <v>6</v>
      </c>
      <c r="P32" s="45">
        <v>6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1">
        <v>12</v>
      </c>
      <c r="AH32" s="48">
        <f t="shared" si="2"/>
        <v>6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4.25" customHeight="1" x14ac:dyDescent="0.25">
      <c r="A33" s="44" t="s">
        <v>41</v>
      </c>
      <c r="B33" s="45">
        <v>6</v>
      </c>
      <c r="C33" s="45">
        <v>6</v>
      </c>
      <c r="D33" s="45">
        <v>6</v>
      </c>
      <c r="E33" s="45">
        <v>6</v>
      </c>
      <c r="F33" s="45">
        <v>6</v>
      </c>
      <c r="G33" s="45">
        <v>6</v>
      </c>
      <c r="H33" s="45">
        <v>6</v>
      </c>
      <c r="I33" s="45">
        <v>6</v>
      </c>
      <c r="J33" s="45">
        <v>6</v>
      </c>
      <c r="K33" s="45">
        <v>6</v>
      </c>
      <c r="L33" s="45">
        <v>6</v>
      </c>
      <c r="M33" s="45">
        <v>6</v>
      </c>
      <c r="N33" s="45">
        <v>6</v>
      </c>
      <c r="O33" s="45">
        <v>6</v>
      </c>
      <c r="P33" s="45">
        <v>6</v>
      </c>
      <c r="Q33" s="45">
        <v>6</v>
      </c>
      <c r="R33" s="45">
        <v>6</v>
      </c>
      <c r="S33" s="45">
        <v>6</v>
      </c>
      <c r="T33" s="45">
        <v>6</v>
      </c>
      <c r="U33" s="45">
        <v>6</v>
      </c>
      <c r="V33" s="45">
        <v>6</v>
      </c>
      <c r="W33" s="45">
        <v>6</v>
      </c>
      <c r="X33" s="45">
        <v>6</v>
      </c>
      <c r="Y33" s="45">
        <v>6</v>
      </c>
      <c r="Z33" s="45">
        <v>6</v>
      </c>
      <c r="AA33" s="45">
        <v>6</v>
      </c>
      <c r="AB33" s="45">
        <v>6</v>
      </c>
      <c r="AC33" s="45">
        <v>6</v>
      </c>
      <c r="AD33" s="45">
        <v>6</v>
      </c>
      <c r="AE33" s="45">
        <v>6</v>
      </c>
      <c r="AF33" s="45">
        <v>6</v>
      </c>
      <c r="AG33" s="53">
        <v>22</v>
      </c>
      <c r="AH33" s="48">
        <f t="shared" si="2"/>
        <v>6</v>
      </c>
      <c r="AI33" s="49">
        <f t="shared" si="3"/>
        <v>6</v>
      </c>
      <c r="AK33" s="50"/>
      <c r="AL33" s="28"/>
      <c r="AM33" s="24"/>
      <c r="AN33" s="24"/>
      <c r="AO33" s="24"/>
      <c r="AP33" s="24"/>
      <c r="AQ33" s="15"/>
      <c r="AR33" s="21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4.25" customHeight="1" x14ac:dyDescent="0.25">
      <c r="A34" s="44" t="s">
        <v>42</v>
      </c>
      <c r="B34" s="45">
        <v>5.2</v>
      </c>
      <c r="C34" s="45">
        <v>5.2</v>
      </c>
      <c r="D34" s="45">
        <v>5.2</v>
      </c>
      <c r="E34" s="45">
        <v>5.2</v>
      </c>
      <c r="F34" s="45">
        <v>5.2</v>
      </c>
      <c r="G34" s="45">
        <v>5.2</v>
      </c>
      <c r="H34" s="45">
        <v>5.2</v>
      </c>
      <c r="I34" s="45">
        <v>5.2</v>
      </c>
      <c r="J34" s="45">
        <v>5.2</v>
      </c>
      <c r="K34" s="45">
        <v>5.2</v>
      </c>
      <c r="L34" s="45">
        <v>5.2</v>
      </c>
      <c r="M34" s="45">
        <v>5.2</v>
      </c>
      <c r="N34" s="45">
        <v>5.2</v>
      </c>
      <c r="O34" s="45">
        <v>5.2</v>
      </c>
      <c r="P34" s="45">
        <v>5.2</v>
      </c>
      <c r="Q34" s="45">
        <v>5.2</v>
      </c>
      <c r="R34" s="45">
        <v>5.2</v>
      </c>
      <c r="S34" s="45">
        <v>5.2</v>
      </c>
      <c r="T34" s="45">
        <v>5.2</v>
      </c>
      <c r="U34" s="45">
        <v>5.2</v>
      </c>
      <c r="V34" s="45">
        <v>5.2</v>
      </c>
      <c r="W34" s="45">
        <v>5.2</v>
      </c>
      <c r="X34" s="45">
        <v>5.2</v>
      </c>
      <c r="Y34" s="45">
        <v>5.2</v>
      </c>
      <c r="Z34" s="45">
        <v>5.2</v>
      </c>
      <c r="AA34" s="45">
        <v>5.2</v>
      </c>
      <c r="AB34" s="45">
        <v>5.2</v>
      </c>
      <c r="AC34" s="45">
        <v>5.2</v>
      </c>
      <c r="AD34" s="45">
        <v>5.2</v>
      </c>
      <c r="AE34" s="45">
        <v>5.2</v>
      </c>
      <c r="AF34" s="45">
        <v>5.2</v>
      </c>
      <c r="AG34" s="52">
        <v>11.88</v>
      </c>
      <c r="AH34" s="48">
        <f t="shared" si="2"/>
        <v>5.2</v>
      </c>
      <c r="AI34" s="49">
        <f t="shared" si="3"/>
        <v>5.2</v>
      </c>
      <c r="AK34" s="50"/>
      <c r="AL34" s="28"/>
      <c r="AM34" s="24"/>
      <c r="AN34" s="24"/>
      <c r="AO34" s="24"/>
      <c r="AP34" s="24"/>
      <c r="AQ34" s="15"/>
      <c r="AR34" s="21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4.25" customHeight="1" x14ac:dyDescent="0.25">
      <c r="A35" s="54" t="s">
        <v>43</v>
      </c>
      <c r="B35" s="45">
        <v>8.5</v>
      </c>
      <c r="C35" s="45">
        <v>8.5</v>
      </c>
      <c r="D35" s="45">
        <v>8.5</v>
      </c>
      <c r="E35" s="45">
        <v>8.5</v>
      </c>
      <c r="F35" s="45">
        <v>8.5</v>
      </c>
      <c r="G35" s="45">
        <v>8.5</v>
      </c>
      <c r="H35" s="45">
        <v>8.5</v>
      </c>
      <c r="I35" s="45">
        <v>8.5</v>
      </c>
      <c r="J35" s="45">
        <v>8.5</v>
      </c>
      <c r="K35" s="45">
        <v>8.5</v>
      </c>
      <c r="L35" s="45">
        <v>8.5</v>
      </c>
      <c r="M35" s="45">
        <v>8.5</v>
      </c>
      <c r="N35" s="45">
        <v>8.5</v>
      </c>
      <c r="O35" s="45">
        <v>8.5</v>
      </c>
      <c r="P35" s="45">
        <v>8.5</v>
      </c>
      <c r="Q35" s="45">
        <v>8.5</v>
      </c>
      <c r="R35" s="45">
        <v>8.5</v>
      </c>
      <c r="S35" s="45">
        <v>8.5</v>
      </c>
      <c r="T35" s="45">
        <v>8.5</v>
      </c>
      <c r="U35" s="45">
        <v>8.5</v>
      </c>
      <c r="V35" s="45">
        <v>8.5</v>
      </c>
      <c r="W35" s="45">
        <v>8.5</v>
      </c>
      <c r="X35" s="45">
        <v>8.5</v>
      </c>
      <c r="Y35" s="45">
        <v>8.5</v>
      </c>
      <c r="Z35" s="45">
        <v>8.5</v>
      </c>
      <c r="AA35" s="45">
        <v>8.5</v>
      </c>
      <c r="AB35" s="45">
        <v>8.5</v>
      </c>
      <c r="AC35" s="45">
        <v>8.5</v>
      </c>
      <c r="AD35" s="45">
        <v>8.5</v>
      </c>
      <c r="AE35" s="45">
        <v>8.5</v>
      </c>
      <c r="AF35" s="45">
        <v>8.5</v>
      </c>
      <c r="AG35" s="55">
        <v>11</v>
      </c>
      <c r="AH35" s="48">
        <f t="shared" si="2"/>
        <v>8.5</v>
      </c>
      <c r="AI35" s="49">
        <f t="shared" si="3"/>
        <v>8.5</v>
      </c>
      <c r="AK35" s="50"/>
      <c r="AL35" s="28"/>
      <c r="AM35" s="24"/>
      <c r="AN35" s="24"/>
      <c r="AO35" s="24"/>
      <c r="AP35" s="24"/>
      <c r="AQ35" s="15"/>
      <c r="AR35" s="21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54" t="s">
        <v>44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5">
        <v>10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x14ac:dyDescent="0.25">
      <c r="A37" s="54" t="s">
        <v>45</v>
      </c>
      <c r="B37" s="45">
        <v>0</v>
      </c>
      <c r="C37" s="45">
        <v>0</v>
      </c>
      <c r="D37" s="45">
        <v>0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0</v>
      </c>
      <c r="M37" s="45">
        <v>2</v>
      </c>
      <c r="N37" s="45">
        <v>2</v>
      </c>
      <c r="O37" s="45">
        <v>2</v>
      </c>
      <c r="P37" s="45">
        <v>2</v>
      </c>
      <c r="Q37" s="45">
        <v>2</v>
      </c>
      <c r="R37" s="45">
        <v>2</v>
      </c>
      <c r="S37" s="45">
        <v>2</v>
      </c>
      <c r="T37" s="45">
        <v>2</v>
      </c>
      <c r="U37" s="45">
        <v>2</v>
      </c>
      <c r="V37" s="45">
        <v>2</v>
      </c>
      <c r="W37" s="45">
        <v>2</v>
      </c>
      <c r="X37" s="57">
        <v>2</v>
      </c>
      <c r="Y37" s="57">
        <v>2</v>
      </c>
      <c r="Z37" s="57">
        <v>2</v>
      </c>
      <c r="AA37" s="57">
        <v>2</v>
      </c>
      <c r="AB37" s="57">
        <v>0</v>
      </c>
      <c r="AC37" s="57">
        <v>0</v>
      </c>
      <c r="AD37" s="57">
        <v>0</v>
      </c>
      <c r="AE37" s="57">
        <v>0</v>
      </c>
      <c r="AF37" s="57">
        <v>0</v>
      </c>
      <c r="AG37" s="55">
        <v>10</v>
      </c>
      <c r="AH37" s="48">
        <f t="shared" si="2"/>
        <v>2</v>
      </c>
      <c r="AI37" s="49">
        <f t="shared" si="3"/>
        <v>0</v>
      </c>
      <c r="AK37" s="50"/>
      <c r="AL37" s="28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x14ac:dyDescent="0.25">
      <c r="A38" s="56" t="s">
        <v>46</v>
      </c>
      <c r="B38" s="57">
        <v>250</v>
      </c>
      <c r="C38" s="57">
        <v>250</v>
      </c>
      <c r="D38" s="57">
        <v>250</v>
      </c>
      <c r="E38" s="57">
        <v>250</v>
      </c>
      <c r="F38" s="57">
        <v>250</v>
      </c>
      <c r="G38" s="57">
        <v>250</v>
      </c>
      <c r="H38" s="57">
        <v>260</v>
      </c>
      <c r="I38" s="57">
        <v>260</v>
      </c>
      <c r="J38" s="57">
        <v>260</v>
      </c>
      <c r="K38" s="57">
        <v>260</v>
      </c>
      <c r="L38" s="57">
        <v>260</v>
      </c>
      <c r="M38" s="57">
        <v>250</v>
      </c>
      <c r="N38" s="57">
        <v>250</v>
      </c>
      <c r="O38" s="57">
        <v>250</v>
      </c>
      <c r="P38" s="57">
        <v>250</v>
      </c>
      <c r="Q38" s="57">
        <v>250</v>
      </c>
      <c r="R38" s="57">
        <v>250</v>
      </c>
      <c r="S38" s="57">
        <v>250</v>
      </c>
      <c r="T38" s="57">
        <v>250</v>
      </c>
      <c r="U38" s="57">
        <v>250</v>
      </c>
      <c r="V38" s="57">
        <v>250</v>
      </c>
      <c r="W38" s="57">
        <v>250</v>
      </c>
      <c r="X38" s="59">
        <v>250</v>
      </c>
      <c r="Y38" s="59">
        <v>250</v>
      </c>
      <c r="Z38" s="57">
        <v>250</v>
      </c>
      <c r="AA38" s="57">
        <v>250</v>
      </c>
      <c r="AB38" s="57">
        <v>250</v>
      </c>
      <c r="AC38" s="57">
        <v>250</v>
      </c>
      <c r="AD38" s="57">
        <v>250</v>
      </c>
      <c r="AE38" s="57">
        <v>250</v>
      </c>
      <c r="AF38" s="57">
        <v>250</v>
      </c>
      <c r="AG38" s="55">
        <v>85</v>
      </c>
      <c r="AH38" s="48">
        <f t="shared" si="2"/>
        <v>260</v>
      </c>
      <c r="AI38" s="49">
        <f t="shared" si="3"/>
        <v>250</v>
      </c>
      <c r="AK38" s="50"/>
    </row>
    <row r="39" spans="1:88" ht="15.75" thickBot="1" x14ac:dyDescent="0.3">
      <c r="A39" s="58" t="s">
        <v>47</v>
      </c>
      <c r="B39" s="59">
        <f>52+40.3</f>
        <v>92.3</v>
      </c>
      <c r="C39" s="59">
        <f>51.3+40.8</f>
        <v>92.1</v>
      </c>
      <c r="D39" s="59"/>
      <c r="E39" s="59">
        <v>95.1</v>
      </c>
      <c r="F39" s="59">
        <v>95.2</v>
      </c>
      <c r="G39" s="59">
        <v>95</v>
      </c>
      <c r="H39" s="59">
        <v>93.1</v>
      </c>
      <c r="I39" s="59">
        <v>94</v>
      </c>
      <c r="J39" s="59">
        <v>93.6</v>
      </c>
      <c r="K39" s="59">
        <v>93.4</v>
      </c>
      <c r="L39" s="57">
        <v>91.8</v>
      </c>
      <c r="M39" s="57">
        <f>41.4+50.8</f>
        <v>92.199999999999989</v>
      </c>
      <c r="N39" s="57">
        <f>41.4+50.6</f>
        <v>92</v>
      </c>
      <c r="O39" s="57">
        <f>41.2+50.9</f>
        <v>92.1</v>
      </c>
      <c r="P39" s="57">
        <f>41.5+50.4</f>
        <v>91.9</v>
      </c>
      <c r="Q39" s="57">
        <f>41.5+50.4</f>
        <v>91.9</v>
      </c>
      <c r="R39" s="57">
        <f>42.3+51.9</f>
        <v>94.199999999999989</v>
      </c>
      <c r="S39" s="59">
        <f>40.8+50.2</f>
        <v>91</v>
      </c>
      <c r="T39" s="59">
        <v>94</v>
      </c>
      <c r="U39" s="59">
        <v>94</v>
      </c>
      <c r="V39" s="59">
        <f>39.5+49.9</f>
        <v>89.4</v>
      </c>
      <c r="W39" s="59">
        <f>39.5+49.9</f>
        <v>89.4</v>
      </c>
      <c r="X39" s="45">
        <v>86.7</v>
      </c>
      <c r="Y39" s="45">
        <v>86.7</v>
      </c>
      <c r="Z39" s="59">
        <v>90</v>
      </c>
      <c r="AA39" s="59">
        <f>40.2+49.3</f>
        <v>89.5</v>
      </c>
      <c r="AB39" s="59">
        <f>49.7+39.8</f>
        <v>89.5</v>
      </c>
      <c r="AC39" s="59">
        <f>49.8+40.2</f>
        <v>90</v>
      </c>
      <c r="AD39" s="59">
        <v>90</v>
      </c>
      <c r="AE39" s="59">
        <f>49.3+40.4</f>
        <v>89.699999999999989</v>
      </c>
      <c r="AF39" s="59">
        <f>49.6+41.1</f>
        <v>90.7</v>
      </c>
      <c r="AG39" s="55">
        <v>240</v>
      </c>
      <c r="AH39" s="48">
        <f t="shared" si="2"/>
        <v>95.2</v>
      </c>
      <c r="AI39" s="49">
        <f t="shared" si="3"/>
        <v>86.7</v>
      </c>
      <c r="AK39" s="50"/>
    </row>
    <row r="40" spans="1:88" ht="15.75" thickBot="1" x14ac:dyDescent="0.3">
      <c r="A40" s="60" t="s">
        <v>48</v>
      </c>
      <c r="B40" s="61">
        <f t="shared" ref="B40:AG40" si="4">SUM(B11:B38)</f>
        <v>574.70000000000005</v>
      </c>
      <c r="C40" s="61">
        <f t="shared" si="4"/>
        <v>564.70000000000005</v>
      </c>
      <c r="D40" s="61">
        <f t="shared" si="4"/>
        <v>564.70000000000005</v>
      </c>
      <c r="E40" s="61">
        <f t="shared" si="4"/>
        <v>564</v>
      </c>
      <c r="F40" s="61">
        <f t="shared" si="4"/>
        <v>564</v>
      </c>
      <c r="G40" s="61">
        <f>SUM(G11:G38)</f>
        <v>599.40000000000009</v>
      </c>
      <c r="H40" s="61">
        <f>SUM(H11:H38)</f>
        <v>629.1</v>
      </c>
      <c r="I40" s="61">
        <f t="shared" si="4"/>
        <v>629.1</v>
      </c>
      <c r="J40" s="61">
        <f t="shared" si="4"/>
        <v>630.90000000000009</v>
      </c>
      <c r="K40" s="61">
        <f t="shared" si="4"/>
        <v>627.90000000000009</v>
      </c>
      <c r="L40" s="61">
        <f t="shared" si="4"/>
        <v>627.90000000000009</v>
      </c>
      <c r="M40" s="61">
        <f t="shared" si="4"/>
        <v>617</v>
      </c>
      <c r="N40" s="61">
        <f t="shared" si="4"/>
        <v>612.40000000000009</v>
      </c>
      <c r="O40" s="61">
        <f t="shared" si="4"/>
        <v>612.40000000000009</v>
      </c>
      <c r="P40" s="61">
        <f t="shared" si="4"/>
        <v>612.40000000000009</v>
      </c>
      <c r="Q40" s="61">
        <f t="shared" si="4"/>
        <v>606.40000000000009</v>
      </c>
      <c r="R40" s="61">
        <f t="shared" si="4"/>
        <v>606.40000000000009</v>
      </c>
      <c r="S40" s="61">
        <f t="shared" si="4"/>
        <v>598.90000000000009</v>
      </c>
      <c r="T40" s="61">
        <f t="shared" si="4"/>
        <v>611</v>
      </c>
      <c r="U40" s="61">
        <f t="shared" si="4"/>
        <v>611.40000000000009</v>
      </c>
      <c r="V40" s="61">
        <f t="shared" si="4"/>
        <v>608.90000000000009</v>
      </c>
      <c r="W40" s="61">
        <f t="shared" si="4"/>
        <v>608.90000000000009</v>
      </c>
      <c r="X40" s="45">
        <v>618.90000000000009</v>
      </c>
      <c r="Y40" s="61">
        <f t="shared" si="4"/>
        <v>608.90000000000009</v>
      </c>
      <c r="Z40" s="61">
        <f t="shared" si="4"/>
        <v>608.90000000000009</v>
      </c>
      <c r="AA40" s="61">
        <f t="shared" si="4"/>
        <v>614.5</v>
      </c>
      <c r="AB40" s="61">
        <f t="shared" si="4"/>
        <v>611.20000000000005</v>
      </c>
      <c r="AC40" s="61">
        <f t="shared" si="4"/>
        <v>611.20000000000005</v>
      </c>
      <c r="AD40" s="61">
        <f t="shared" si="4"/>
        <v>611.20000000000005</v>
      </c>
      <c r="AE40" s="61">
        <f t="shared" si="4"/>
        <v>583.70000000000005</v>
      </c>
      <c r="AF40" s="61">
        <f t="shared" si="4"/>
        <v>546.5</v>
      </c>
      <c r="AG40" s="62">
        <f t="shared" si="4"/>
        <v>707.78000000000009</v>
      </c>
      <c r="AH40" s="48">
        <f t="shared" si="2"/>
        <v>630.90000000000009</v>
      </c>
      <c r="AI40" s="49">
        <f t="shared" si="3"/>
        <v>546.5</v>
      </c>
      <c r="AK40" s="50"/>
    </row>
    <row r="41" spans="1:88" x14ac:dyDescent="0.25">
      <c r="A41" s="63" t="s">
        <v>49</v>
      </c>
      <c r="B41" s="45">
        <v>120</v>
      </c>
      <c r="C41" s="45">
        <v>13</v>
      </c>
      <c r="D41" s="45">
        <v>20</v>
      </c>
      <c r="E41" s="45">
        <v>20</v>
      </c>
      <c r="F41" s="45">
        <v>20</v>
      </c>
      <c r="G41" s="45">
        <v>40</v>
      </c>
      <c r="H41" s="45">
        <v>80</v>
      </c>
      <c r="I41" s="45">
        <v>120</v>
      </c>
      <c r="J41" s="45">
        <v>160</v>
      </c>
      <c r="K41" s="45">
        <v>390</v>
      </c>
      <c r="L41" s="45">
        <v>456</v>
      </c>
      <c r="M41" s="45">
        <v>456</v>
      </c>
      <c r="N41" s="45">
        <v>400</v>
      </c>
      <c r="O41" s="45">
        <v>280</v>
      </c>
      <c r="P41" s="45">
        <v>260</v>
      </c>
      <c r="Q41" s="45">
        <v>260</v>
      </c>
      <c r="R41" s="45">
        <v>140</v>
      </c>
      <c r="S41" s="45">
        <v>100</v>
      </c>
      <c r="T41" s="45">
        <v>100</v>
      </c>
      <c r="U41" s="45">
        <v>200</v>
      </c>
      <c r="V41" s="45">
        <v>250</v>
      </c>
      <c r="W41" s="45">
        <v>360</v>
      </c>
      <c r="X41" s="65">
        <v>456</v>
      </c>
      <c r="Y41" s="65">
        <v>430</v>
      </c>
      <c r="Z41" s="45">
        <v>350</v>
      </c>
      <c r="AA41" s="45">
        <v>212</v>
      </c>
      <c r="AB41" s="45">
        <v>170</v>
      </c>
      <c r="AC41" s="45">
        <v>170</v>
      </c>
      <c r="AD41" s="45">
        <v>150</v>
      </c>
      <c r="AE41" s="45">
        <v>90</v>
      </c>
      <c r="AF41" s="45">
        <v>105</v>
      </c>
      <c r="AG41" s="52">
        <v>456</v>
      </c>
      <c r="AH41" s="48">
        <f t="shared" si="2"/>
        <v>456</v>
      </c>
      <c r="AI41" s="49">
        <f t="shared" si="3"/>
        <v>13</v>
      </c>
      <c r="AK41" s="50"/>
    </row>
    <row r="42" spans="1:88" ht="15.75" thickBot="1" x14ac:dyDescent="0.3">
      <c r="A42" s="64" t="s">
        <v>50</v>
      </c>
      <c r="B42" s="65">
        <v>60</v>
      </c>
      <c r="C42" s="65">
        <v>60</v>
      </c>
      <c r="D42" s="65">
        <v>60</v>
      </c>
      <c r="E42" s="65">
        <v>60</v>
      </c>
      <c r="F42" s="65">
        <v>60</v>
      </c>
      <c r="G42" s="65">
        <v>60</v>
      </c>
      <c r="H42" s="65">
        <v>60</v>
      </c>
      <c r="I42" s="65">
        <v>60</v>
      </c>
      <c r="J42" s="65">
        <v>60</v>
      </c>
      <c r="K42" s="65">
        <v>60</v>
      </c>
      <c r="L42" s="65">
        <v>60</v>
      </c>
      <c r="M42" s="65">
        <v>60</v>
      </c>
      <c r="N42" s="65">
        <v>60</v>
      </c>
      <c r="O42" s="65">
        <v>60</v>
      </c>
      <c r="P42" s="65">
        <v>60</v>
      </c>
      <c r="Q42" s="65">
        <v>60</v>
      </c>
      <c r="R42" s="65">
        <v>60</v>
      </c>
      <c r="S42" s="65">
        <v>50</v>
      </c>
      <c r="T42" s="65">
        <v>50</v>
      </c>
      <c r="U42" s="65">
        <v>50</v>
      </c>
      <c r="V42" s="65">
        <v>50</v>
      </c>
      <c r="W42" s="65">
        <v>45</v>
      </c>
      <c r="X42" s="67">
        <v>45</v>
      </c>
      <c r="Y42" s="67">
        <v>50</v>
      </c>
      <c r="Z42" s="65">
        <v>55</v>
      </c>
      <c r="AA42" s="65">
        <v>55</v>
      </c>
      <c r="AB42" s="65">
        <v>59</v>
      </c>
      <c r="AC42" s="65">
        <v>59</v>
      </c>
      <c r="AD42" s="65">
        <v>59</v>
      </c>
      <c r="AE42" s="65">
        <v>60</v>
      </c>
      <c r="AF42" s="65">
        <v>60</v>
      </c>
      <c r="AG42" s="55">
        <v>60</v>
      </c>
      <c r="AH42" s="48">
        <f t="shared" si="2"/>
        <v>60</v>
      </c>
      <c r="AI42" s="49">
        <f t="shared" si="3"/>
        <v>45</v>
      </c>
      <c r="AK42" s="50"/>
    </row>
    <row r="43" spans="1:88" ht="15.75" thickBot="1" x14ac:dyDescent="0.3">
      <c r="A43" s="66" t="s">
        <v>51</v>
      </c>
      <c r="B43" s="67">
        <v>21.1</v>
      </c>
      <c r="C43" s="67">
        <v>21</v>
      </c>
      <c r="D43" s="67">
        <v>21.1</v>
      </c>
      <c r="E43" s="67">
        <v>21</v>
      </c>
      <c r="F43" s="67">
        <v>21</v>
      </c>
      <c r="G43" s="67">
        <v>21</v>
      </c>
      <c r="H43" s="67">
        <v>21</v>
      </c>
      <c r="I43" s="67">
        <v>21</v>
      </c>
      <c r="J43" s="67">
        <v>21.1</v>
      </c>
      <c r="K43" s="67">
        <v>21</v>
      </c>
      <c r="L43" s="67">
        <v>21</v>
      </c>
      <c r="M43" s="67">
        <v>20.399999999999999</v>
      </c>
      <c r="N43" s="67">
        <v>20.399999999999999</v>
      </c>
      <c r="O43" s="67">
        <v>20.5</v>
      </c>
      <c r="P43" s="67">
        <v>20.5</v>
      </c>
      <c r="Q43" s="67">
        <v>20.5</v>
      </c>
      <c r="R43" s="67">
        <v>19.5</v>
      </c>
      <c r="S43" s="67">
        <v>19.5</v>
      </c>
      <c r="T43" s="67">
        <v>19.5</v>
      </c>
      <c r="U43" s="67">
        <v>19.5</v>
      </c>
      <c r="V43" s="67">
        <v>19.5</v>
      </c>
      <c r="W43" s="67">
        <v>19.5</v>
      </c>
      <c r="X43" s="61">
        <v>19.5</v>
      </c>
      <c r="Y43" s="61">
        <v>19.5</v>
      </c>
      <c r="Z43" s="61">
        <v>19.5</v>
      </c>
      <c r="AA43" s="67">
        <v>21</v>
      </c>
      <c r="AB43" s="67">
        <v>21.1</v>
      </c>
      <c r="AC43" s="67">
        <v>21.1</v>
      </c>
      <c r="AD43" s="67">
        <v>21.1</v>
      </c>
      <c r="AE43" s="67">
        <v>21.1</v>
      </c>
      <c r="AF43" s="67">
        <v>21.1</v>
      </c>
      <c r="AG43" s="68">
        <v>22.1</v>
      </c>
      <c r="AH43" s="48">
        <f t="shared" si="2"/>
        <v>21.1</v>
      </c>
      <c r="AI43" s="49">
        <f t="shared" si="3"/>
        <v>19.5</v>
      </c>
      <c r="AK43" s="50"/>
    </row>
    <row r="44" spans="1:88" ht="15.75" thickBot="1" x14ac:dyDescent="0.3">
      <c r="A44" s="69" t="s">
        <v>52</v>
      </c>
      <c r="B44" s="61">
        <f t="shared" ref="B44:AG44" si="5">SUM(B41:B43)</f>
        <v>201.1</v>
      </c>
      <c r="C44" s="61">
        <f t="shared" si="5"/>
        <v>94</v>
      </c>
      <c r="D44" s="61">
        <f t="shared" si="5"/>
        <v>101.1</v>
      </c>
      <c r="E44" s="61">
        <f t="shared" si="5"/>
        <v>101</v>
      </c>
      <c r="F44" s="61">
        <f t="shared" si="5"/>
        <v>101</v>
      </c>
      <c r="G44" s="61">
        <f t="shared" si="5"/>
        <v>121</v>
      </c>
      <c r="H44" s="61">
        <f t="shared" si="5"/>
        <v>161</v>
      </c>
      <c r="I44" s="61">
        <f t="shared" si="5"/>
        <v>201</v>
      </c>
      <c r="J44" s="61">
        <f t="shared" si="5"/>
        <v>241.1</v>
      </c>
      <c r="K44" s="61">
        <f t="shared" si="5"/>
        <v>471</v>
      </c>
      <c r="L44" s="61">
        <f t="shared" si="5"/>
        <v>537</v>
      </c>
      <c r="M44" s="61">
        <f t="shared" si="5"/>
        <v>536.4</v>
      </c>
      <c r="N44" s="61">
        <f t="shared" si="5"/>
        <v>480.4</v>
      </c>
      <c r="O44" s="61">
        <f t="shared" si="5"/>
        <v>360.5</v>
      </c>
      <c r="P44" s="61">
        <f t="shared" si="5"/>
        <v>340.5</v>
      </c>
      <c r="Q44" s="61">
        <f t="shared" si="5"/>
        <v>340.5</v>
      </c>
      <c r="R44" s="61">
        <f t="shared" si="5"/>
        <v>219.5</v>
      </c>
      <c r="S44" s="61">
        <f t="shared" si="5"/>
        <v>169.5</v>
      </c>
      <c r="T44" s="61">
        <f t="shared" si="5"/>
        <v>169.5</v>
      </c>
      <c r="U44" s="61">
        <f t="shared" si="5"/>
        <v>269.5</v>
      </c>
      <c r="V44" s="61">
        <f t="shared" si="5"/>
        <v>319.5</v>
      </c>
      <c r="W44" s="61">
        <f t="shared" si="5"/>
        <v>424.5</v>
      </c>
      <c r="X44" s="45">
        <v>520.5</v>
      </c>
      <c r="Y44" s="61">
        <f t="shared" si="5"/>
        <v>499.5</v>
      </c>
      <c r="Z44" s="61">
        <f t="shared" si="5"/>
        <v>424.5</v>
      </c>
      <c r="AA44" s="61">
        <f t="shared" si="5"/>
        <v>288</v>
      </c>
      <c r="AB44" s="61">
        <f t="shared" si="5"/>
        <v>250.1</v>
      </c>
      <c r="AC44" s="61">
        <f t="shared" si="5"/>
        <v>250.1</v>
      </c>
      <c r="AD44" s="61">
        <f t="shared" si="5"/>
        <v>230.1</v>
      </c>
      <c r="AE44" s="61">
        <f t="shared" si="5"/>
        <v>171.1</v>
      </c>
      <c r="AF44" s="61">
        <f t="shared" si="5"/>
        <v>186.1</v>
      </c>
      <c r="AG44" s="62">
        <f t="shared" si="5"/>
        <v>538.1</v>
      </c>
      <c r="AH44" s="48">
        <f t="shared" si="2"/>
        <v>537</v>
      </c>
      <c r="AI44" s="49">
        <f t="shared" si="3"/>
        <v>94</v>
      </c>
      <c r="AK44" s="50"/>
    </row>
    <row r="45" spans="1:88" x14ac:dyDescent="0.25">
      <c r="A45" s="44" t="s">
        <v>53</v>
      </c>
      <c r="B45" s="45">
        <v>111.2</v>
      </c>
      <c r="C45" s="45">
        <v>98</v>
      </c>
      <c r="D45" s="45">
        <v>98</v>
      </c>
      <c r="E45" s="45">
        <v>97</v>
      </c>
      <c r="F45" s="45">
        <v>70.900000000000006</v>
      </c>
      <c r="G45" s="45">
        <v>60</v>
      </c>
      <c r="H45" s="45">
        <v>60.9</v>
      </c>
      <c r="I45" s="45">
        <v>90</v>
      </c>
      <c r="J45" s="45">
        <v>91.5</v>
      </c>
      <c r="K45" s="45">
        <v>143.5</v>
      </c>
      <c r="L45" s="45">
        <v>143.5</v>
      </c>
      <c r="M45" s="45">
        <v>143.5</v>
      </c>
      <c r="N45" s="45">
        <v>141.69999999999999</v>
      </c>
      <c r="O45" s="45">
        <v>141.69999999999999</v>
      </c>
      <c r="P45" s="45">
        <v>141.69999999999999</v>
      </c>
      <c r="Q45" s="45">
        <v>141.69999999999999</v>
      </c>
      <c r="R45" s="45">
        <v>141.69999999999999</v>
      </c>
      <c r="S45" s="45">
        <v>141.6</v>
      </c>
      <c r="T45" s="45">
        <v>141.5</v>
      </c>
      <c r="U45" s="45">
        <v>141.5</v>
      </c>
      <c r="V45" s="45">
        <v>135.6</v>
      </c>
      <c r="W45" s="45">
        <v>135.6</v>
      </c>
      <c r="X45" s="65">
        <v>141.5</v>
      </c>
      <c r="Y45" s="65">
        <v>140</v>
      </c>
      <c r="Z45" s="65">
        <v>140</v>
      </c>
      <c r="AA45" s="65">
        <v>141.30000000000001</v>
      </c>
      <c r="AB45" s="65">
        <v>141.30000000000001</v>
      </c>
      <c r="AC45" s="65">
        <v>141.30000000000001</v>
      </c>
      <c r="AD45" s="65">
        <v>141.30000000000001</v>
      </c>
      <c r="AE45" s="45">
        <v>120</v>
      </c>
      <c r="AF45" s="45">
        <v>120</v>
      </c>
      <c r="AG45" s="52">
        <v>144</v>
      </c>
      <c r="AH45" s="48">
        <f t="shared" si="2"/>
        <v>143.5</v>
      </c>
      <c r="AI45" s="49">
        <f t="shared" si="3"/>
        <v>60</v>
      </c>
      <c r="AK45" s="50"/>
    </row>
    <row r="46" spans="1:88" x14ac:dyDescent="0.25">
      <c r="A46" s="5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60</v>
      </c>
      <c r="G46" s="65">
        <v>60</v>
      </c>
      <c r="H46" s="65">
        <v>60</v>
      </c>
      <c r="I46" s="65">
        <v>71.5</v>
      </c>
      <c r="J46" s="65">
        <v>71.7</v>
      </c>
      <c r="K46" s="65">
        <v>71.7</v>
      </c>
      <c r="L46" s="65">
        <v>71.7</v>
      </c>
      <c r="M46" s="65">
        <v>71.7</v>
      </c>
      <c r="N46" s="45">
        <v>71.900000000000006</v>
      </c>
      <c r="O46" s="45">
        <v>71.900000000000006</v>
      </c>
      <c r="P46" s="45">
        <v>71.900000000000006</v>
      </c>
      <c r="Q46" s="45">
        <v>71.900000000000006</v>
      </c>
      <c r="R46" s="45">
        <v>71.900000000000006</v>
      </c>
      <c r="S46" s="45">
        <v>70</v>
      </c>
      <c r="T46" s="65">
        <v>71.8</v>
      </c>
      <c r="U46" s="65">
        <v>65</v>
      </c>
      <c r="V46" s="65">
        <v>65.8</v>
      </c>
      <c r="W46" s="65">
        <v>65.8</v>
      </c>
      <c r="X46" s="65">
        <v>67.900000000000006</v>
      </c>
      <c r="Y46" s="65">
        <v>66.900000000000006</v>
      </c>
      <c r="Z46" s="65">
        <v>71.2</v>
      </c>
      <c r="AA46" s="65">
        <v>71</v>
      </c>
      <c r="AB46" s="65">
        <v>71</v>
      </c>
      <c r="AC46" s="65">
        <v>71</v>
      </c>
      <c r="AD46" s="65">
        <v>71</v>
      </c>
      <c r="AE46" s="65">
        <v>35</v>
      </c>
      <c r="AF46" s="65">
        <v>35</v>
      </c>
      <c r="AG46" s="55">
        <v>70</v>
      </c>
      <c r="AH46" s="48">
        <f t="shared" si="2"/>
        <v>71.900000000000006</v>
      </c>
      <c r="AI46" s="49">
        <f t="shared" si="3"/>
        <v>35</v>
      </c>
      <c r="AK46" s="50"/>
    </row>
    <row r="47" spans="1:88" x14ac:dyDescent="0.25">
      <c r="A47" s="54" t="s">
        <v>55</v>
      </c>
      <c r="B47" s="65">
        <v>69.7</v>
      </c>
      <c r="C47" s="65">
        <v>70</v>
      </c>
      <c r="D47" s="65">
        <v>70.3</v>
      </c>
      <c r="E47" s="65">
        <v>70</v>
      </c>
      <c r="F47" s="65">
        <v>63</v>
      </c>
      <c r="G47" s="65">
        <v>63</v>
      </c>
      <c r="H47" s="65">
        <v>48</v>
      </c>
      <c r="I47" s="65">
        <v>50</v>
      </c>
      <c r="J47" s="65">
        <v>50</v>
      </c>
      <c r="K47" s="65">
        <v>70</v>
      </c>
      <c r="L47" s="65">
        <v>70</v>
      </c>
      <c r="M47" s="65">
        <v>70</v>
      </c>
      <c r="N47" s="45">
        <v>68.900000000000006</v>
      </c>
      <c r="O47" s="45">
        <v>68.900000000000006</v>
      </c>
      <c r="P47" s="45">
        <v>68.900000000000006</v>
      </c>
      <c r="Q47" s="45">
        <v>68.900000000000006</v>
      </c>
      <c r="R47" s="45">
        <v>68.900000000000006</v>
      </c>
      <c r="S47" s="45">
        <v>69.599999999999994</v>
      </c>
      <c r="T47" s="65">
        <v>69.7</v>
      </c>
      <c r="U47" s="65">
        <v>69.7</v>
      </c>
      <c r="V47" s="65">
        <v>69.7</v>
      </c>
      <c r="W47" s="65">
        <v>69.7</v>
      </c>
      <c r="X47" s="65">
        <v>69.8</v>
      </c>
      <c r="Y47" s="65">
        <v>69.400000000000006</v>
      </c>
      <c r="Z47" s="65">
        <v>69.400000000000006</v>
      </c>
      <c r="AA47" s="65">
        <v>69.400000000000006</v>
      </c>
      <c r="AB47" s="65">
        <v>69.400000000000006</v>
      </c>
      <c r="AC47" s="65">
        <v>69.400000000000006</v>
      </c>
      <c r="AD47" s="65">
        <v>69.400000000000006</v>
      </c>
      <c r="AE47" s="65">
        <v>70.599999999999994</v>
      </c>
      <c r="AF47" s="65">
        <v>70.599999999999994</v>
      </c>
      <c r="AG47" s="55">
        <v>69</v>
      </c>
      <c r="AH47" s="48">
        <f t="shared" si="2"/>
        <v>70.599999999999994</v>
      </c>
      <c r="AI47" s="49">
        <f t="shared" si="3"/>
        <v>48</v>
      </c>
      <c r="AK47" s="50"/>
    </row>
    <row r="48" spans="1:88" x14ac:dyDescent="0.25">
      <c r="A48" s="54" t="s">
        <v>56</v>
      </c>
      <c r="B48" s="57">
        <v>61.5</v>
      </c>
      <c r="C48" s="57">
        <v>61.5</v>
      </c>
      <c r="D48" s="57">
        <v>61.5</v>
      </c>
      <c r="E48" s="57">
        <v>61.5</v>
      </c>
      <c r="F48" s="57">
        <v>61.5</v>
      </c>
      <c r="G48" s="57">
        <v>61.5</v>
      </c>
      <c r="H48" s="57">
        <v>61.5</v>
      </c>
      <c r="I48" s="57">
        <v>61.5</v>
      </c>
      <c r="J48" s="57">
        <v>61.5</v>
      </c>
      <c r="K48" s="57">
        <v>61.5</v>
      </c>
      <c r="L48" s="57">
        <v>61.5</v>
      </c>
      <c r="M48" s="57">
        <v>61.5</v>
      </c>
      <c r="N48" s="45">
        <v>61.5</v>
      </c>
      <c r="O48" s="45">
        <v>61.5</v>
      </c>
      <c r="P48" s="45">
        <v>61.5</v>
      </c>
      <c r="Q48" s="45">
        <v>61.5</v>
      </c>
      <c r="R48" s="45">
        <v>61.5</v>
      </c>
      <c r="S48" s="45">
        <v>61.5</v>
      </c>
      <c r="T48" s="45">
        <v>61.5</v>
      </c>
      <c r="U48" s="45">
        <v>61.5</v>
      </c>
      <c r="V48" s="65">
        <v>61.5</v>
      </c>
      <c r="W48" s="65">
        <v>61.5</v>
      </c>
      <c r="X48" s="65">
        <v>61.5</v>
      </c>
      <c r="Y48" s="65">
        <v>61.5</v>
      </c>
      <c r="Z48" s="65">
        <v>61.5</v>
      </c>
      <c r="AA48" s="65">
        <v>61.5</v>
      </c>
      <c r="AB48" s="65">
        <v>61.5</v>
      </c>
      <c r="AC48" s="65">
        <v>61.5</v>
      </c>
      <c r="AD48" s="65">
        <v>61.5</v>
      </c>
      <c r="AE48" s="57">
        <v>61.5</v>
      </c>
      <c r="AF48" s="57">
        <v>61.5</v>
      </c>
      <c r="AG48" s="55">
        <v>60</v>
      </c>
      <c r="AH48" s="48">
        <f t="shared" si="2"/>
        <v>61.5</v>
      </c>
      <c r="AI48" s="49">
        <f t="shared" si="3"/>
        <v>61.5</v>
      </c>
      <c r="AK48" s="50"/>
    </row>
    <row r="49" spans="1:41" x14ac:dyDescent="0.25">
      <c r="A49" s="54" t="s">
        <v>57</v>
      </c>
      <c r="B49" s="57">
        <v>0</v>
      </c>
      <c r="C49" s="57">
        <v>0</v>
      </c>
      <c r="D49" s="57">
        <v>0</v>
      </c>
      <c r="E49" s="57">
        <v>0</v>
      </c>
      <c r="F49" s="57">
        <v>0</v>
      </c>
      <c r="G49" s="57">
        <v>0</v>
      </c>
      <c r="H49" s="57">
        <v>15</v>
      </c>
      <c r="I49" s="57">
        <v>15</v>
      </c>
      <c r="J49" s="57">
        <v>15</v>
      </c>
      <c r="K49" s="57">
        <v>15</v>
      </c>
      <c r="L49" s="57">
        <v>15</v>
      </c>
      <c r="M49" s="57">
        <v>15</v>
      </c>
      <c r="N49" s="45">
        <v>26.1</v>
      </c>
      <c r="O49" s="45">
        <v>26.1</v>
      </c>
      <c r="P49" s="45">
        <v>14</v>
      </c>
      <c r="Q49" s="45">
        <v>14</v>
      </c>
      <c r="R49" s="45">
        <v>0</v>
      </c>
      <c r="S49" s="45">
        <v>0</v>
      </c>
      <c r="T49" s="45">
        <v>0</v>
      </c>
      <c r="U49" s="45">
        <v>0</v>
      </c>
      <c r="V49" s="65">
        <v>0</v>
      </c>
      <c r="W49" s="65">
        <v>0</v>
      </c>
      <c r="X49" s="45">
        <v>0</v>
      </c>
      <c r="Y49" s="45">
        <v>0</v>
      </c>
      <c r="Z49" s="45">
        <v>0</v>
      </c>
      <c r="AA49" s="45">
        <v>0</v>
      </c>
      <c r="AB49" s="45">
        <v>15</v>
      </c>
      <c r="AC49" s="45">
        <v>13</v>
      </c>
      <c r="AD49" s="45">
        <v>0</v>
      </c>
      <c r="AE49" s="45">
        <v>0</v>
      </c>
      <c r="AF49" s="45">
        <v>0</v>
      </c>
      <c r="AG49" s="55">
        <v>30</v>
      </c>
      <c r="AH49" s="48">
        <f t="shared" si="2"/>
        <v>26.1</v>
      </c>
      <c r="AI49" s="49">
        <f t="shared" si="3"/>
        <v>0</v>
      </c>
      <c r="AK49" s="50"/>
    </row>
    <row r="50" spans="1:41" x14ac:dyDescent="0.25">
      <c r="A50" s="54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4</v>
      </c>
      <c r="N50" s="65">
        <v>5</v>
      </c>
      <c r="O50" s="65">
        <v>6</v>
      </c>
      <c r="P50" s="65">
        <v>7</v>
      </c>
      <c r="Q50" s="65">
        <v>8</v>
      </c>
      <c r="R50" s="65">
        <v>10</v>
      </c>
      <c r="S50" s="65">
        <v>10</v>
      </c>
      <c r="T50" s="45">
        <v>10</v>
      </c>
      <c r="U50" s="45">
        <v>6</v>
      </c>
      <c r="V50" s="45">
        <v>0</v>
      </c>
      <c r="W50" s="45">
        <v>0</v>
      </c>
      <c r="X50" s="45">
        <v>0</v>
      </c>
      <c r="Y50" s="45">
        <v>0</v>
      </c>
      <c r="Z50" s="45">
        <v>0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55">
        <v>25</v>
      </c>
      <c r="AH50" s="48">
        <f t="shared" si="2"/>
        <v>10</v>
      </c>
      <c r="AI50" s="49">
        <f t="shared" si="3"/>
        <v>0</v>
      </c>
      <c r="AK50" s="50"/>
    </row>
    <row r="51" spans="1:41" x14ac:dyDescent="0.25">
      <c r="A51" s="54" t="s">
        <v>59</v>
      </c>
      <c r="B51" s="65">
        <v>17</v>
      </c>
      <c r="C51" s="65">
        <v>17</v>
      </c>
      <c r="D51" s="65">
        <v>17</v>
      </c>
      <c r="E51" s="65">
        <v>17</v>
      </c>
      <c r="F51" s="65">
        <v>17</v>
      </c>
      <c r="G51" s="65">
        <v>17</v>
      </c>
      <c r="H51" s="65">
        <v>17</v>
      </c>
      <c r="I51" s="65">
        <v>17</v>
      </c>
      <c r="J51" s="65">
        <v>17</v>
      </c>
      <c r="K51" s="65">
        <v>17</v>
      </c>
      <c r="L51" s="65">
        <v>17</v>
      </c>
      <c r="M51" s="65">
        <v>17</v>
      </c>
      <c r="N51" s="65">
        <v>17</v>
      </c>
      <c r="O51" s="65">
        <v>17</v>
      </c>
      <c r="P51" s="65">
        <v>17</v>
      </c>
      <c r="Q51" s="65">
        <v>17</v>
      </c>
      <c r="R51" s="65">
        <v>17</v>
      </c>
      <c r="S51" s="65">
        <v>17</v>
      </c>
      <c r="T51" s="45">
        <v>15</v>
      </c>
      <c r="U51" s="45">
        <v>15</v>
      </c>
      <c r="V51" s="45">
        <v>17.5</v>
      </c>
      <c r="W51" s="45">
        <v>17.5</v>
      </c>
      <c r="X51" s="65">
        <v>17.5</v>
      </c>
      <c r="Y51" s="65">
        <v>17.5</v>
      </c>
      <c r="Z51" s="65">
        <v>17.5</v>
      </c>
      <c r="AA51" s="65">
        <v>17.5</v>
      </c>
      <c r="AB51" s="65">
        <v>17.5</v>
      </c>
      <c r="AC51" s="65">
        <v>17.5</v>
      </c>
      <c r="AD51" s="65">
        <v>17.5</v>
      </c>
      <c r="AE51" s="65">
        <v>17.5</v>
      </c>
      <c r="AF51" s="65">
        <v>17.5</v>
      </c>
      <c r="AG51" s="55">
        <v>24</v>
      </c>
      <c r="AH51" s="48">
        <f t="shared" si="2"/>
        <v>17.5</v>
      </c>
      <c r="AI51" s="49">
        <f t="shared" si="3"/>
        <v>15</v>
      </c>
      <c r="AK51" s="50"/>
    </row>
    <row r="52" spans="1:41" x14ac:dyDescent="0.25">
      <c r="A52" s="54" t="s">
        <v>60</v>
      </c>
      <c r="B52" s="65">
        <v>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45">
        <v>0</v>
      </c>
      <c r="U52" s="4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55">
        <v>15</v>
      </c>
      <c r="AH52" s="48">
        <f t="shared" si="2"/>
        <v>0</v>
      </c>
      <c r="AI52" s="49">
        <f t="shared" si="3"/>
        <v>0</v>
      </c>
      <c r="AK52" s="50"/>
      <c r="AL52" s="70"/>
      <c r="AO52" s="70"/>
    </row>
    <row r="53" spans="1:41" s="70" customFormat="1" x14ac:dyDescent="0.25">
      <c r="A53" s="54" t="s">
        <v>61</v>
      </c>
      <c r="B53" s="65">
        <v>13.7</v>
      </c>
      <c r="C53" s="65">
        <v>13.7</v>
      </c>
      <c r="D53" s="65">
        <v>13.7</v>
      </c>
      <c r="E53" s="65">
        <v>14.8</v>
      </c>
      <c r="F53" s="65">
        <v>14.8</v>
      </c>
      <c r="G53" s="65">
        <v>14.8</v>
      </c>
      <c r="H53" s="65">
        <v>14.3</v>
      </c>
      <c r="I53" s="65">
        <v>14.3</v>
      </c>
      <c r="J53" s="65">
        <v>14.3</v>
      </c>
      <c r="K53" s="65">
        <v>14.3</v>
      </c>
      <c r="L53" s="65">
        <v>14.3</v>
      </c>
      <c r="M53" s="65">
        <v>14.3</v>
      </c>
      <c r="N53" s="65">
        <v>13.7</v>
      </c>
      <c r="O53" s="65">
        <v>13.7</v>
      </c>
      <c r="P53" s="65">
        <v>13.7</v>
      </c>
      <c r="Q53" s="65">
        <v>13.7</v>
      </c>
      <c r="R53" s="65">
        <v>13.7</v>
      </c>
      <c r="S53" s="65">
        <v>13.7</v>
      </c>
      <c r="T53" s="45">
        <v>13.9</v>
      </c>
      <c r="U53" s="45">
        <v>13.9</v>
      </c>
      <c r="V53" s="65">
        <v>13.9</v>
      </c>
      <c r="W53" s="65">
        <v>13.9</v>
      </c>
      <c r="X53" s="65">
        <v>13.9</v>
      </c>
      <c r="Y53" s="65">
        <v>13.9</v>
      </c>
      <c r="Z53" s="65">
        <v>13.9</v>
      </c>
      <c r="AA53" s="65">
        <v>13.9</v>
      </c>
      <c r="AB53" s="65">
        <v>13.9</v>
      </c>
      <c r="AC53" s="65">
        <v>13.9</v>
      </c>
      <c r="AD53" s="65">
        <v>13.9</v>
      </c>
      <c r="AE53" s="65">
        <v>13.9</v>
      </c>
      <c r="AF53" s="65">
        <v>13.9</v>
      </c>
      <c r="AG53" s="55">
        <v>14.1</v>
      </c>
      <c r="AH53" s="48">
        <f t="shared" si="2"/>
        <v>14.8</v>
      </c>
      <c r="AI53" s="49">
        <f t="shared" si="3"/>
        <v>13.7</v>
      </c>
      <c r="AJ53" s="1"/>
      <c r="AK53" s="50"/>
      <c r="AL53" s="1"/>
      <c r="AM53" s="1"/>
      <c r="AN53" s="1"/>
      <c r="AO53" s="1"/>
    </row>
    <row r="54" spans="1:41" x14ac:dyDescent="0.25">
      <c r="A54" s="71" t="s">
        <v>62</v>
      </c>
      <c r="B54" s="65">
        <v>7.2</v>
      </c>
      <c r="C54" s="65">
        <v>7.2</v>
      </c>
      <c r="D54" s="65">
        <v>7.2</v>
      </c>
      <c r="E54" s="65">
        <v>9.6999999999999993</v>
      </c>
      <c r="F54" s="65">
        <v>9.6999999999999993</v>
      </c>
      <c r="G54" s="65">
        <v>9.6999999999999993</v>
      </c>
      <c r="H54" s="65">
        <v>9.6999999999999993</v>
      </c>
      <c r="I54" s="65">
        <v>9.6999999999999993</v>
      </c>
      <c r="J54" s="65">
        <v>9.6999999999999993</v>
      </c>
      <c r="K54" s="65">
        <v>9.6999999999999993</v>
      </c>
      <c r="L54" s="65">
        <v>9.6999999999999993</v>
      </c>
      <c r="M54" s="65">
        <v>9.6999999999999993</v>
      </c>
      <c r="N54" s="65">
        <v>9.5</v>
      </c>
      <c r="O54" s="65">
        <v>9.5</v>
      </c>
      <c r="P54" s="65">
        <v>9.5</v>
      </c>
      <c r="Q54" s="65">
        <v>9.5</v>
      </c>
      <c r="R54" s="65">
        <v>9.5</v>
      </c>
      <c r="S54" s="65">
        <v>9.5</v>
      </c>
      <c r="T54" s="45">
        <v>8.3000000000000007</v>
      </c>
      <c r="U54" s="45">
        <v>8.3000000000000007</v>
      </c>
      <c r="V54" s="65">
        <v>8.8000000000000007</v>
      </c>
      <c r="W54" s="65">
        <v>8.8000000000000007</v>
      </c>
      <c r="X54" s="65">
        <v>8.8000000000000007</v>
      </c>
      <c r="Y54" s="65">
        <v>8.8000000000000007</v>
      </c>
      <c r="Z54" s="65">
        <v>8.8000000000000007</v>
      </c>
      <c r="AA54" s="65">
        <v>8.8000000000000007</v>
      </c>
      <c r="AB54" s="65">
        <v>8.8000000000000007</v>
      </c>
      <c r="AC54" s="65">
        <v>8.8000000000000007</v>
      </c>
      <c r="AD54" s="65">
        <v>8.8000000000000007</v>
      </c>
      <c r="AE54" s="65">
        <v>8.8000000000000007</v>
      </c>
      <c r="AF54" s="65">
        <v>8.8000000000000007</v>
      </c>
      <c r="AG54" s="55">
        <v>14</v>
      </c>
      <c r="AH54" s="48">
        <f t="shared" si="2"/>
        <v>9.6999999999999993</v>
      </c>
      <c r="AI54" s="49">
        <f t="shared" si="3"/>
        <v>7.2</v>
      </c>
      <c r="AK54" s="50"/>
    </row>
    <row r="55" spans="1:41" x14ac:dyDescent="0.25">
      <c r="A55" s="54" t="s">
        <v>63</v>
      </c>
      <c r="B55" s="65">
        <v>9</v>
      </c>
      <c r="C55" s="65">
        <v>9</v>
      </c>
      <c r="D55" s="65">
        <v>9</v>
      </c>
      <c r="E55" s="65">
        <v>9</v>
      </c>
      <c r="F55" s="65">
        <v>9</v>
      </c>
      <c r="G55" s="65">
        <v>9</v>
      </c>
      <c r="H55" s="65">
        <v>9</v>
      </c>
      <c r="I55" s="65">
        <v>9</v>
      </c>
      <c r="J55" s="65">
        <v>9</v>
      </c>
      <c r="K55" s="65">
        <v>9</v>
      </c>
      <c r="L55" s="65">
        <v>9</v>
      </c>
      <c r="M55" s="65">
        <v>9</v>
      </c>
      <c r="N55" s="65">
        <v>9</v>
      </c>
      <c r="O55" s="65">
        <v>9</v>
      </c>
      <c r="P55" s="65">
        <v>9</v>
      </c>
      <c r="Q55" s="65">
        <v>9</v>
      </c>
      <c r="R55" s="65">
        <v>9</v>
      </c>
      <c r="S55" s="65">
        <v>9</v>
      </c>
      <c r="T55" s="65">
        <v>9</v>
      </c>
      <c r="U55" s="65">
        <v>9</v>
      </c>
      <c r="V55" s="65">
        <v>6.8</v>
      </c>
      <c r="W55" s="65">
        <v>6.8</v>
      </c>
      <c r="X55" s="65">
        <v>6.8</v>
      </c>
      <c r="Y55" s="65">
        <v>6.8</v>
      </c>
      <c r="Z55" s="65">
        <v>6.8</v>
      </c>
      <c r="AA55" s="65">
        <v>6.8</v>
      </c>
      <c r="AB55" s="65">
        <v>6.8</v>
      </c>
      <c r="AC55" s="65">
        <v>6.8</v>
      </c>
      <c r="AD55" s="65">
        <v>6.8</v>
      </c>
      <c r="AE55" s="65">
        <v>6.8</v>
      </c>
      <c r="AF55" s="65">
        <v>6.8</v>
      </c>
      <c r="AG55" s="55">
        <v>10.050000000000001</v>
      </c>
      <c r="AH55" s="48">
        <f t="shared" si="2"/>
        <v>9</v>
      </c>
      <c r="AI55" s="49">
        <f t="shared" si="3"/>
        <v>6.8</v>
      </c>
      <c r="AK55" s="50"/>
    </row>
    <row r="56" spans="1:41" ht="15.75" thickBot="1" x14ac:dyDescent="0.3">
      <c r="A56" s="54" t="s">
        <v>64</v>
      </c>
      <c r="B56" s="65">
        <v>4.5999999999999996</v>
      </c>
      <c r="C56" s="65">
        <v>4.5999999999999996</v>
      </c>
      <c r="D56" s="65">
        <v>4.5999999999999996</v>
      </c>
      <c r="E56" s="65">
        <v>4.5999999999999996</v>
      </c>
      <c r="F56" s="65">
        <v>4.5999999999999996</v>
      </c>
      <c r="G56" s="65">
        <v>4.5999999999999996</v>
      </c>
      <c r="H56" s="65">
        <v>4.5999999999999996</v>
      </c>
      <c r="I56" s="65">
        <v>4.5999999999999996</v>
      </c>
      <c r="J56" s="65">
        <v>4.5999999999999996</v>
      </c>
      <c r="K56" s="65">
        <v>4.5999999999999996</v>
      </c>
      <c r="L56" s="65">
        <v>4.5999999999999996</v>
      </c>
      <c r="M56" s="65">
        <v>4.5999999999999996</v>
      </c>
      <c r="N56" s="65">
        <v>4.5999999999999996</v>
      </c>
      <c r="O56" s="65">
        <v>4.5999999999999996</v>
      </c>
      <c r="P56" s="65">
        <v>4.5999999999999996</v>
      </c>
      <c r="Q56" s="65">
        <v>4.5999999999999996</v>
      </c>
      <c r="R56" s="65">
        <v>4.5999999999999996</v>
      </c>
      <c r="S56" s="65">
        <v>4.5999999999999996</v>
      </c>
      <c r="T56" s="65">
        <v>4.5999999999999996</v>
      </c>
      <c r="U56" s="65">
        <v>4.5999999999999996</v>
      </c>
      <c r="V56" s="65">
        <v>4.5999999999999996</v>
      </c>
      <c r="W56" s="65">
        <v>4.5999999999999996</v>
      </c>
      <c r="X56" s="72">
        <v>4.5999999999999996</v>
      </c>
      <c r="Y56" s="72">
        <v>4.5999999999999996</v>
      </c>
      <c r="Z56" s="72">
        <v>4.5999999999999996</v>
      </c>
      <c r="AA56" s="72">
        <v>4.5999999999999996</v>
      </c>
      <c r="AB56" s="72">
        <v>4.5999999999999996</v>
      </c>
      <c r="AC56" s="72">
        <v>4.5999999999999996</v>
      </c>
      <c r="AD56" s="72">
        <v>4.5999999999999996</v>
      </c>
      <c r="AE56" s="72">
        <v>4.5999999999999996</v>
      </c>
      <c r="AF56" s="72">
        <v>4.5999999999999996</v>
      </c>
      <c r="AG56" s="55">
        <v>6.2</v>
      </c>
      <c r="AH56" s="48">
        <f t="shared" si="2"/>
        <v>4.5999999999999996</v>
      </c>
      <c r="AI56" s="49">
        <f t="shared" si="3"/>
        <v>4.5999999999999996</v>
      </c>
      <c r="AK56" s="50"/>
    </row>
    <row r="57" spans="1:41" ht="15.75" thickBot="1" x14ac:dyDescent="0.3">
      <c r="A57" s="56" t="s">
        <v>65</v>
      </c>
      <c r="B57" s="72">
        <v>3.54</v>
      </c>
      <c r="C57" s="72">
        <v>3.54</v>
      </c>
      <c r="D57" s="72">
        <v>3.54</v>
      </c>
      <c r="E57" s="72">
        <v>3.54</v>
      </c>
      <c r="F57" s="72">
        <v>3.54</v>
      </c>
      <c r="G57" s="72">
        <v>3.54</v>
      </c>
      <c r="H57" s="72">
        <v>3.54</v>
      </c>
      <c r="I57" s="72">
        <v>3.54</v>
      </c>
      <c r="J57" s="72">
        <v>3.54</v>
      </c>
      <c r="K57" s="72">
        <v>3.54</v>
      </c>
      <c r="L57" s="72">
        <v>3.54</v>
      </c>
      <c r="M57" s="72">
        <v>3.54</v>
      </c>
      <c r="N57" s="72">
        <v>3.54</v>
      </c>
      <c r="O57" s="72">
        <v>3.54</v>
      </c>
      <c r="P57" s="72">
        <v>3.54</v>
      </c>
      <c r="Q57" s="72">
        <v>3.54</v>
      </c>
      <c r="R57" s="72">
        <v>3.54</v>
      </c>
      <c r="S57" s="72">
        <v>3.54</v>
      </c>
      <c r="T57" s="72">
        <v>3.54</v>
      </c>
      <c r="U57" s="72">
        <v>3.54</v>
      </c>
      <c r="V57" s="72">
        <v>3.54</v>
      </c>
      <c r="W57" s="72">
        <v>3.54</v>
      </c>
      <c r="X57" s="61">
        <v>3.54</v>
      </c>
      <c r="Y57" s="72">
        <v>3.54</v>
      </c>
      <c r="Z57" s="72">
        <v>3.54</v>
      </c>
      <c r="AA57" s="72">
        <v>3.54</v>
      </c>
      <c r="AB57" s="72">
        <v>3.54</v>
      </c>
      <c r="AC57" s="72">
        <v>3.54</v>
      </c>
      <c r="AD57" s="72">
        <v>3.54</v>
      </c>
      <c r="AE57" s="72">
        <v>3.54</v>
      </c>
      <c r="AF57" s="72">
        <v>3.54</v>
      </c>
      <c r="AG57" s="73">
        <f>AG224</f>
        <v>8.56</v>
      </c>
      <c r="AH57" s="48">
        <f t="shared" si="2"/>
        <v>3.54</v>
      </c>
      <c r="AI57" s="49">
        <f t="shared" si="3"/>
        <v>3.54</v>
      </c>
      <c r="AK57" s="50"/>
    </row>
    <row r="58" spans="1:41" ht="15.75" thickBot="1" x14ac:dyDescent="0.3">
      <c r="A58" s="74" t="s">
        <v>66</v>
      </c>
      <c r="B58" s="61">
        <f t="shared" ref="B58:AG58" si="6">SUM(B45:B57)</f>
        <v>332.44</v>
      </c>
      <c r="C58" s="61">
        <f t="shared" si="6"/>
        <v>319.54000000000002</v>
      </c>
      <c r="D58" s="61">
        <f t="shared" si="6"/>
        <v>319.84000000000003</v>
      </c>
      <c r="E58" s="61">
        <f t="shared" si="6"/>
        <v>322.14000000000004</v>
      </c>
      <c r="F58" s="61">
        <f t="shared" si="6"/>
        <v>314.04000000000002</v>
      </c>
      <c r="G58" s="61">
        <f t="shared" si="6"/>
        <v>303.14000000000004</v>
      </c>
      <c r="H58" s="61">
        <f t="shared" si="6"/>
        <v>303.54000000000002</v>
      </c>
      <c r="I58" s="61">
        <f t="shared" si="6"/>
        <v>346.14000000000004</v>
      </c>
      <c r="J58" s="61">
        <f t="shared" si="6"/>
        <v>347.84000000000003</v>
      </c>
      <c r="K58" s="61">
        <f t="shared" si="6"/>
        <v>419.84000000000003</v>
      </c>
      <c r="L58" s="61">
        <f t="shared" si="6"/>
        <v>419.84000000000003</v>
      </c>
      <c r="M58" s="61">
        <f t="shared" si="6"/>
        <v>423.84000000000003</v>
      </c>
      <c r="N58" s="61">
        <f t="shared" si="6"/>
        <v>432.44000000000005</v>
      </c>
      <c r="O58" s="61">
        <f t="shared" si="6"/>
        <v>433.44000000000005</v>
      </c>
      <c r="P58" s="61">
        <f t="shared" si="6"/>
        <v>422.34000000000003</v>
      </c>
      <c r="Q58" s="61">
        <f t="shared" si="6"/>
        <v>423.34000000000003</v>
      </c>
      <c r="R58" s="61">
        <f t="shared" si="6"/>
        <v>411.34000000000003</v>
      </c>
      <c r="S58" s="61">
        <f t="shared" si="6"/>
        <v>410.04</v>
      </c>
      <c r="T58" s="61">
        <f t="shared" si="6"/>
        <v>408.84000000000003</v>
      </c>
      <c r="U58" s="61">
        <f t="shared" si="6"/>
        <v>398.04</v>
      </c>
      <c r="V58" s="61">
        <f t="shared" si="6"/>
        <v>387.74</v>
      </c>
      <c r="W58" s="61">
        <f t="shared" si="6"/>
        <v>387.74</v>
      </c>
      <c r="X58" s="45">
        <v>395.84000000000003</v>
      </c>
      <c r="Y58" s="61">
        <f t="shared" si="6"/>
        <v>392.94000000000005</v>
      </c>
      <c r="Z58" s="61">
        <f t="shared" si="6"/>
        <v>397.24000000000007</v>
      </c>
      <c r="AA58" s="61">
        <f t="shared" si="6"/>
        <v>398.34000000000009</v>
      </c>
      <c r="AB58" s="61">
        <f t="shared" si="6"/>
        <v>413.34000000000009</v>
      </c>
      <c r="AC58" s="61">
        <f t="shared" si="6"/>
        <v>411.34000000000009</v>
      </c>
      <c r="AD58" s="61">
        <f t="shared" si="6"/>
        <v>398.34000000000009</v>
      </c>
      <c r="AE58" s="61">
        <f t="shared" si="6"/>
        <v>342.24000000000007</v>
      </c>
      <c r="AF58" s="61">
        <f t="shared" si="6"/>
        <v>342.24000000000007</v>
      </c>
      <c r="AG58" s="62">
        <f t="shared" si="6"/>
        <v>489.91</v>
      </c>
      <c r="AH58" s="48">
        <f t="shared" si="2"/>
        <v>433.44000000000005</v>
      </c>
      <c r="AI58" s="49">
        <f t="shared" si="3"/>
        <v>303.14000000000004</v>
      </c>
      <c r="AK58" s="50"/>
    </row>
    <row r="59" spans="1:41" x14ac:dyDescent="0.25">
      <c r="A59" s="44" t="s">
        <v>67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0</v>
      </c>
      <c r="R59" s="45">
        <v>0</v>
      </c>
      <c r="S59" s="45">
        <v>0</v>
      </c>
      <c r="T59" s="45">
        <v>0</v>
      </c>
      <c r="U59" s="45">
        <v>0</v>
      </c>
      <c r="V59" s="45">
        <v>0</v>
      </c>
      <c r="W59" s="45">
        <v>30</v>
      </c>
      <c r="X59" s="65">
        <v>42.9</v>
      </c>
      <c r="Y59" s="65">
        <v>42.9</v>
      </c>
      <c r="Z59" s="45">
        <v>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52">
        <v>60</v>
      </c>
      <c r="AH59" s="48">
        <f t="shared" si="2"/>
        <v>42.9</v>
      </c>
      <c r="AI59" s="49">
        <f t="shared" si="3"/>
        <v>0</v>
      </c>
      <c r="AK59" s="50"/>
    </row>
    <row r="60" spans="1:41" ht="15.75" thickBot="1" x14ac:dyDescent="0.3">
      <c r="A60" s="54" t="s">
        <v>68</v>
      </c>
      <c r="B60" s="65">
        <v>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14</v>
      </c>
      <c r="X60" s="67">
        <v>19.5</v>
      </c>
      <c r="Y60" s="67">
        <v>19.5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55">
        <v>32</v>
      </c>
      <c r="AH60" s="48">
        <f t="shared" si="2"/>
        <v>19.5</v>
      </c>
      <c r="AI60" s="49">
        <f t="shared" si="3"/>
        <v>0</v>
      </c>
      <c r="AK60" s="50"/>
    </row>
    <row r="61" spans="1:41" ht="15.75" thickBot="1" x14ac:dyDescent="0.3">
      <c r="A61" s="71" t="s">
        <v>69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7">
        <v>0</v>
      </c>
      <c r="M61" s="67">
        <v>0</v>
      </c>
      <c r="N61" s="67">
        <v>0</v>
      </c>
      <c r="O61" s="67">
        <v>0</v>
      </c>
      <c r="P61" s="67">
        <v>0</v>
      </c>
      <c r="Q61" s="67">
        <v>0</v>
      </c>
      <c r="R61" s="67">
        <v>0</v>
      </c>
      <c r="S61" s="67">
        <v>0</v>
      </c>
      <c r="T61" s="67">
        <v>0</v>
      </c>
      <c r="U61" s="67">
        <v>0</v>
      </c>
      <c r="V61" s="67">
        <v>0</v>
      </c>
      <c r="W61" s="67">
        <v>5</v>
      </c>
      <c r="X61" s="61">
        <v>7.1</v>
      </c>
      <c r="Y61" s="61">
        <v>7.1</v>
      </c>
      <c r="Z61" s="67">
        <v>0</v>
      </c>
      <c r="AA61" s="67">
        <v>0</v>
      </c>
      <c r="AB61" s="67">
        <v>0</v>
      </c>
      <c r="AC61" s="67">
        <v>0</v>
      </c>
      <c r="AD61" s="67">
        <v>0</v>
      </c>
      <c r="AE61" s="67">
        <v>0</v>
      </c>
      <c r="AF61" s="67">
        <v>0</v>
      </c>
      <c r="AG61" s="68">
        <v>14</v>
      </c>
      <c r="AH61" s="48">
        <f t="shared" si="2"/>
        <v>7.1</v>
      </c>
      <c r="AI61" s="49">
        <f t="shared" si="3"/>
        <v>0</v>
      </c>
      <c r="AK61" s="50"/>
    </row>
    <row r="62" spans="1:41" ht="15.75" thickBot="1" x14ac:dyDescent="0.3">
      <c r="A62" s="74" t="s">
        <v>70</v>
      </c>
      <c r="B62" s="61">
        <f t="shared" ref="B62:AG62" si="7">SUM(B59:B61)</f>
        <v>0</v>
      </c>
      <c r="C62" s="61">
        <f t="shared" si="7"/>
        <v>0</v>
      </c>
      <c r="D62" s="61">
        <f t="shared" si="7"/>
        <v>0</v>
      </c>
      <c r="E62" s="61">
        <f t="shared" si="7"/>
        <v>0</v>
      </c>
      <c r="F62" s="61">
        <f t="shared" si="7"/>
        <v>0</v>
      </c>
      <c r="G62" s="61">
        <f t="shared" si="7"/>
        <v>0</v>
      </c>
      <c r="H62" s="61">
        <v>0</v>
      </c>
      <c r="I62" s="61">
        <f t="shared" si="7"/>
        <v>0</v>
      </c>
      <c r="J62" s="61">
        <f t="shared" si="7"/>
        <v>0</v>
      </c>
      <c r="K62" s="61">
        <f t="shared" si="7"/>
        <v>0</v>
      </c>
      <c r="L62" s="61">
        <f t="shared" si="7"/>
        <v>0</v>
      </c>
      <c r="M62" s="61">
        <f t="shared" si="7"/>
        <v>0</v>
      </c>
      <c r="N62" s="61">
        <f t="shared" si="7"/>
        <v>0</v>
      </c>
      <c r="O62" s="61">
        <f t="shared" si="7"/>
        <v>0</v>
      </c>
      <c r="P62" s="61">
        <f t="shared" si="7"/>
        <v>0</v>
      </c>
      <c r="Q62" s="61">
        <f t="shared" si="7"/>
        <v>0</v>
      </c>
      <c r="R62" s="61">
        <f t="shared" si="7"/>
        <v>0</v>
      </c>
      <c r="S62" s="61">
        <f>SUM(S59:S61)</f>
        <v>0</v>
      </c>
      <c r="T62" s="61">
        <f t="shared" si="7"/>
        <v>0</v>
      </c>
      <c r="U62" s="61">
        <f t="shared" si="7"/>
        <v>0</v>
      </c>
      <c r="V62" s="61">
        <f t="shared" si="7"/>
        <v>0</v>
      </c>
      <c r="W62" s="61">
        <f t="shared" si="7"/>
        <v>49</v>
      </c>
      <c r="X62" s="45">
        <v>69.5</v>
      </c>
      <c r="Y62" s="61">
        <f t="shared" si="7"/>
        <v>69.5</v>
      </c>
      <c r="Z62" s="61">
        <f t="shared" si="7"/>
        <v>0</v>
      </c>
      <c r="AA62" s="61">
        <f t="shared" si="7"/>
        <v>0</v>
      </c>
      <c r="AB62" s="61">
        <f t="shared" si="7"/>
        <v>0</v>
      </c>
      <c r="AC62" s="61">
        <f t="shared" si="7"/>
        <v>0</v>
      </c>
      <c r="AD62" s="61">
        <f t="shared" si="7"/>
        <v>0</v>
      </c>
      <c r="AE62" s="61">
        <f t="shared" si="7"/>
        <v>0</v>
      </c>
      <c r="AF62" s="61">
        <f t="shared" si="7"/>
        <v>0</v>
      </c>
      <c r="AG62" s="62">
        <f t="shared" si="7"/>
        <v>106</v>
      </c>
      <c r="AH62" s="48">
        <f t="shared" si="2"/>
        <v>69.5</v>
      </c>
      <c r="AI62" s="49">
        <f t="shared" si="3"/>
        <v>0</v>
      </c>
      <c r="AK62" s="50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65">
        <v>0</v>
      </c>
      <c r="Y63" s="6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/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/>
      <c r="AH64" s="48">
        <f t="shared" si="2"/>
        <v>0</v>
      </c>
      <c r="AI64" s="49">
        <f t="shared" si="3"/>
        <v>0</v>
      </c>
      <c r="AK64" s="50"/>
    </row>
    <row r="65" spans="1:37" x14ac:dyDescent="0.25">
      <c r="A65" s="54" t="s">
        <v>73</v>
      </c>
      <c r="B65" s="65">
        <v>-187</v>
      </c>
      <c r="C65" s="65">
        <v>-101</v>
      </c>
      <c r="D65" s="65">
        <v>-98</v>
      </c>
      <c r="E65" s="65">
        <v>-103</v>
      </c>
      <c r="F65" s="65">
        <v>-100.3</v>
      </c>
      <c r="G65" s="65">
        <v>-100</v>
      </c>
      <c r="H65" s="65">
        <v>-96</v>
      </c>
      <c r="I65" s="65">
        <v>-108</v>
      </c>
      <c r="J65" s="65">
        <v>-102</v>
      </c>
      <c r="K65" s="65">
        <v>-256</v>
      </c>
      <c r="L65" s="65">
        <v>-239</v>
      </c>
      <c r="M65" s="65">
        <v>-244.7</v>
      </c>
      <c r="N65" s="65">
        <v>-262.7</v>
      </c>
      <c r="O65" s="65">
        <v>-251.9</v>
      </c>
      <c r="P65" s="65">
        <v>-258.3</v>
      </c>
      <c r="Q65" s="65">
        <v>-250</v>
      </c>
      <c r="R65" s="65">
        <v>-193.3</v>
      </c>
      <c r="S65" s="65">
        <v>-131.80000000000001</v>
      </c>
      <c r="T65" s="65">
        <v>-125</v>
      </c>
      <c r="U65" s="65">
        <v>-195</v>
      </c>
      <c r="V65" s="65">
        <v>-152</v>
      </c>
      <c r="W65" s="65">
        <v>-160</v>
      </c>
      <c r="X65" s="76">
        <v>-241</v>
      </c>
      <c r="Y65" s="76">
        <v>-185</v>
      </c>
      <c r="Z65" s="65">
        <v>-203</v>
      </c>
      <c r="AA65" s="65">
        <v>-123</v>
      </c>
      <c r="AB65" s="65">
        <v>-145.4</v>
      </c>
      <c r="AC65" s="65">
        <v>-205.9</v>
      </c>
      <c r="AD65" s="65">
        <v>-243</v>
      </c>
      <c r="AE65" s="65">
        <v>-198.7</v>
      </c>
      <c r="AF65" s="65">
        <v>-203</v>
      </c>
      <c r="AG65" s="75"/>
      <c r="AH65" s="48">
        <f t="shared" si="2"/>
        <v>-96</v>
      </c>
      <c r="AI65" s="49">
        <f t="shared" si="3"/>
        <v>-262.7</v>
      </c>
      <c r="AK65" s="50"/>
    </row>
    <row r="66" spans="1:37" x14ac:dyDescent="0.25">
      <c r="A66" s="54" t="s">
        <v>74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45">
        <v>0</v>
      </c>
      <c r="Y66" s="45">
        <v>0</v>
      </c>
      <c r="Z66" s="76">
        <v>0</v>
      </c>
      <c r="AA66" s="76">
        <v>0</v>
      </c>
      <c r="AB66" s="76">
        <v>0</v>
      </c>
      <c r="AC66" s="76">
        <v>0</v>
      </c>
      <c r="AD66" s="76">
        <v>0</v>
      </c>
      <c r="AE66" s="76">
        <v>0</v>
      </c>
      <c r="AF66" s="76">
        <v>0</v>
      </c>
      <c r="AG66" s="75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0</v>
      </c>
      <c r="N67" s="45">
        <v>0</v>
      </c>
      <c r="O67" s="45">
        <v>0</v>
      </c>
      <c r="P67" s="45">
        <v>0</v>
      </c>
      <c r="Q67" s="45">
        <v>0</v>
      </c>
      <c r="R67" s="45">
        <v>0</v>
      </c>
      <c r="S67" s="45">
        <v>0</v>
      </c>
      <c r="T67" s="45">
        <v>0</v>
      </c>
      <c r="U67" s="45">
        <v>0</v>
      </c>
      <c r="V67" s="45">
        <v>0</v>
      </c>
      <c r="W67" s="45">
        <v>0</v>
      </c>
      <c r="X67" s="77">
        <v>0</v>
      </c>
      <c r="Y67" s="77">
        <v>0</v>
      </c>
      <c r="Z67" s="45">
        <v>0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7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76</v>
      </c>
      <c r="B68" s="77">
        <v>0</v>
      </c>
      <c r="C68" s="77">
        <v>0</v>
      </c>
      <c r="D68" s="77">
        <v>0</v>
      </c>
      <c r="E68" s="77">
        <v>0</v>
      </c>
      <c r="F68" s="77">
        <v>0</v>
      </c>
      <c r="G68" s="77">
        <v>0</v>
      </c>
      <c r="H68" s="77">
        <v>0</v>
      </c>
      <c r="I68" s="77">
        <v>0</v>
      </c>
      <c r="J68" s="77">
        <v>0</v>
      </c>
      <c r="K68" s="77">
        <v>0</v>
      </c>
      <c r="L68" s="77">
        <v>0</v>
      </c>
      <c r="M68" s="77">
        <v>0</v>
      </c>
      <c r="N68" s="77">
        <v>0</v>
      </c>
      <c r="O68" s="77">
        <v>0</v>
      </c>
      <c r="P68" s="77">
        <v>0</v>
      </c>
      <c r="Q68" s="77">
        <v>0</v>
      </c>
      <c r="R68" s="77">
        <v>0</v>
      </c>
      <c r="S68" s="77">
        <v>0</v>
      </c>
      <c r="T68" s="77">
        <v>0</v>
      </c>
      <c r="U68" s="77">
        <v>0</v>
      </c>
      <c r="V68" s="77">
        <v>0</v>
      </c>
      <c r="W68" s="77">
        <v>0</v>
      </c>
      <c r="X68" s="77">
        <v>0</v>
      </c>
      <c r="Y68" s="77">
        <v>0</v>
      </c>
      <c r="Z68" s="77">
        <v>0</v>
      </c>
      <c r="AA68" s="77">
        <v>0</v>
      </c>
      <c r="AB68" s="77">
        <v>0</v>
      </c>
      <c r="AC68" s="77">
        <v>0</v>
      </c>
      <c r="AD68" s="77">
        <v>0</v>
      </c>
      <c r="AE68" s="77">
        <v>0</v>
      </c>
      <c r="AF68" s="77">
        <v>0</v>
      </c>
      <c r="AG68" s="7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77</v>
      </c>
      <c r="B69" s="77">
        <v>0</v>
      </c>
      <c r="C69" s="77">
        <v>0</v>
      </c>
      <c r="D69" s="77">
        <v>0</v>
      </c>
      <c r="E69" s="77">
        <v>0</v>
      </c>
      <c r="F69" s="77">
        <v>0</v>
      </c>
      <c r="G69" s="77">
        <v>0</v>
      </c>
      <c r="H69" s="77">
        <v>0</v>
      </c>
      <c r="I69" s="77">
        <v>0</v>
      </c>
      <c r="J69" s="77">
        <v>0</v>
      </c>
      <c r="K69" s="77">
        <v>0</v>
      </c>
      <c r="L69" s="77">
        <v>0</v>
      </c>
      <c r="M69" s="77">
        <v>0</v>
      </c>
      <c r="N69" s="77">
        <v>0</v>
      </c>
      <c r="O69" s="77">
        <v>0</v>
      </c>
      <c r="P69" s="77">
        <v>0</v>
      </c>
      <c r="Q69" s="77">
        <v>0</v>
      </c>
      <c r="R69" s="77">
        <v>0</v>
      </c>
      <c r="S69" s="77">
        <v>0</v>
      </c>
      <c r="T69" s="77">
        <v>0</v>
      </c>
      <c r="U69" s="77">
        <v>0</v>
      </c>
      <c r="V69" s="77">
        <v>0</v>
      </c>
      <c r="W69" s="77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79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9">
        <v>0</v>
      </c>
      <c r="Y71" s="79">
        <v>0</v>
      </c>
      <c r="Z71" s="79">
        <v>0</v>
      </c>
      <c r="AA71" s="79">
        <v>0</v>
      </c>
      <c r="AB71" s="79">
        <v>0</v>
      </c>
      <c r="AC71" s="79">
        <v>0</v>
      </c>
      <c r="AD71" s="79">
        <v>0</v>
      </c>
      <c r="AE71" s="79">
        <v>0</v>
      </c>
      <c r="AF71" s="79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ht="15.75" thickBot="1" x14ac:dyDescent="0.3">
      <c r="A72" s="78" t="s">
        <v>80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9">
        <v>0</v>
      </c>
      <c r="O72" s="79">
        <v>0</v>
      </c>
      <c r="P72" s="79">
        <v>0</v>
      </c>
      <c r="Q72" s="79">
        <v>0</v>
      </c>
      <c r="R72" s="79">
        <v>0</v>
      </c>
      <c r="S72" s="79">
        <v>0</v>
      </c>
      <c r="T72" s="79">
        <v>0</v>
      </c>
      <c r="U72" s="79">
        <v>0</v>
      </c>
      <c r="V72" s="79">
        <v>0</v>
      </c>
      <c r="W72" s="79">
        <v>0</v>
      </c>
      <c r="X72" s="79">
        <v>0</v>
      </c>
      <c r="Y72" s="79">
        <v>0</v>
      </c>
      <c r="Z72" s="79">
        <v>0</v>
      </c>
      <c r="AA72" s="79">
        <v>0</v>
      </c>
      <c r="AB72" s="79">
        <v>0</v>
      </c>
      <c r="AC72" s="79">
        <v>0</v>
      </c>
      <c r="AD72" s="79">
        <v>0</v>
      </c>
      <c r="AE72" s="79">
        <v>0</v>
      </c>
      <c r="AF72" s="79">
        <v>0</v>
      </c>
      <c r="AG72" s="80"/>
      <c r="AH72" s="48">
        <f t="shared" si="2"/>
        <v>0</v>
      </c>
      <c r="AI72" s="49">
        <f t="shared" si="3"/>
        <v>0</v>
      </c>
      <c r="AK72" s="50"/>
    </row>
    <row r="73" spans="1:37" ht="15.75" thickBot="1" x14ac:dyDescent="0.3">
      <c r="A73" s="78" t="s">
        <v>81</v>
      </c>
      <c r="B73" s="79">
        <v>0</v>
      </c>
      <c r="C73" s="79">
        <v>0</v>
      </c>
      <c r="D73" s="79">
        <v>0</v>
      </c>
      <c r="E73" s="79">
        <v>0</v>
      </c>
      <c r="F73" s="79">
        <v>0</v>
      </c>
      <c r="G73" s="79">
        <v>0</v>
      </c>
      <c r="H73" s="79">
        <v>0</v>
      </c>
      <c r="I73" s="79">
        <v>0</v>
      </c>
      <c r="J73" s="79">
        <v>0</v>
      </c>
      <c r="K73" s="79">
        <v>0</v>
      </c>
      <c r="L73" s="79">
        <v>0</v>
      </c>
      <c r="M73" s="79">
        <v>0</v>
      </c>
      <c r="N73" s="79">
        <v>0</v>
      </c>
      <c r="O73" s="79">
        <v>0</v>
      </c>
      <c r="P73" s="79">
        <v>0</v>
      </c>
      <c r="Q73" s="79">
        <v>0</v>
      </c>
      <c r="R73" s="79">
        <v>0</v>
      </c>
      <c r="S73" s="79">
        <v>0</v>
      </c>
      <c r="T73" s="79">
        <v>0</v>
      </c>
      <c r="U73" s="79">
        <v>0</v>
      </c>
      <c r="V73" s="79">
        <v>0</v>
      </c>
      <c r="W73" s="79">
        <v>0</v>
      </c>
      <c r="X73" s="61">
        <v>0</v>
      </c>
      <c r="Y73" s="61">
        <v>0</v>
      </c>
      <c r="Z73" s="61">
        <v>0</v>
      </c>
      <c r="AA73" s="61">
        <v>0</v>
      </c>
      <c r="AB73" s="61">
        <v>0</v>
      </c>
      <c r="AC73" s="61">
        <v>0</v>
      </c>
      <c r="AD73" s="61">
        <v>0</v>
      </c>
      <c r="AE73" s="79"/>
      <c r="AF73" s="79"/>
      <c r="AG73" s="80"/>
      <c r="AH73" s="48">
        <f t="shared" si="2"/>
        <v>0</v>
      </c>
      <c r="AI73" s="49">
        <f t="shared" si="3"/>
        <v>0</v>
      </c>
      <c r="AK73" s="50"/>
    </row>
    <row r="74" spans="1:37" ht="15.75" thickBot="1" x14ac:dyDescent="0.3">
      <c r="A74" s="74" t="s">
        <v>82</v>
      </c>
      <c r="B74" s="61">
        <f t="shared" ref="B74:AF74" si="8">SUMIF(B63:B73,"&gt;0")</f>
        <v>0</v>
      </c>
      <c r="C74" s="61">
        <f t="shared" si="8"/>
        <v>0</v>
      </c>
      <c r="D74" s="61">
        <f t="shared" si="8"/>
        <v>0</v>
      </c>
      <c r="E74" s="61">
        <f t="shared" si="8"/>
        <v>0</v>
      </c>
      <c r="F74" s="61">
        <f t="shared" si="8"/>
        <v>0</v>
      </c>
      <c r="G74" s="61">
        <f t="shared" si="8"/>
        <v>0</v>
      </c>
      <c r="H74" s="61">
        <f t="shared" si="8"/>
        <v>0</v>
      </c>
      <c r="I74" s="61">
        <f t="shared" si="8"/>
        <v>0</v>
      </c>
      <c r="J74" s="61">
        <f t="shared" si="8"/>
        <v>0</v>
      </c>
      <c r="K74" s="61">
        <f t="shared" si="8"/>
        <v>0</v>
      </c>
      <c r="L74" s="61">
        <f t="shared" si="8"/>
        <v>0</v>
      </c>
      <c r="M74" s="61">
        <f t="shared" si="8"/>
        <v>0</v>
      </c>
      <c r="N74" s="61">
        <f t="shared" si="8"/>
        <v>0</v>
      </c>
      <c r="O74" s="61">
        <f t="shared" si="8"/>
        <v>0</v>
      </c>
      <c r="P74" s="61">
        <f t="shared" si="8"/>
        <v>0</v>
      </c>
      <c r="Q74" s="61">
        <f t="shared" si="8"/>
        <v>0</v>
      </c>
      <c r="R74" s="61">
        <f t="shared" si="8"/>
        <v>0</v>
      </c>
      <c r="S74" s="61">
        <f t="shared" si="8"/>
        <v>0</v>
      </c>
      <c r="T74" s="61">
        <f t="shared" si="8"/>
        <v>0</v>
      </c>
      <c r="U74" s="61">
        <f t="shared" si="8"/>
        <v>0</v>
      </c>
      <c r="V74" s="61">
        <f t="shared" si="8"/>
        <v>0</v>
      </c>
      <c r="W74" s="61">
        <f t="shared" si="8"/>
        <v>0</v>
      </c>
      <c r="X74" s="76">
        <v>0</v>
      </c>
      <c r="Y74" s="61">
        <f t="shared" si="8"/>
        <v>0</v>
      </c>
      <c r="Z74" s="61">
        <f t="shared" si="8"/>
        <v>0</v>
      </c>
      <c r="AA74" s="61">
        <f t="shared" si="8"/>
        <v>0</v>
      </c>
      <c r="AB74" s="61">
        <f t="shared" si="8"/>
        <v>0</v>
      </c>
      <c r="AC74" s="61">
        <f t="shared" si="8"/>
        <v>0</v>
      </c>
      <c r="AD74" s="61">
        <f t="shared" si="8"/>
        <v>0</v>
      </c>
      <c r="AE74" s="61">
        <f t="shared" si="8"/>
        <v>0</v>
      </c>
      <c r="AF74" s="61">
        <f t="shared" si="8"/>
        <v>0</v>
      </c>
      <c r="AG74" s="81">
        <f>SUM(AG63:AG73)</f>
        <v>0</v>
      </c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44" t="s">
        <v>83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7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82">
        <v>39</v>
      </c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54" t="s">
        <v>84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9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75">
        <v>14.4</v>
      </c>
      <c r="AH76" s="48">
        <f t="shared" ref="AH76:AH109" si="9">MAX(B76:AF76)</f>
        <v>0</v>
      </c>
      <c r="AI76" s="49">
        <f t="shared" ref="AI76:AI109" si="10">MIN(B76:AF76)</f>
        <v>0</v>
      </c>
      <c r="AK76" s="50"/>
    </row>
    <row r="77" spans="1:37" ht="15.75" thickBot="1" x14ac:dyDescent="0.3">
      <c r="A77" s="78" t="s">
        <v>85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61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>
        <v>2</v>
      </c>
      <c r="AH77" s="48">
        <f t="shared" si="9"/>
        <v>0</v>
      </c>
      <c r="AI77" s="49">
        <f t="shared" si="10"/>
        <v>0</v>
      </c>
    </row>
    <row r="78" spans="1:37" ht="15.75" thickBot="1" x14ac:dyDescent="0.3">
      <c r="A78" s="74" t="s">
        <v>86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83">
        <f>X39+X43+X61+X57+X73+X77</f>
        <v>116.84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81">
        <f>SUM(AG75:AG77)</f>
        <v>55.4</v>
      </c>
      <c r="AH78" s="48">
        <f t="shared" si="9"/>
        <v>116.84</v>
      </c>
      <c r="AI78" s="49">
        <f t="shared" si="10"/>
        <v>0</v>
      </c>
    </row>
    <row r="79" spans="1:37" ht="15.75" thickBot="1" x14ac:dyDescent="0.3">
      <c r="A79" s="74" t="s">
        <v>87</v>
      </c>
      <c r="B79" s="83">
        <f t="shared" ref="B79:AG79" si="11">B40+B44+B62+B58+B74+B78</f>
        <v>1108.24</v>
      </c>
      <c r="C79" s="83">
        <f t="shared" si="11"/>
        <v>978.24</v>
      </c>
      <c r="D79" s="83">
        <f t="shared" si="11"/>
        <v>985.6400000000001</v>
      </c>
      <c r="E79" s="83">
        <f t="shared" si="11"/>
        <v>987.1400000000001</v>
      </c>
      <c r="F79" s="83">
        <f t="shared" si="11"/>
        <v>979.04</v>
      </c>
      <c r="G79" s="83">
        <f t="shared" si="11"/>
        <v>1023.5400000000002</v>
      </c>
      <c r="H79" s="83">
        <f t="shared" si="11"/>
        <v>1093.6400000000001</v>
      </c>
      <c r="I79" s="83">
        <f t="shared" si="11"/>
        <v>1176.24</v>
      </c>
      <c r="J79" s="83">
        <f t="shared" si="11"/>
        <v>1219.8400000000001</v>
      </c>
      <c r="K79" s="83">
        <f t="shared" si="11"/>
        <v>1518.7400000000002</v>
      </c>
      <c r="L79" s="83">
        <f t="shared" si="11"/>
        <v>1584.7400000000002</v>
      </c>
      <c r="M79" s="83">
        <f t="shared" si="11"/>
        <v>1577.2400000000002</v>
      </c>
      <c r="N79" s="83">
        <f t="shared" si="11"/>
        <v>1525.2400000000002</v>
      </c>
      <c r="O79" s="83">
        <f t="shared" si="11"/>
        <v>1406.3400000000001</v>
      </c>
      <c r="P79" s="83">
        <f t="shared" si="11"/>
        <v>1375.2400000000002</v>
      </c>
      <c r="Q79" s="83">
        <f t="shared" si="11"/>
        <v>1370.2400000000002</v>
      </c>
      <c r="R79" s="83">
        <f t="shared" si="11"/>
        <v>1237.2400000000002</v>
      </c>
      <c r="S79" s="83">
        <f t="shared" si="11"/>
        <v>1178.44</v>
      </c>
      <c r="T79" s="83">
        <f t="shared" si="11"/>
        <v>1189.3400000000001</v>
      </c>
      <c r="U79" s="83">
        <f t="shared" si="11"/>
        <v>1278.94</v>
      </c>
      <c r="V79" s="83">
        <f t="shared" si="11"/>
        <v>1316.14</v>
      </c>
      <c r="W79" s="83">
        <f t="shared" si="11"/>
        <v>1470.14</v>
      </c>
      <c r="X79" s="83">
        <f t="shared" si="11"/>
        <v>1721.5800000000002</v>
      </c>
      <c r="Y79" s="83">
        <f t="shared" si="11"/>
        <v>1570.8400000000001</v>
      </c>
      <c r="Z79" s="83">
        <f t="shared" si="11"/>
        <v>1430.64</v>
      </c>
      <c r="AA79" s="83">
        <f t="shared" si="11"/>
        <v>1300.8400000000001</v>
      </c>
      <c r="AB79" s="83">
        <f t="shared" si="11"/>
        <v>1274.6400000000001</v>
      </c>
      <c r="AC79" s="83">
        <f t="shared" si="11"/>
        <v>1272.6400000000001</v>
      </c>
      <c r="AD79" s="83">
        <f t="shared" si="11"/>
        <v>1239.6400000000001</v>
      </c>
      <c r="AE79" s="83">
        <f t="shared" si="11"/>
        <v>1097.0400000000002</v>
      </c>
      <c r="AF79" s="83">
        <f t="shared" si="11"/>
        <v>1074.8400000000001</v>
      </c>
      <c r="AG79" s="62">
        <f t="shared" si="11"/>
        <v>1897.1900000000003</v>
      </c>
      <c r="AH79" s="48">
        <f t="shared" si="9"/>
        <v>1721.5800000000002</v>
      </c>
      <c r="AI79" s="49">
        <f t="shared" si="10"/>
        <v>978.24</v>
      </c>
    </row>
    <row r="80" spans="1:37" ht="15.75" thickBot="1" x14ac:dyDescent="0.3">
      <c r="A80" s="84" t="s">
        <v>88</v>
      </c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3"/>
      <c r="Y80" s="85"/>
      <c r="Z80" s="85"/>
      <c r="AA80" s="85"/>
      <c r="AB80" s="85"/>
      <c r="AC80" s="85"/>
      <c r="AD80" s="85"/>
      <c r="AE80" s="85"/>
      <c r="AF80" s="85"/>
      <c r="AG80" s="81"/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89</v>
      </c>
      <c r="B81" s="83">
        <f t="shared" ref="B81:AF81" si="12">B79+B80</f>
        <v>1108.24</v>
      </c>
      <c r="C81" s="83">
        <f t="shared" si="12"/>
        <v>978.24</v>
      </c>
      <c r="D81" s="83">
        <f t="shared" si="12"/>
        <v>985.6400000000001</v>
      </c>
      <c r="E81" s="83">
        <f t="shared" si="12"/>
        <v>987.1400000000001</v>
      </c>
      <c r="F81" s="83">
        <f t="shared" si="12"/>
        <v>979.04</v>
      </c>
      <c r="G81" s="83">
        <f t="shared" si="12"/>
        <v>1023.5400000000002</v>
      </c>
      <c r="H81" s="83">
        <f t="shared" si="12"/>
        <v>1093.6400000000001</v>
      </c>
      <c r="I81" s="83">
        <f t="shared" si="12"/>
        <v>1176.24</v>
      </c>
      <c r="J81" s="83">
        <f t="shared" si="12"/>
        <v>1219.8400000000001</v>
      </c>
      <c r="K81" s="83">
        <f t="shared" si="12"/>
        <v>1518.7400000000002</v>
      </c>
      <c r="L81" s="83">
        <f t="shared" si="12"/>
        <v>1584.7400000000002</v>
      </c>
      <c r="M81" s="83">
        <f t="shared" si="12"/>
        <v>1577.2400000000002</v>
      </c>
      <c r="N81" s="83">
        <f t="shared" si="12"/>
        <v>1525.2400000000002</v>
      </c>
      <c r="O81" s="83">
        <f t="shared" si="12"/>
        <v>1406.3400000000001</v>
      </c>
      <c r="P81" s="83">
        <f t="shared" si="12"/>
        <v>1375.2400000000002</v>
      </c>
      <c r="Q81" s="83">
        <f t="shared" si="12"/>
        <v>1370.2400000000002</v>
      </c>
      <c r="R81" s="83">
        <f t="shared" si="12"/>
        <v>1237.2400000000002</v>
      </c>
      <c r="S81" s="83">
        <f t="shared" si="12"/>
        <v>1178.44</v>
      </c>
      <c r="T81" s="83">
        <f t="shared" si="12"/>
        <v>1189.3400000000001</v>
      </c>
      <c r="U81" s="83">
        <f t="shared" si="12"/>
        <v>1278.94</v>
      </c>
      <c r="V81" s="83">
        <f t="shared" si="12"/>
        <v>1316.14</v>
      </c>
      <c r="W81" s="83">
        <f t="shared" si="12"/>
        <v>1470.14</v>
      </c>
      <c r="X81" s="83">
        <v>1604.7400000000002</v>
      </c>
      <c r="Y81" s="83">
        <f t="shared" si="12"/>
        <v>1570.8400000000001</v>
      </c>
      <c r="Z81" s="83">
        <f t="shared" si="12"/>
        <v>1430.64</v>
      </c>
      <c r="AA81" s="83">
        <f t="shared" si="12"/>
        <v>1300.8400000000001</v>
      </c>
      <c r="AB81" s="83">
        <f t="shared" si="12"/>
        <v>1274.6400000000001</v>
      </c>
      <c r="AC81" s="83">
        <f t="shared" si="12"/>
        <v>1272.6400000000001</v>
      </c>
      <c r="AD81" s="83">
        <f t="shared" si="12"/>
        <v>1239.6400000000001</v>
      </c>
      <c r="AE81" s="83">
        <f t="shared" si="12"/>
        <v>1097.0400000000002</v>
      </c>
      <c r="AF81" s="83">
        <f t="shared" si="12"/>
        <v>1074.8400000000001</v>
      </c>
      <c r="AG81" s="81">
        <f>AG78+AG74+AG62+AG58+AG40+AG80</f>
        <v>1359.0900000000001</v>
      </c>
      <c r="AH81" s="48">
        <f t="shared" si="9"/>
        <v>1604.7400000000002</v>
      </c>
      <c r="AI81" s="49">
        <f t="shared" si="10"/>
        <v>978.24</v>
      </c>
    </row>
    <row r="82" spans="1:37" ht="15.75" thickBot="1" x14ac:dyDescent="0.3">
      <c r="A82" s="74" t="s">
        <v>90</v>
      </c>
      <c r="B82" s="83">
        <f t="shared" ref="B82:AF82" si="13">B81-B89</f>
        <v>921.24</v>
      </c>
      <c r="C82" s="83">
        <f t="shared" si="13"/>
        <v>877.24</v>
      </c>
      <c r="D82" s="83">
        <f t="shared" si="13"/>
        <v>887.6400000000001</v>
      </c>
      <c r="E82" s="83">
        <f t="shared" si="13"/>
        <v>884.1400000000001</v>
      </c>
      <c r="F82" s="83">
        <f t="shared" si="13"/>
        <v>878.74</v>
      </c>
      <c r="G82" s="83">
        <f t="shared" si="13"/>
        <v>923.54000000000019</v>
      </c>
      <c r="H82" s="83">
        <f t="shared" si="13"/>
        <v>997.6400000000001</v>
      </c>
      <c r="I82" s="83">
        <f t="shared" si="13"/>
        <v>1068.24</v>
      </c>
      <c r="J82" s="83">
        <f t="shared" si="13"/>
        <v>1117.8400000000001</v>
      </c>
      <c r="K82" s="83">
        <f t="shared" si="13"/>
        <v>1262.7400000000002</v>
      </c>
      <c r="L82" s="83">
        <f t="shared" si="13"/>
        <v>1345.7400000000002</v>
      </c>
      <c r="M82" s="83">
        <f t="shared" si="13"/>
        <v>1332.5400000000002</v>
      </c>
      <c r="N82" s="83">
        <f t="shared" si="13"/>
        <v>1262.5400000000002</v>
      </c>
      <c r="O82" s="83">
        <f t="shared" si="13"/>
        <v>1154.44</v>
      </c>
      <c r="P82" s="83">
        <f t="shared" si="13"/>
        <v>1116.9400000000003</v>
      </c>
      <c r="Q82" s="83">
        <f t="shared" si="13"/>
        <v>1120.2400000000002</v>
      </c>
      <c r="R82" s="83">
        <f t="shared" si="13"/>
        <v>1043.9400000000003</v>
      </c>
      <c r="S82" s="83">
        <f t="shared" si="13"/>
        <v>1046.6400000000001</v>
      </c>
      <c r="T82" s="83">
        <f t="shared" si="13"/>
        <v>1064.3400000000001</v>
      </c>
      <c r="U82" s="83">
        <f t="shared" si="13"/>
        <v>1083.94</v>
      </c>
      <c r="V82" s="83">
        <f t="shared" si="13"/>
        <v>1164.1400000000001</v>
      </c>
      <c r="W82" s="83">
        <f t="shared" si="13"/>
        <v>1310.1400000000001</v>
      </c>
      <c r="X82" s="76">
        <v>1363.7400000000002</v>
      </c>
      <c r="Y82" s="83">
        <f t="shared" si="13"/>
        <v>1385.8400000000001</v>
      </c>
      <c r="Z82" s="83">
        <f t="shared" si="13"/>
        <v>1227.6400000000001</v>
      </c>
      <c r="AA82" s="83">
        <f t="shared" si="13"/>
        <v>1177.8400000000001</v>
      </c>
      <c r="AB82" s="83">
        <f t="shared" si="13"/>
        <v>1129.24</v>
      </c>
      <c r="AC82" s="83">
        <f t="shared" si="13"/>
        <v>1066.74</v>
      </c>
      <c r="AD82" s="83">
        <f t="shared" si="13"/>
        <v>996.6400000000001</v>
      </c>
      <c r="AE82" s="83">
        <f t="shared" si="13"/>
        <v>898.34000000000015</v>
      </c>
      <c r="AF82" s="83">
        <f t="shared" si="13"/>
        <v>871.84000000000015</v>
      </c>
      <c r="AG82" s="81"/>
      <c r="AH82" s="48">
        <f t="shared" si="9"/>
        <v>1385.8400000000001</v>
      </c>
      <c r="AI82" s="49">
        <f t="shared" si="10"/>
        <v>871.84000000000015</v>
      </c>
    </row>
    <row r="83" spans="1:37" x14ac:dyDescent="0.25">
      <c r="A83" s="44" t="s">
        <v>74</v>
      </c>
      <c r="B83" s="76">
        <f t="shared" ref="B83:AF83" si="14">IF(B66&lt;0,B66*-1,0)</f>
        <v>0</v>
      </c>
      <c r="C83" s="76">
        <f t="shared" si="14"/>
        <v>0</v>
      </c>
      <c r="D83" s="76">
        <f t="shared" si="14"/>
        <v>0</v>
      </c>
      <c r="E83" s="76">
        <f t="shared" si="14"/>
        <v>0</v>
      </c>
      <c r="F83" s="76">
        <f t="shared" si="14"/>
        <v>0</v>
      </c>
      <c r="G83" s="76">
        <f t="shared" si="14"/>
        <v>0</v>
      </c>
      <c r="H83" s="76">
        <f t="shared" si="14"/>
        <v>0</v>
      </c>
      <c r="I83" s="76">
        <f t="shared" si="14"/>
        <v>0</v>
      </c>
      <c r="J83" s="76">
        <f t="shared" si="14"/>
        <v>0</v>
      </c>
      <c r="K83" s="76">
        <f t="shared" si="14"/>
        <v>0</v>
      </c>
      <c r="L83" s="76">
        <f t="shared" si="14"/>
        <v>0</v>
      </c>
      <c r="M83" s="76">
        <f t="shared" si="14"/>
        <v>0</v>
      </c>
      <c r="N83" s="76">
        <f t="shared" si="14"/>
        <v>0</v>
      </c>
      <c r="O83" s="76">
        <f t="shared" si="14"/>
        <v>0</v>
      </c>
      <c r="P83" s="76">
        <f t="shared" si="14"/>
        <v>0</v>
      </c>
      <c r="Q83" s="76">
        <f t="shared" si="14"/>
        <v>0</v>
      </c>
      <c r="R83" s="76">
        <f t="shared" si="14"/>
        <v>0</v>
      </c>
      <c r="S83" s="76">
        <f t="shared" si="14"/>
        <v>0</v>
      </c>
      <c r="T83" s="76">
        <f t="shared" si="14"/>
        <v>0</v>
      </c>
      <c r="U83" s="76">
        <f t="shared" si="14"/>
        <v>0</v>
      </c>
      <c r="V83" s="76">
        <f t="shared" si="14"/>
        <v>0</v>
      </c>
      <c r="W83" s="76">
        <f t="shared" si="14"/>
        <v>0</v>
      </c>
      <c r="X83" s="76">
        <v>0</v>
      </c>
      <c r="Y83" s="76">
        <f t="shared" si="14"/>
        <v>0</v>
      </c>
      <c r="Z83" s="76">
        <f t="shared" si="14"/>
        <v>0</v>
      </c>
      <c r="AA83" s="76">
        <f t="shared" si="14"/>
        <v>0</v>
      </c>
      <c r="AB83" s="76">
        <f t="shared" si="14"/>
        <v>0</v>
      </c>
      <c r="AC83" s="76">
        <f t="shared" si="14"/>
        <v>0</v>
      </c>
      <c r="AD83" s="76">
        <f t="shared" si="14"/>
        <v>0</v>
      </c>
      <c r="AE83" s="76">
        <f t="shared" si="14"/>
        <v>0</v>
      </c>
      <c r="AF83" s="76">
        <f t="shared" si="14"/>
        <v>0</v>
      </c>
      <c r="AG83" s="52"/>
      <c r="AH83" s="48">
        <f t="shared" si="9"/>
        <v>0</v>
      </c>
      <c r="AI83" s="49">
        <f t="shared" si="10"/>
        <v>0</v>
      </c>
    </row>
    <row r="84" spans="1:37" x14ac:dyDescent="0.25">
      <c r="A84" s="54" t="s">
        <v>72</v>
      </c>
      <c r="B84" s="76">
        <f t="shared" ref="B84:AF84" si="15">IF(B64&lt;0,B64*-1,0)</f>
        <v>0</v>
      </c>
      <c r="C84" s="76">
        <f t="shared" si="15"/>
        <v>0</v>
      </c>
      <c r="D84" s="76">
        <f t="shared" si="15"/>
        <v>0</v>
      </c>
      <c r="E84" s="76">
        <f t="shared" si="15"/>
        <v>0</v>
      </c>
      <c r="F84" s="76">
        <f t="shared" si="15"/>
        <v>0</v>
      </c>
      <c r="G84" s="76">
        <f t="shared" si="15"/>
        <v>0</v>
      </c>
      <c r="H84" s="76">
        <f t="shared" si="15"/>
        <v>0</v>
      </c>
      <c r="I84" s="76">
        <f t="shared" si="15"/>
        <v>0</v>
      </c>
      <c r="J84" s="76">
        <f t="shared" si="15"/>
        <v>0</v>
      </c>
      <c r="K84" s="76">
        <f t="shared" si="15"/>
        <v>0</v>
      </c>
      <c r="L84" s="76">
        <f t="shared" si="15"/>
        <v>0</v>
      </c>
      <c r="M84" s="76">
        <f t="shared" si="15"/>
        <v>0</v>
      </c>
      <c r="N84" s="76">
        <f t="shared" si="15"/>
        <v>0</v>
      </c>
      <c r="O84" s="76">
        <f t="shared" si="15"/>
        <v>0</v>
      </c>
      <c r="P84" s="76">
        <f t="shared" si="15"/>
        <v>0</v>
      </c>
      <c r="Q84" s="76">
        <f t="shared" si="15"/>
        <v>0</v>
      </c>
      <c r="R84" s="76">
        <f t="shared" si="15"/>
        <v>0</v>
      </c>
      <c r="S84" s="76">
        <f t="shared" si="15"/>
        <v>0</v>
      </c>
      <c r="T84" s="76">
        <f t="shared" si="15"/>
        <v>0</v>
      </c>
      <c r="U84" s="76">
        <f t="shared" si="15"/>
        <v>0</v>
      </c>
      <c r="V84" s="76">
        <f t="shared" si="15"/>
        <v>0</v>
      </c>
      <c r="W84" s="76">
        <f t="shared" si="15"/>
        <v>0</v>
      </c>
      <c r="X84" s="76">
        <v>0</v>
      </c>
      <c r="Y84" s="76">
        <f t="shared" si="15"/>
        <v>0</v>
      </c>
      <c r="Z84" s="76">
        <f t="shared" si="15"/>
        <v>0</v>
      </c>
      <c r="AA84" s="76">
        <f t="shared" si="15"/>
        <v>0</v>
      </c>
      <c r="AB84" s="76">
        <f t="shared" si="15"/>
        <v>0</v>
      </c>
      <c r="AC84" s="76">
        <f t="shared" si="15"/>
        <v>0</v>
      </c>
      <c r="AD84" s="76">
        <f t="shared" si="15"/>
        <v>0</v>
      </c>
      <c r="AE84" s="76">
        <f t="shared" si="15"/>
        <v>0</v>
      </c>
      <c r="AF84" s="76">
        <f t="shared" si="15"/>
        <v>0</v>
      </c>
      <c r="AG84" s="55"/>
      <c r="AH84" s="48">
        <f t="shared" si="9"/>
        <v>0</v>
      </c>
      <c r="AI84" s="49">
        <f t="shared" si="10"/>
        <v>0</v>
      </c>
    </row>
    <row r="85" spans="1:37" x14ac:dyDescent="0.25">
      <c r="A85" s="78" t="s">
        <v>91</v>
      </c>
      <c r="B85" s="76">
        <f t="shared" ref="B85:AF85" si="16">IF(B67&lt;0,B67*-1,0)</f>
        <v>0</v>
      </c>
      <c r="C85" s="76">
        <f t="shared" si="16"/>
        <v>0</v>
      </c>
      <c r="D85" s="76">
        <f t="shared" si="16"/>
        <v>0</v>
      </c>
      <c r="E85" s="76">
        <f t="shared" si="16"/>
        <v>0</v>
      </c>
      <c r="F85" s="76">
        <f t="shared" si="16"/>
        <v>0</v>
      </c>
      <c r="G85" s="76">
        <f t="shared" si="16"/>
        <v>0</v>
      </c>
      <c r="H85" s="76">
        <f t="shared" si="16"/>
        <v>0</v>
      </c>
      <c r="I85" s="76">
        <f t="shared" si="16"/>
        <v>0</v>
      </c>
      <c r="J85" s="76">
        <f t="shared" si="16"/>
        <v>0</v>
      </c>
      <c r="K85" s="76">
        <f t="shared" si="16"/>
        <v>0</v>
      </c>
      <c r="L85" s="76">
        <f t="shared" si="16"/>
        <v>0</v>
      </c>
      <c r="M85" s="76">
        <f t="shared" si="16"/>
        <v>0</v>
      </c>
      <c r="N85" s="76">
        <f t="shared" si="16"/>
        <v>0</v>
      </c>
      <c r="O85" s="76">
        <f t="shared" si="16"/>
        <v>0</v>
      </c>
      <c r="P85" s="76">
        <f t="shared" si="16"/>
        <v>0</v>
      </c>
      <c r="Q85" s="76">
        <f t="shared" si="16"/>
        <v>0</v>
      </c>
      <c r="R85" s="76">
        <f t="shared" si="16"/>
        <v>0</v>
      </c>
      <c r="S85" s="76">
        <f t="shared" si="16"/>
        <v>0</v>
      </c>
      <c r="T85" s="76">
        <f t="shared" si="16"/>
        <v>0</v>
      </c>
      <c r="U85" s="76">
        <f t="shared" si="16"/>
        <v>0</v>
      </c>
      <c r="V85" s="76">
        <f t="shared" si="16"/>
        <v>0</v>
      </c>
      <c r="W85" s="76">
        <f t="shared" si="16"/>
        <v>0</v>
      </c>
      <c r="X85" s="76">
        <v>0</v>
      </c>
      <c r="Y85" s="76">
        <f t="shared" si="16"/>
        <v>0</v>
      </c>
      <c r="Z85" s="76">
        <f t="shared" si="16"/>
        <v>0</v>
      </c>
      <c r="AA85" s="76">
        <f t="shared" si="16"/>
        <v>0</v>
      </c>
      <c r="AB85" s="76">
        <f t="shared" si="16"/>
        <v>0</v>
      </c>
      <c r="AC85" s="76">
        <f t="shared" si="16"/>
        <v>0</v>
      </c>
      <c r="AD85" s="76">
        <f t="shared" si="16"/>
        <v>0</v>
      </c>
      <c r="AE85" s="76">
        <f t="shared" si="16"/>
        <v>0</v>
      </c>
      <c r="AF85" s="76">
        <f t="shared" si="16"/>
        <v>0</v>
      </c>
      <c r="AG85" s="86"/>
      <c r="AH85" s="48">
        <f t="shared" si="9"/>
        <v>0</v>
      </c>
      <c r="AI85" s="49">
        <f t="shared" si="10"/>
        <v>0</v>
      </c>
    </row>
    <row r="86" spans="1:37" x14ac:dyDescent="0.25">
      <c r="A86" s="78" t="s">
        <v>92</v>
      </c>
      <c r="B86" s="76">
        <f t="shared" ref="B86:AF86" si="17">IF(B65&lt;0,B65*-1,0)</f>
        <v>187</v>
      </c>
      <c r="C86" s="76">
        <f t="shared" si="17"/>
        <v>101</v>
      </c>
      <c r="D86" s="76">
        <f t="shared" si="17"/>
        <v>98</v>
      </c>
      <c r="E86" s="76">
        <f t="shared" si="17"/>
        <v>103</v>
      </c>
      <c r="F86" s="76">
        <f t="shared" si="17"/>
        <v>100.3</v>
      </c>
      <c r="G86" s="76">
        <f t="shared" si="17"/>
        <v>100</v>
      </c>
      <c r="H86" s="76">
        <f t="shared" si="17"/>
        <v>96</v>
      </c>
      <c r="I86" s="76">
        <f t="shared" si="17"/>
        <v>108</v>
      </c>
      <c r="J86" s="76">
        <f t="shared" si="17"/>
        <v>102</v>
      </c>
      <c r="K86" s="76">
        <f t="shared" si="17"/>
        <v>256</v>
      </c>
      <c r="L86" s="76">
        <f t="shared" si="17"/>
        <v>239</v>
      </c>
      <c r="M86" s="76">
        <f t="shared" si="17"/>
        <v>244.7</v>
      </c>
      <c r="N86" s="76">
        <f t="shared" si="17"/>
        <v>262.7</v>
      </c>
      <c r="O86" s="76">
        <f t="shared" si="17"/>
        <v>251.9</v>
      </c>
      <c r="P86" s="76">
        <f t="shared" si="17"/>
        <v>258.3</v>
      </c>
      <c r="Q86" s="76">
        <f t="shared" si="17"/>
        <v>250</v>
      </c>
      <c r="R86" s="76">
        <f t="shared" si="17"/>
        <v>193.3</v>
      </c>
      <c r="S86" s="76">
        <f t="shared" si="17"/>
        <v>131.80000000000001</v>
      </c>
      <c r="T86" s="76">
        <f t="shared" si="17"/>
        <v>125</v>
      </c>
      <c r="U86" s="76">
        <f t="shared" si="17"/>
        <v>195</v>
      </c>
      <c r="V86" s="76">
        <f t="shared" si="17"/>
        <v>152</v>
      </c>
      <c r="W86" s="76">
        <f t="shared" si="17"/>
        <v>160</v>
      </c>
      <c r="X86" s="76">
        <v>241</v>
      </c>
      <c r="Y86" s="76">
        <f t="shared" si="17"/>
        <v>185</v>
      </c>
      <c r="Z86" s="76">
        <f t="shared" si="17"/>
        <v>203</v>
      </c>
      <c r="AA86" s="76">
        <f t="shared" si="17"/>
        <v>123</v>
      </c>
      <c r="AB86" s="76">
        <f t="shared" si="17"/>
        <v>145.4</v>
      </c>
      <c r="AC86" s="76">
        <f t="shared" si="17"/>
        <v>205.9</v>
      </c>
      <c r="AD86" s="76">
        <f t="shared" si="17"/>
        <v>243</v>
      </c>
      <c r="AE86" s="76">
        <f t="shared" si="17"/>
        <v>198.7</v>
      </c>
      <c r="AF86" s="76">
        <f t="shared" si="17"/>
        <v>203</v>
      </c>
      <c r="AG86" s="86"/>
      <c r="AH86" s="48">
        <f t="shared" si="9"/>
        <v>262.7</v>
      </c>
      <c r="AI86" s="49">
        <f t="shared" si="10"/>
        <v>96</v>
      </c>
    </row>
    <row r="87" spans="1:37" ht="15.75" thickBot="1" x14ac:dyDescent="0.3">
      <c r="A87" s="78" t="s">
        <v>71</v>
      </c>
      <c r="B87" s="76">
        <f t="shared" ref="B87:AF87" si="18">IF(B63&lt;0,B63*-1,0)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9"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86"/>
      <c r="AH87" s="48">
        <f t="shared" si="9"/>
        <v>0</v>
      </c>
      <c r="AI87" s="49">
        <f t="shared" si="10"/>
        <v>0</v>
      </c>
    </row>
    <row r="88" spans="1:37" ht="15.75" thickBot="1" x14ac:dyDescent="0.3">
      <c r="A88" s="78" t="s">
        <v>93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61">
        <v>0</v>
      </c>
      <c r="Y88" s="79"/>
      <c r="Z88" s="79">
        <v>0</v>
      </c>
      <c r="AA88" s="79">
        <v>0</v>
      </c>
      <c r="AB88" s="79">
        <v>0</v>
      </c>
      <c r="AC88" s="79"/>
      <c r="AD88" s="79"/>
      <c r="AE88" s="79"/>
      <c r="AF88" s="79"/>
      <c r="AG88" s="80"/>
      <c r="AH88" s="48">
        <f t="shared" si="9"/>
        <v>0</v>
      </c>
      <c r="AI88" s="49">
        <f t="shared" si="10"/>
        <v>0</v>
      </c>
    </row>
    <row r="89" spans="1:37" ht="15.75" thickBot="1" x14ac:dyDescent="0.3">
      <c r="A89" s="87" t="s">
        <v>94</v>
      </c>
      <c r="B89" s="61">
        <f t="shared" ref="B89:AF89" si="19">SUM(B83:B88)</f>
        <v>187</v>
      </c>
      <c r="C89" s="61">
        <f t="shared" si="19"/>
        <v>101</v>
      </c>
      <c r="D89" s="61">
        <f t="shared" si="19"/>
        <v>98</v>
      </c>
      <c r="E89" s="61">
        <f t="shared" si="19"/>
        <v>103</v>
      </c>
      <c r="F89" s="61">
        <f t="shared" si="19"/>
        <v>100.3</v>
      </c>
      <c r="G89" s="61">
        <f t="shared" si="19"/>
        <v>100</v>
      </c>
      <c r="H89" s="61">
        <f t="shared" si="19"/>
        <v>96</v>
      </c>
      <c r="I89" s="61">
        <f t="shared" si="19"/>
        <v>108</v>
      </c>
      <c r="J89" s="61">
        <f t="shared" si="19"/>
        <v>102</v>
      </c>
      <c r="K89" s="61">
        <f t="shared" si="19"/>
        <v>256</v>
      </c>
      <c r="L89" s="61">
        <f t="shared" si="19"/>
        <v>239</v>
      </c>
      <c r="M89" s="61">
        <f t="shared" si="19"/>
        <v>244.7</v>
      </c>
      <c r="N89" s="61">
        <f t="shared" si="19"/>
        <v>262.7</v>
      </c>
      <c r="O89" s="61">
        <f t="shared" si="19"/>
        <v>251.9</v>
      </c>
      <c r="P89" s="61">
        <f t="shared" si="19"/>
        <v>258.3</v>
      </c>
      <c r="Q89" s="61">
        <f t="shared" si="19"/>
        <v>250</v>
      </c>
      <c r="R89" s="61">
        <f t="shared" si="19"/>
        <v>193.3</v>
      </c>
      <c r="S89" s="61">
        <f t="shared" si="19"/>
        <v>131.80000000000001</v>
      </c>
      <c r="T89" s="61">
        <f t="shared" si="19"/>
        <v>125</v>
      </c>
      <c r="U89" s="61">
        <f t="shared" si="19"/>
        <v>195</v>
      </c>
      <c r="V89" s="61">
        <f t="shared" si="19"/>
        <v>152</v>
      </c>
      <c r="W89" s="61">
        <f t="shared" si="19"/>
        <v>160</v>
      </c>
      <c r="X89" s="61">
        <v>241</v>
      </c>
      <c r="Y89" s="61">
        <f t="shared" si="19"/>
        <v>185</v>
      </c>
      <c r="Z89" s="61">
        <f t="shared" si="19"/>
        <v>203</v>
      </c>
      <c r="AA89" s="61">
        <f t="shared" si="19"/>
        <v>123</v>
      </c>
      <c r="AB89" s="61">
        <f t="shared" si="19"/>
        <v>145.4</v>
      </c>
      <c r="AC89" s="61">
        <f t="shared" si="19"/>
        <v>205.9</v>
      </c>
      <c r="AD89" s="61">
        <f t="shared" si="19"/>
        <v>243</v>
      </c>
      <c r="AE89" s="61">
        <f t="shared" si="19"/>
        <v>198.7</v>
      </c>
      <c r="AF89" s="61">
        <f t="shared" si="19"/>
        <v>203</v>
      </c>
      <c r="AG89" s="81"/>
      <c r="AH89" s="48">
        <f t="shared" si="9"/>
        <v>262.7</v>
      </c>
      <c r="AI89" s="49">
        <f t="shared" si="10"/>
        <v>96</v>
      </c>
      <c r="AK89" s="50"/>
    </row>
    <row r="90" spans="1:37" ht="15.75" thickBot="1" x14ac:dyDescent="0.3">
      <c r="A90" s="74" t="s">
        <v>95</v>
      </c>
      <c r="B90" s="61">
        <f t="shared" ref="B90:AF90" si="20">B74-B89</f>
        <v>-187</v>
      </c>
      <c r="C90" s="61">
        <f t="shared" si="20"/>
        <v>-101</v>
      </c>
      <c r="D90" s="61">
        <f t="shared" si="20"/>
        <v>-98</v>
      </c>
      <c r="E90" s="61">
        <f t="shared" si="20"/>
        <v>-103</v>
      </c>
      <c r="F90" s="61">
        <f t="shared" si="20"/>
        <v>-100.3</v>
      </c>
      <c r="G90" s="61">
        <f t="shared" si="20"/>
        <v>-100</v>
      </c>
      <c r="H90" s="61">
        <f t="shared" si="20"/>
        <v>-96</v>
      </c>
      <c r="I90" s="61">
        <f t="shared" si="20"/>
        <v>-108</v>
      </c>
      <c r="J90" s="61">
        <f t="shared" si="20"/>
        <v>-102</v>
      </c>
      <c r="K90" s="61">
        <f t="shared" si="20"/>
        <v>-256</v>
      </c>
      <c r="L90" s="61">
        <f t="shared" si="20"/>
        <v>-239</v>
      </c>
      <c r="M90" s="61">
        <f t="shared" si="20"/>
        <v>-244.7</v>
      </c>
      <c r="N90" s="61">
        <f t="shared" si="20"/>
        <v>-262.7</v>
      </c>
      <c r="O90" s="61">
        <f t="shared" si="20"/>
        <v>-251.9</v>
      </c>
      <c r="P90" s="61">
        <f t="shared" si="20"/>
        <v>-258.3</v>
      </c>
      <c r="Q90" s="61">
        <f t="shared" si="20"/>
        <v>-250</v>
      </c>
      <c r="R90" s="61">
        <f t="shared" si="20"/>
        <v>-193.3</v>
      </c>
      <c r="S90" s="61">
        <f t="shared" si="20"/>
        <v>-131.80000000000001</v>
      </c>
      <c r="T90" s="61">
        <f t="shared" si="20"/>
        <v>-125</v>
      </c>
      <c r="U90" s="61">
        <f t="shared" si="20"/>
        <v>-195</v>
      </c>
      <c r="V90" s="61">
        <f t="shared" si="20"/>
        <v>-152</v>
      </c>
      <c r="W90" s="61">
        <f t="shared" si="20"/>
        <v>-160</v>
      </c>
      <c r="X90" s="89">
        <v>-241</v>
      </c>
      <c r="Y90" s="61">
        <f t="shared" si="20"/>
        <v>-185</v>
      </c>
      <c r="Z90" s="61">
        <f t="shared" si="20"/>
        <v>-203</v>
      </c>
      <c r="AA90" s="61">
        <f t="shared" si="20"/>
        <v>-123</v>
      </c>
      <c r="AB90" s="61">
        <f t="shared" si="20"/>
        <v>-145.4</v>
      </c>
      <c r="AC90" s="61">
        <f t="shared" si="20"/>
        <v>-205.9</v>
      </c>
      <c r="AD90" s="61">
        <f t="shared" si="20"/>
        <v>-243</v>
      </c>
      <c r="AE90" s="61">
        <f t="shared" si="20"/>
        <v>-198.7</v>
      </c>
      <c r="AF90" s="61">
        <f t="shared" si="20"/>
        <v>-203</v>
      </c>
      <c r="AG90" s="81"/>
      <c r="AH90" s="48">
        <f t="shared" si="9"/>
        <v>-96</v>
      </c>
      <c r="AI90" s="49">
        <f t="shared" si="10"/>
        <v>-262.7</v>
      </c>
    </row>
    <row r="91" spans="1:37" x14ac:dyDescent="0.25">
      <c r="A91" s="88" t="s">
        <v>96</v>
      </c>
      <c r="B91" s="89">
        <v>50.040999999999997</v>
      </c>
      <c r="C91" s="89">
        <v>49.975000000000001</v>
      </c>
      <c r="D91" s="89">
        <v>49.981999999999999</v>
      </c>
      <c r="E91" s="89">
        <v>50.043999999999997</v>
      </c>
      <c r="F91" s="89">
        <v>49.999699999999997</v>
      </c>
      <c r="G91" s="89">
        <v>49.999699999999997</v>
      </c>
      <c r="H91" s="89">
        <v>49.951999999999998</v>
      </c>
      <c r="I91" s="89">
        <v>49.942999999999998</v>
      </c>
      <c r="J91" s="89">
        <v>50.051000000000002</v>
      </c>
      <c r="K91" s="89">
        <v>49.963999999999999</v>
      </c>
      <c r="L91" s="89">
        <v>49.97</v>
      </c>
      <c r="M91" s="89">
        <v>50.045000000000002</v>
      </c>
      <c r="N91" s="89">
        <v>50.036999999999999</v>
      </c>
      <c r="O91" s="89">
        <v>49.834000000000003</v>
      </c>
      <c r="P91" s="89">
        <v>49.921999999999997</v>
      </c>
      <c r="Q91" s="89">
        <v>49.959000000000003</v>
      </c>
      <c r="R91" s="89">
        <v>49.89</v>
      </c>
      <c r="S91" s="89">
        <v>49.99</v>
      </c>
      <c r="T91" s="89">
        <v>49.97</v>
      </c>
      <c r="U91" s="89">
        <v>49.97</v>
      </c>
      <c r="V91" s="89">
        <v>50.03</v>
      </c>
      <c r="W91" s="89">
        <v>49.92</v>
      </c>
      <c r="X91" s="65">
        <v>49.85</v>
      </c>
      <c r="Y91" s="89">
        <v>50.08</v>
      </c>
      <c r="Z91" s="89">
        <v>50.02</v>
      </c>
      <c r="AA91" s="89">
        <v>50.04</v>
      </c>
      <c r="AB91" s="89">
        <v>49.954999999999998</v>
      </c>
      <c r="AC91" s="89">
        <v>49.923999999999999</v>
      </c>
      <c r="AD91" s="89">
        <v>49.93</v>
      </c>
      <c r="AE91" s="89">
        <v>50.12</v>
      </c>
      <c r="AF91" s="89">
        <v>49.948</v>
      </c>
      <c r="AG91" s="90"/>
      <c r="AH91" s="48">
        <f t="shared" si="9"/>
        <v>50.12</v>
      </c>
      <c r="AI91" s="49">
        <f t="shared" si="10"/>
        <v>49.834000000000003</v>
      </c>
    </row>
    <row r="92" spans="1:37" x14ac:dyDescent="0.25">
      <c r="A92" s="91" t="s">
        <v>97</v>
      </c>
      <c r="B92" s="65">
        <v>127.5</v>
      </c>
      <c r="C92" s="65">
        <v>128.69999999999999</v>
      </c>
      <c r="D92" s="65">
        <v>128.5</v>
      </c>
      <c r="E92" s="65">
        <v>128.1</v>
      </c>
      <c r="F92" s="65">
        <v>129.1</v>
      </c>
      <c r="G92" s="65">
        <v>129.1</v>
      </c>
      <c r="H92" s="65">
        <v>127</v>
      </c>
      <c r="I92" s="65">
        <v>126.5</v>
      </c>
      <c r="J92" s="65">
        <v>125.7</v>
      </c>
      <c r="K92" s="65">
        <v>124.3</v>
      </c>
      <c r="L92" s="65">
        <v>123.1</v>
      </c>
      <c r="M92" s="65">
        <v>123.3</v>
      </c>
      <c r="N92" s="65">
        <v>122.8</v>
      </c>
      <c r="O92" s="65">
        <v>125</v>
      </c>
      <c r="P92" s="65">
        <v>124.2</v>
      </c>
      <c r="Q92" s="65">
        <v>125.3</v>
      </c>
      <c r="R92" s="65">
        <v>125.8</v>
      </c>
      <c r="S92" s="65">
        <v>125.1</v>
      </c>
      <c r="T92" s="65">
        <v>125.4</v>
      </c>
      <c r="U92" s="65">
        <v>125.6</v>
      </c>
      <c r="V92" s="65">
        <v>127.1</v>
      </c>
      <c r="W92" s="65">
        <v>126</v>
      </c>
      <c r="X92" s="65">
        <v>126.8</v>
      </c>
      <c r="Y92" s="65">
        <v>127</v>
      </c>
      <c r="Z92" s="65">
        <v>127</v>
      </c>
      <c r="AA92" s="65">
        <v>127.9</v>
      </c>
      <c r="AB92" s="65">
        <v>128.19999999999999</v>
      </c>
      <c r="AC92" s="65">
        <v>127.8</v>
      </c>
      <c r="AD92" s="65">
        <v>127.1</v>
      </c>
      <c r="AE92" s="65">
        <v>128</v>
      </c>
      <c r="AF92" s="65">
        <v>128</v>
      </c>
      <c r="AG92" s="92"/>
      <c r="AH92" s="48">
        <f t="shared" si="9"/>
        <v>129.1</v>
      </c>
      <c r="AI92" s="49">
        <f t="shared" si="10"/>
        <v>122.8</v>
      </c>
    </row>
    <row r="93" spans="1:37" x14ac:dyDescent="0.25">
      <c r="A93" s="91" t="s">
        <v>98</v>
      </c>
      <c r="B93" s="65">
        <v>131.80000000000001</v>
      </c>
      <c r="C93" s="65">
        <v>132.6</v>
      </c>
      <c r="D93" s="65">
        <v>132.5</v>
      </c>
      <c r="E93" s="65">
        <v>132.4</v>
      </c>
      <c r="F93" s="65">
        <v>1333</v>
      </c>
      <c r="G93" s="65">
        <v>1333</v>
      </c>
      <c r="H93" s="65">
        <v>130.80000000000001</v>
      </c>
      <c r="I93" s="65">
        <v>129.69999999999999</v>
      </c>
      <c r="J93" s="65">
        <v>129</v>
      </c>
      <c r="K93" s="65">
        <v>127.8</v>
      </c>
      <c r="L93" s="65">
        <v>126.6</v>
      </c>
      <c r="M93" s="65">
        <v>126.5</v>
      </c>
      <c r="N93" s="65">
        <v>126.6</v>
      </c>
      <c r="O93" s="65">
        <v>127.8</v>
      </c>
      <c r="P93" s="65">
        <v>127.6</v>
      </c>
      <c r="Q93" s="65">
        <v>128.6</v>
      </c>
      <c r="R93" s="65">
        <v>128.9</v>
      </c>
      <c r="S93" s="65">
        <v>128.69999999999999</v>
      </c>
      <c r="T93" s="65">
        <v>128.69999999999999</v>
      </c>
      <c r="U93" s="65">
        <v>128.9</v>
      </c>
      <c r="V93" s="65">
        <v>129.9</v>
      </c>
      <c r="W93" s="65">
        <v>128.4</v>
      </c>
      <c r="X93" s="65">
        <v>128.80000000000001</v>
      </c>
      <c r="Y93" s="65">
        <v>129.1</v>
      </c>
      <c r="Z93" s="65">
        <v>129.1</v>
      </c>
      <c r="AA93" s="65">
        <v>129.80000000000001</v>
      </c>
      <c r="AB93" s="65">
        <v>130.4</v>
      </c>
      <c r="AC93" s="65">
        <v>130.5</v>
      </c>
      <c r="AD93" s="65">
        <v>130.6</v>
      </c>
      <c r="AE93" s="65">
        <v>131.5</v>
      </c>
      <c r="AF93" s="65">
        <v>131.80000000000001</v>
      </c>
      <c r="AG93" s="92"/>
      <c r="AH93" s="48">
        <f t="shared" si="9"/>
        <v>1333</v>
      </c>
      <c r="AI93" s="49">
        <f t="shared" si="10"/>
        <v>126.5</v>
      </c>
    </row>
    <row r="94" spans="1:37" x14ac:dyDescent="0.25">
      <c r="A94" s="91" t="s">
        <v>99</v>
      </c>
      <c r="B94" s="65">
        <v>131.30000000000001</v>
      </c>
      <c r="C94" s="65">
        <v>132.4</v>
      </c>
      <c r="D94" s="65">
        <v>132.4</v>
      </c>
      <c r="E94" s="65">
        <v>131.30000000000001</v>
      </c>
      <c r="F94" s="65">
        <v>132.30000000000001</v>
      </c>
      <c r="G94" s="65">
        <v>132.30000000000001</v>
      </c>
      <c r="H94" s="65">
        <v>129.9</v>
      </c>
      <c r="I94" s="65">
        <v>131.1</v>
      </c>
      <c r="J94" s="65">
        <v>131.1</v>
      </c>
      <c r="K94" s="65">
        <v>130.5</v>
      </c>
      <c r="L94" s="65">
        <v>124.5</v>
      </c>
      <c r="M94" s="65">
        <v>127.6</v>
      </c>
      <c r="N94" s="65">
        <v>128.6</v>
      </c>
      <c r="O94" s="65">
        <v>130.30000000000001</v>
      </c>
      <c r="P94" s="65">
        <v>131.30000000000001</v>
      </c>
      <c r="Q94" s="65">
        <v>131.4</v>
      </c>
      <c r="R94" s="65">
        <v>131</v>
      </c>
      <c r="S94" s="65">
        <v>128.80000000000001</v>
      </c>
      <c r="T94" s="65">
        <v>130</v>
      </c>
      <c r="U94" s="65">
        <v>126.4</v>
      </c>
      <c r="V94" s="65">
        <v>129.5</v>
      </c>
      <c r="W94" s="65">
        <v>128.30000000000001</v>
      </c>
      <c r="X94" s="65">
        <v>128.69999999999999</v>
      </c>
      <c r="Y94" s="65">
        <v>129.69999999999999</v>
      </c>
      <c r="Z94" s="65">
        <v>129.69999999999999</v>
      </c>
      <c r="AA94" s="65">
        <v>132.4</v>
      </c>
      <c r="AB94" s="65">
        <v>131.5</v>
      </c>
      <c r="AC94" s="65">
        <v>130.6</v>
      </c>
      <c r="AD94" s="65">
        <v>131.1</v>
      </c>
      <c r="AE94" s="65">
        <v>131.1</v>
      </c>
      <c r="AF94" s="65">
        <v>130.6</v>
      </c>
      <c r="AG94" s="92"/>
      <c r="AH94" s="48">
        <f t="shared" si="9"/>
        <v>132.4</v>
      </c>
      <c r="AI94" s="49">
        <f t="shared" si="10"/>
        <v>124.5</v>
      </c>
    </row>
    <row r="95" spans="1:37" x14ac:dyDescent="0.25">
      <c r="A95" s="93" t="s">
        <v>100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>
        <v>131</v>
      </c>
      <c r="V95" s="65">
        <v>131.19999999999999</v>
      </c>
      <c r="W95" s="65">
        <v>130.6</v>
      </c>
      <c r="X95" s="94">
        <v>131.69999999999999</v>
      </c>
      <c r="Y95" s="65">
        <v>132.5</v>
      </c>
      <c r="Z95" s="65">
        <v>132.5</v>
      </c>
      <c r="AA95" s="65">
        <v>135.69999999999999</v>
      </c>
      <c r="AB95" s="65">
        <v>133</v>
      </c>
      <c r="AC95" s="65">
        <v>133.19999999999999</v>
      </c>
      <c r="AD95" s="65">
        <v>133.9</v>
      </c>
      <c r="AE95" s="65">
        <v>134.6</v>
      </c>
      <c r="AF95" s="65">
        <v>134.30000000000001</v>
      </c>
      <c r="AG95" s="92"/>
      <c r="AH95" s="48">
        <f t="shared" si="9"/>
        <v>135.69999999999999</v>
      </c>
      <c r="AI95" s="49">
        <f t="shared" si="10"/>
        <v>130.6</v>
      </c>
    </row>
    <row r="96" spans="1:37" x14ac:dyDescent="0.25">
      <c r="A96" s="93" t="s">
        <v>101</v>
      </c>
      <c r="B96" s="94">
        <v>133.80000000000001</v>
      </c>
      <c r="C96" s="94">
        <v>133.9</v>
      </c>
      <c r="D96" s="94">
        <v>134.6</v>
      </c>
      <c r="E96" s="94">
        <v>136.19999999999999</v>
      </c>
      <c r="F96" s="94">
        <v>135</v>
      </c>
      <c r="G96" s="94">
        <v>135</v>
      </c>
      <c r="H96" s="94">
        <v>131.9</v>
      </c>
      <c r="I96" s="94">
        <v>132</v>
      </c>
      <c r="J96" s="94">
        <v>133.30000000000001</v>
      </c>
      <c r="K96" s="94">
        <v>134.30000000000001</v>
      </c>
      <c r="L96" s="94">
        <v>131.9</v>
      </c>
      <c r="M96" s="94">
        <v>134.19999999999999</v>
      </c>
      <c r="N96" s="94">
        <v>133.5</v>
      </c>
      <c r="O96" s="94">
        <v>133.9</v>
      </c>
      <c r="P96" s="94">
        <v>134.1</v>
      </c>
      <c r="Q96" s="94">
        <v>134.80000000000001</v>
      </c>
      <c r="R96" s="94">
        <v>134.19999999999999</v>
      </c>
      <c r="S96" s="94">
        <v>134.6</v>
      </c>
      <c r="T96" s="94">
        <v>133.69999999999999</v>
      </c>
      <c r="U96" s="94">
        <v>133</v>
      </c>
      <c r="V96" s="94">
        <v>135.6</v>
      </c>
      <c r="W96" s="94">
        <v>131.69999999999999</v>
      </c>
      <c r="X96" s="65">
        <v>132.9</v>
      </c>
      <c r="Y96" s="94">
        <v>134.6</v>
      </c>
      <c r="Z96" s="94">
        <v>134.6</v>
      </c>
      <c r="AA96" s="94">
        <v>134</v>
      </c>
      <c r="AB96" s="94">
        <v>134</v>
      </c>
      <c r="AC96" s="94">
        <v>133.9</v>
      </c>
      <c r="AD96" s="94">
        <v>134.6</v>
      </c>
      <c r="AE96" s="94">
        <v>133.1</v>
      </c>
      <c r="AF96" s="94">
        <v>133.30000000000001</v>
      </c>
      <c r="AG96" s="95"/>
      <c r="AH96" s="48">
        <f t="shared" si="9"/>
        <v>136.19999999999999</v>
      </c>
      <c r="AI96" s="49">
        <f t="shared" si="10"/>
        <v>131.69999999999999</v>
      </c>
    </row>
    <row r="97" spans="1:37" ht="15.75" thickBot="1" x14ac:dyDescent="0.3">
      <c r="A97" s="91" t="s">
        <v>102</v>
      </c>
      <c r="B97" s="65">
        <v>132.4</v>
      </c>
      <c r="C97" s="65">
        <v>133</v>
      </c>
      <c r="D97" s="65">
        <v>133.9</v>
      </c>
      <c r="E97" s="65">
        <v>136.1</v>
      </c>
      <c r="F97" s="65">
        <v>135.9</v>
      </c>
      <c r="G97" s="65">
        <v>135.9</v>
      </c>
      <c r="H97" s="65">
        <v>131.9</v>
      </c>
      <c r="I97" s="65">
        <v>129.9</v>
      </c>
      <c r="J97" s="65">
        <v>129.4</v>
      </c>
      <c r="K97" s="65">
        <v>129.69999999999999</v>
      </c>
      <c r="L97" s="65">
        <v>126.2</v>
      </c>
      <c r="M97" s="65">
        <v>128.4</v>
      </c>
      <c r="N97" s="65">
        <v>126.8</v>
      </c>
      <c r="O97" s="65">
        <v>127.4</v>
      </c>
      <c r="P97" s="65">
        <v>128.30000000000001</v>
      </c>
      <c r="Q97" s="65">
        <v>134.1</v>
      </c>
      <c r="R97" s="65">
        <v>128.30000000000001</v>
      </c>
      <c r="S97" s="65">
        <v>130</v>
      </c>
      <c r="T97" s="65">
        <v>130</v>
      </c>
      <c r="U97" s="65">
        <v>128.5</v>
      </c>
      <c r="V97" s="65">
        <v>133</v>
      </c>
      <c r="W97" s="65">
        <v>131</v>
      </c>
      <c r="X97" s="96">
        <v>131.80000000000001</v>
      </c>
      <c r="Y97" s="65">
        <v>134</v>
      </c>
      <c r="Z97" s="65">
        <v>134</v>
      </c>
      <c r="AA97" s="65">
        <v>134.4</v>
      </c>
      <c r="AB97" s="65">
        <v>132.6</v>
      </c>
      <c r="AC97" s="65">
        <v>133.30000000000001</v>
      </c>
      <c r="AD97" s="65">
        <v>132.6</v>
      </c>
      <c r="AE97" s="65">
        <v>132.5</v>
      </c>
      <c r="AF97" s="65">
        <v>133</v>
      </c>
      <c r="AG97" s="92"/>
      <c r="AH97" s="48">
        <f t="shared" si="9"/>
        <v>136.1</v>
      </c>
      <c r="AI97" s="49">
        <f t="shared" si="10"/>
        <v>126.2</v>
      </c>
    </row>
    <row r="98" spans="1:37" ht="15.75" thickBot="1" x14ac:dyDescent="0.3">
      <c r="A98" s="91" t="s">
        <v>104</v>
      </c>
      <c r="B98" s="96">
        <v>66.7</v>
      </c>
      <c r="C98" s="96">
        <v>67</v>
      </c>
      <c r="D98" s="96">
        <v>67.2</v>
      </c>
      <c r="E98" s="96">
        <v>67</v>
      </c>
      <c r="F98" s="96">
        <v>67.3</v>
      </c>
      <c r="G98" s="96">
        <v>67.3</v>
      </c>
      <c r="H98" s="96">
        <v>66</v>
      </c>
      <c r="I98" s="96">
        <v>65.2</v>
      </c>
      <c r="J98" s="96">
        <v>64.900000000000006</v>
      </c>
      <c r="K98" s="96">
        <v>64.3</v>
      </c>
      <c r="L98" s="96">
        <v>63.6</v>
      </c>
      <c r="M98" s="96">
        <v>63.6</v>
      </c>
      <c r="N98" s="96">
        <v>63.4</v>
      </c>
      <c r="O98" s="96">
        <v>64.2</v>
      </c>
      <c r="P98" s="96">
        <v>64.099999999999994</v>
      </c>
      <c r="Q98" s="96">
        <v>64.7</v>
      </c>
      <c r="R98" s="96">
        <v>64.7</v>
      </c>
      <c r="S98" s="96">
        <v>64.2</v>
      </c>
      <c r="T98" s="96">
        <v>64.7</v>
      </c>
      <c r="U98" s="96">
        <v>65</v>
      </c>
      <c r="V98" s="96">
        <v>65.5</v>
      </c>
      <c r="W98" s="96">
        <v>64.7</v>
      </c>
      <c r="X98" s="96">
        <v>64.900000000000006</v>
      </c>
      <c r="Y98" s="96">
        <v>65.099999999999994</v>
      </c>
      <c r="Z98" s="96">
        <v>65.099999999999994</v>
      </c>
      <c r="AA98" s="96">
        <v>65.400000000000006</v>
      </c>
      <c r="AB98" s="96">
        <v>65.7</v>
      </c>
      <c r="AC98" s="96">
        <v>65.8</v>
      </c>
      <c r="AD98" s="96">
        <v>65.900000000000006</v>
      </c>
      <c r="AE98" s="96">
        <v>66.400000000000006</v>
      </c>
      <c r="AF98" s="96">
        <v>66.7</v>
      </c>
      <c r="AG98" s="97"/>
      <c r="AH98" s="48">
        <f t="shared" si="9"/>
        <v>67.3</v>
      </c>
      <c r="AI98" s="49">
        <f t="shared" si="10"/>
        <v>63.4</v>
      </c>
    </row>
    <row r="99" spans="1:37" ht="15.75" thickBot="1" x14ac:dyDescent="0.3">
      <c r="A99" s="98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 t="s">
        <v>248</v>
      </c>
      <c r="Y99" s="96"/>
      <c r="Z99" s="96"/>
      <c r="AA99" s="96"/>
      <c r="AB99" s="96"/>
      <c r="AC99" s="96"/>
      <c r="AD99" s="96"/>
      <c r="AE99" s="96"/>
      <c r="AF99" s="96"/>
      <c r="AG99" s="97"/>
      <c r="AH99" s="48">
        <f t="shared" si="9"/>
        <v>0</v>
      </c>
      <c r="AI99" s="49">
        <f t="shared" si="10"/>
        <v>0</v>
      </c>
    </row>
    <row r="100" spans="1:37" ht="15.75" thickBot="1" x14ac:dyDescent="0.3">
      <c r="A100" s="99" t="s">
        <v>105</v>
      </c>
      <c r="B100" s="100">
        <f t="shared" ref="B100:AF100" si="21">SUM(B15,B20,B22:B23,B48,B50:B51,B53,B55,B101:B105,B127,B133,B139,B148,B150,B162,B169,B172:B173,B180,B182,B184,B188:B190,B192:B194,B199,B205:B206,B208:B210,B218,B223)</f>
        <v>56.799999999999983</v>
      </c>
      <c r="C100" s="100">
        <f t="shared" si="21"/>
        <v>45.04000000000002</v>
      </c>
      <c r="D100" s="100">
        <f t="shared" si="21"/>
        <v>45.940000000000005</v>
      </c>
      <c r="E100" s="100">
        <f t="shared" si="21"/>
        <v>41.839999999999968</v>
      </c>
      <c r="F100" s="100">
        <f t="shared" si="21"/>
        <v>50.539999999999992</v>
      </c>
      <c r="G100" s="100">
        <f t="shared" si="21"/>
        <v>83.539999999999992</v>
      </c>
      <c r="H100" s="100">
        <f t="shared" si="21"/>
        <v>118.43999999999998</v>
      </c>
      <c r="I100" s="100">
        <f t="shared" si="21"/>
        <v>140.73999999999998</v>
      </c>
      <c r="J100" s="100">
        <f t="shared" si="21"/>
        <v>185.34000000000006</v>
      </c>
      <c r="K100" s="100">
        <f t="shared" si="21"/>
        <v>242.44</v>
      </c>
      <c r="L100" s="100">
        <f t="shared" si="21"/>
        <v>254.93999999999997</v>
      </c>
      <c r="M100" s="100">
        <f t="shared" si="21"/>
        <v>263.74</v>
      </c>
      <c r="N100" s="100">
        <f t="shared" si="21"/>
        <v>229.64000000000004</v>
      </c>
      <c r="O100" s="100">
        <f t="shared" si="21"/>
        <v>223.44</v>
      </c>
      <c r="P100" s="100">
        <f t="shared" si="21"/>
        <v>205.94000000000003</v>
      </c>
      <c r="Q100" s="100">
        <v>188.2</v>
      </c>
      <c r="R100" s="100">
        <f t="shared" si="21"/>
        <v>189</v>
      </c>
      <c r="S100" s="100">
        <f t="shared" si="21"/>
        <v>182.7</v>
      </c>
      <c r="T100" s="100">
        <f t="shared" si="21"/>
        <v>199.60000000000002</v>
      </c>
      <c r="U100" s="100">
        <f t="shared" si="21"/>
        <v>200.10000000000002</v>
      </c>
      <c r="V100" s="100">
        <f t="shared" si="21"/>
        <v>237.00000000000003</v>
      </c>
      <c r="W100" s="100">
        <f t="shared" si="21"/>
        <v>273.10000000000002</v>
      </c>
      <c r="X100" s="102">
        <v>346.09708333333333</v>
      </c>
      <c r="Y100" s="100">
        <f t="shared" si="21"/>
        <v>257.3</v>
      </c>
      <c r="Z100" s="100">
        <f t="shared" si="21"/>
        <v>270.39999999999998</v>
      </c>
      <c r="AA100" s="100">
        <f t="shared" si="21"/>
        <v>260.2</v>
      </c>
      <c r="AB100" s="100">
        <f t="shared" si="21"/>
        <v>238.80000000000007</v>
      </c>
      <c r="AC100" s="100">
        <f t="shared" si="21"/>
        <v>211.6</v>
      </c>
      <c r="AD100" s="100">
        <f t="shared" si="21"/>
        <v>184.20000000000005</v>
      </c>
      <c r="AE100" s="100">
        <f t="shared" si="21"/>
        <v>117.90000000000005</v>
      </c>
      <c r="AF100" s="100">
        <f t="shared" si="21"/>
        <v>76.900000000000034</v>
      </c>
      <c r="AG100" s="101"/>
      <c r="AH100" s="48">
        <f t="shared" si="9"/>
        <v>346.09708333333333</v>
      </c>
      <c r="AI100" s="49">
        <f t="shared" si="10"/>
        <v>41.839999999999968</v>
      </c>
    </row>
    <row r="101" spans="1:37" x14ac:dyDescent="0.25">
      <c r="A101" s="88" t="s">
        <v>106</v>
      </c>
      <c r="B101" s="102">
        <v>26</v>
      </c>
      <c r="C101" s="102">
        <v>22.3</v>
      </c>
      <c r="D101" s="102">
        <v>22</v>
      </c>
      <c r="E101" s="102">
        <v>25.2</v>
      </c>
      <c r="F101" s="102">
        <v>21.9</v>
      </c>
      <c r="G101" s="102">
        <v>28.4</v>
      </c>
      <c r="H101" s="102">
        <v>32.1</v>
      </c>
      <c r="I101" s="102">
        <v>39.299999999999997</v>
      </c>
      <c r="J101" s="102">
        <v>38.700000000000003</v>
      </c>
      <c r="K101" s="102">
        <v>46.1</v>
      </c>
      <c r="L101" s="102">
        <v>42.3</v>
      </c>
      <c r="M101" s="102">
        <v>45.1</v>
      </c>
      <c r="N101" s="102">
        <v>50.7</v>
      </c>
      <c r="O101" s="102">
        <v>53.8</v>
      </c>
      <c r="P101" s="102">
        <v>54.9</v>
      </c>
      <c r="Q101" s="102">
        <v>51.6</v>
      </c>
      <c r="R101" s="102">
        <v>53.7</v>
      </c>
      <c r="S101" s="102">
        <v>54.4</v>
      </c>
      <c r="T101" s="102">
        <v>51</v>
      </c>
      <c r="U101" s="102">
        <v>46</v>
      </c>
      <c r="V101" s="102">
        <v>43.9</v>
      </c>
      <c r="W101" s="102">
        <v>43.9</v>
      </c>
      <c r="X101" s="104">
        <v>34.200000000000003</v>
      </c>
      <c r="Y101" s="102">
        <v>39.700000000000003</v>
      </c>
      <c r="Z101" s="102">
        <v>47</v>
      </c>
      <c r="AA101" s="102">
        <v>54.8</v>
      </c>
      <c r="AB101" s="102">
        <v>55.2</v>
      </c>
      <c r="AC101" s="102">
        <v>57.6</v>
      </c>
      <c r="AD101" s="102">
        <v>61.7</v>
      </c>
      <c r="AE101" s="102">
        <v>43.5</v>
      </c>
      <c r="AF101" s="102">
        <v>32.799999999999997</v>
      </c>
      <c r="AG101" s="103">
        <v>75</v>
      </c>
      <c r="AH101" s="48">
        <f t="shared" si="9"/>
        <v>61.7</v>
      </c>
      <c r="AI101" s="49">
        <f t="shared" si="10"/>
        <v>21.9</v>
      </c>
    </row>
    <row r="102" spans="1:37" x14ac:dyDescent="0.25">
      <c r="A102" s="91" t="s">
        <v>107</v>
      </c>
      <c r="B102" s="104">
        <v>43</v>
      </c>
      <c r="C102" s="104">
        <v>38</v>
      </c>
      <c r="D102" s="104">
        <v>36.6</v>
      </c>
      <c r="E102" s="104">
        <v>40.4</v>
      </c>
      <c r="F102" s="104">
        <v>37</v>
      </c>
      <c r="G102" s="104">
        <v>50.3</v>
      </c>
      <c r="H102" s="104">
        <v>56.2</v>
      </c>
      <c r="I102" s="104">
        <v>65</v>
      </c>
      <c r="J102" s="104">
        <v>62.8</v>
      </c>
      <c r="K102" s="104">
        <v>70.7</v>
      </c>
      <c r="L102" s="104">
        <v>64.900000000000006</v>
      </c>
      <c r="M102" s="104">
        <v>64.2</v>
      </c>
      <c r="N102" s="104">
        <v>71.900000000000006</v>
      </c>
      <c r="O102" s="104">
        <v>78.8</v>
      </c>
      <c r="P102" s="104">
        <v>81.599999999999994</v>
      </c>
      <c r="Q102" s="104">
        <v>76.3</v>
      </c>
      <c r="R102" s="104">
        <v>79.5</v>
      </c>
      <c r="S102" s="104">
        <v>80.900000000000006</v>
      </c>
      <c r="T102" s="104">
        <v>76</v>
      </c>
      <c r="U102" s="104">
        <v>68.5</v>
      </c>
      <c r="V102" s="104">
        <v>63.8</v>
      </c>
      <c r="W102" s="104">
        <v>62.8</v>
      </c>
      <c r="X102" s="104">
        <v>48.3</v>
      </c>
      <c r="Y102" s="104">
        <v>55.9</v>
      </c>
      <c r="Z102" s="104">
        <v>67</v>
      </c>
      <c r="AA102" s="104">
        <v>79.099999999999994</v>
      </c>
      <c r="AB102" s="104">
        <v>81.3</v>
      </c>
      <c r="AC102" s="104">
        <v>83.9</v>
      </c>
      <c r="AD102" s="104">
        <v>90.5</v>
      </c>
      <c r="AE102" s="104">
        <v>62.2</v>
      </c>
      <c r="AF102" s="104">
        <v>46.8</v>
      </c>
      <c r="AG102" s="103">
        <v>240</v>
      </c>
      <c r="AH102" s="48">
        <f t="shared" si="9"/>
        <v>90.5</v>
      </c>
      <c r="AI102" s="49">
        <f t="shared" si="10"/>
        <v>36.6</v>
      </c>
    </row>
    <row r="103" spans="1:37" x14ac:dyDescent="0.25">
      <c r="A103" s="91" t="s">
        <v>108</v>
      </c>
      <c r="B103" s="104">
        <v>-141</v>
      </c>
      <c r="C103" s="104">
        <v>-140</v>
      </c>
      <c r="D103" s="104">
        <v>-138</v>
      </c>
      <c r="E103" s="104">
        <v>-148</v>
      </c>
      <c r="F103" s="104">
        <v>-133.19999999999999</v>
      </c>
      <c r="G103" s="104">
        <v>-138</v>
      </c>
      <c r="H103" s="104">
        <v>-118</v>
      </c>
      <c r="I103" s="104">
        <v>-119.6</v>
      </c>
      <c r="J103" s="104">
        <v>-73.599999999999994</v>
      </c>
      <c r="K103" s="104">
        <v>-41</v>
      </c>
      <c r="L103" s="104">
        <v>-18</v>
      </c>
      <c r="M103" s="104">
        <v>-14.9</v>
      </c>
      <c r="N103" s="104">
        <v>-54</v>
      </c>
      <c r="O103" s="104">
        <v>-72</v>
      </c>
      <c r="P103" s="104">
        <v>-93</v>
      </c>
      <c r="Q103" s="104">
        <v>-94</v>
      </c>
      <c r="R103" s="104">
        <v>-107</v>
      </c>
      <c r="S103" s="104">
        <f>-50.8-54.5</f>
        <v>-105.3</v>
      </c>
      <c r="T103" s="104">
        <v>-93</v>
      </c>
      <c r="U103" s="104">
        <v>-80</v>
      </c>
      <c r="V103" s="104">
        <f>-21-22.5</f>
        <v>-43.5</v>
      </c>
      <c r="W103" s="104">
        <v>-23</v>
      </c>
      <c r="X103" s="104">
        <v>-13.8</v>
      </c>
      <c r="Y103" s="104">
        <f>-1.3+8.4</f>
        <v>7.1000000000000005</v>
      </c>
      <c r="Z103" s="104">
        <v>-15</v>
      </c>
      <c r="AA103" s="104">
        <f>-19.2-20.9</f>
        <v>-40.099999999999994</v>
      </c>
      <c r="AB103" s="104">
        <f>-30-32</f>
        <v>-62</v>
      </c>
      <c r="AC103" s="104">
        <f>-43-46</f>
        <v>-89</v>
      </c>
      <c r="AD103" s="104">
        <f>-57-62</f>
        <v>-119</v>
      </c>
      <c r="AE103" s="104">
        <f>-66-69</f>
        <v>-135</v>
      </c>
      <c r="AF103" s="104">
        <f>-63-67</f>
        <v>-130</v>
      </c>
      <c r="AG103" s="103">
        <v>240</v>
      </c>
      <c r="AH103" s="48">
        <f t="shared" si="9"/>
        <v>7.1000000000000005</v>
      </c>
      <c r="AI103" s="49">
        <f t="shared" si="10"/>
        <v>-148</v>
      </c>
    </row>
    <row r="104" spans="1:37" x14ac:dyDescent="0.25">
      <c r="A104" s="91" t="s">
        <v>109</v>
      </c>
      <c r="B104" s="104">
        <v>-10</v>
      </c>
      <c r="C104" s="104">
        <v>-10</v>
      </c>
      <c r="D104" s="104">
        <v>-9.4</v>
      </c>
      <c r="E104" s="104">
        <v>-11.6</v>
      </c>
      <c r="F104" s="104">
        <v>-11</v>
      </c>
      <c r="G104" s="104">
        <v>-8.4</v>
      </c>
      <c r="H104" s="104">
        <v>-7.7</v>
      </c>
      <c r="I104" s="104">
        <v>0.2</v>
      </c>
      <c r="J104" s="104">
        <v>1.8</v>
      </c>
      <c r="K104" s="104">
        <v>11</v>
      </c>
      <c r="L104" s="104">
        <v>10.1</v>
      </c>
      <c r="M104" s="104">
        <v>12.2</v>
      </c>
      <c r="N104" s="104">
        <v>4</v>
      </c>
      <c r="O104" s="104">
        <v>4.8</v>
      </c>
      <c r="P104" s="104">
        <v>3.4</v>
      </c>
      <c r="Q104" s="104">
        <v>2.7</v>
      </c>
      <c r="R104" s="104">
        <v>1.7</v>
      </c>
      <c r="S104" s="104">
        <v>0.5</v>
      </c>
      <c r="T104" s="104">
        <v>5</v>
      </c>
      <c r="U104" s="104">
        <v>9</v>
      </c>
      <c r="V104" s="104">
        <v>22.4</v>
      </c>
      <c r="W104" s="104">
        <v>39</v>
      </c>
      <c r="X104" s="106">
        <v>51.8</v>
      </c>
      <c r="Y104" s="104">
        <v>4.2</v>
      </c>
      <c r="Z104" s="104">
        <v>21</v>
      </c>
      <c r="AA104" s="104">
        <v>15.8</v>
      </c>
      <c r="AB104" s="104">
        <v>13.3</v>
      </c>
      <c r="AC104" s="104">
        <v>8.1</v>
      </c>
      <c r="AD104" s="104">
        <v>0</v>
      </c>
      <c r="AE104" s="104">
        <v>-3.8</v>
      </c>
      <c r="AF104" s="104">
        <v>-5.5</v>
      </c>
      <c r="AG104" s="103">
        <v>60</v>
      </c>
      <c r="AH104" s="48">
        <f t="shared" si="9"/>
        <v>51.8</v>
      </c>
      <c r="AI104" s="49">
        <f t="shared" si="10"/>
        <v>-11.6</v>
      </c>
    </row>
    <row r="105" spans="1:37" x14ac:dyDescent="0.25">
      <c r="A105" s="105" t="s">
        <v>110</v>
      </c>
      <c r="B105" s="106">
        <v>0</v>
      </c>
      <c r="C105" s="106">
        <v>0</v>
      </c>
      <c r="D105" s="106">
        <v>0</v>
      </c>
      <c r="E105" s="106">
        <v>0</v>
      </c>
      <c r="F105" s="106">
        <v>0</v>
      </c>
      <c r="G105" s="106">
        <v>0</v>
      </c>
      <c r="H105" s="106">
        <v>0</v>
      </c>
      <c r="I105" s="106">
        <v>0</v>
      </c>
      <c r="J105" s="106">
        <v>0</v>
      </c>
      <c r="K105" s="106">
        <v>0</v>
      </c>
      <c r="L105" s="106">
        <v>0</v>
      </c>
      <c r="M105" s="106">
        <v>0</v>
      </c>
      <c r="N105" s="106">
        <v>0</v>
      </c>
      <c r="O105" s="106">
        <v>0</v>
      </c>
      <c r="P105" s="106">
        <v>0</v>
      </c>
      <c r="Q105" s="106">
        <v>0</v>
      </c>
      <c r="R105" s="106">
        <v>0</v>
      </c>
      <c r="S105" s="106">
        <v>0</v>
      </c>
      <c r="T105" s="106">
        <v>0</v>
      </c>
      <c r="U105" s="106">
        <v>0</v>
      </c>
      <c r="V105" s="106">
        <v>0</v>
      </c>
      <c r="W105" s="106">
        <v>0</v>
      </c>
      <c r="X105" s="106">
        <v>0</v>
      </c>
      <c r="Y105" s="106">
        <v>0</v>
      </c>
      <c r="Z105" s="106">
        <v>0</v>
      </c>
      <c r="AA105" s="106">
        <v>0</v>
      </c>
      <c r="AB105" s="106">
        <v>0</v>
      </c>
      <c r="AC105" s="106">
        <v>0</v>
      </c>
      <c r="AD105" s="106">
        <v>0</v>
      </c>
      <c r="AE105" s="106">
        <v>0</v>
      </c>
      <c r="AF105" s="106">
        <v>0</v>
      </c>
      <c r="AG105" s="107">
        <v>120</v>
      </c>
      <c r="AH105" s="48">
        <f t="shared" si="9"/>
        <v>0</v>
      </c>
      <c r="AI105" s="49">
        <f t="shared" si="10"/>
        <v>0</v>
      </c>
    </row>
    <row r="106" spans="1:37" x14ac:dyDescent="0.25">
      <c r="A106" s="105" t="s">
        <v>111</v>
      </c>
      <c r="B106" s="106">
        <v>-6</v>
      </c>
      <c r="C106" s="106">
        <v>-13</v>
      </c>
      <c r="D106" s="106">
        <v>-5</v>
      </c>
      <c r="E106" s="106">
        <v>-11.1</v>
      </c>
      <c r="F106" s="106">
        <v>-3</v>
      </c>
      <c r="G106" s="106">
        <v>2</v>
      </c>
      <c r="H106" s="106">
        <v>6.1</v>
      </c>
      <c r="I106" s="106">
        <v>-12.9</v>
      </c>
      <c r="J106" s="106">
        <v>43</v>
      </c>
      <c r="K106" s="106">
        <v>63</v>
      </c>
      <c r="L106" s="106">
        <v>92</v>
      </c>
      <c r="M106" s="106">
        <v>85.5</v>
      </c>
      <c r="N106" s="106">
        <v>62.1</v>
      </c>
      <c r="O106" s="106">
        <v>25.5</v>
      </c>
      <c r="P106" s="106">
        <v>14.4</v>
      </c>
      <c r="Q106" s="106">
        <v>8.6999999999999993</v>
      </c>
      <c r="R106" s="106">
        <v>-2.2000000000000002</v>
      </c>
      <c r="S106" s="106">
        <v>2.2999999999999998</v>
      </c>
      <c r="T106" s="106">
        <v>13</v>
      </c>
      <c r="U106" s="106">
        <v>17</v>
      </c>
      <c r="V106" s="106">
        <v>35</v>
      </c>
      <c r="W106" s="106">
        <v>61</v>
      </c>
      <c r="X106" s="106">
        <v>65.8</v>
      </c>
      <c r="Y106" s="106">
        <v>79</v>
      </c>
      <c r="Z106" s="106">
        <v>52</v>
      </c>
      <c r="AA106" s="106">
        <v>24.7</v>
      </c>
      <c r="AB106" s="106">
        <v>3</v>
      </c>
      <c r="AC106" s="106">
        <v>-13.5</v>
      </c>
      <c r="AD106" s="106">
        <v>-36.1</v>
      </c>
      <c r="AE106" s="106">
        <v>-34.299999999999997</v>
      </c>
      <c r="AF106" s="106">
        <v>-8.5</v>
      </c>
      <c r="AG106" s="107"/>
      <c r="AH106" s="48">
        <f t="shared" si="9"/>
        <v>92</v>
      </c>
      <c r="AI106" s="49">
        <f t="shared" si="10"/>
        <v>-36.1</v>
      </c>
    </row>
    <row r="107" spans="1:37" x14ac:dyDescent="0.25">
      <c r="A107" s="105" t="s">
        <v>112</v>
      </c>
      <c r="B107" s="106">
        <v>21</v>
      </c>
      <c r="C107" s="106">
        <v>21</v>
      </c>
      <c r="D107" s="106">
        <v>15</v>
      </c>
      <c r="E107" s="106">
        <v>1.5</v>
      </c>
      <c r="F107" s="106">
        <v>27.8</v>
      </c>
      <c r="G107" s="106">
        <v>23</v>
      </c>
      <c r="H107" s="106">
        <v>32</v>
      </c>
      <c r="I107" s="106">
        <v>27</v>
      </c>
      <c r="J107" s="106">
        <v>32</v>
      </c>
      <c r="K107" s="106">
        <v>27</v>
      </c>
      <c r="L107" s="106">
        <v>35.799999999999997</v>
      </c>
      <c r="M107" s="106">
        <v>36.700000000000003</v>
      </c>
      <c r="N107" s="106">
        <v>16.5</v>
      </c>
      <c r="O107" s="106">
        <v>6.7</v>
      </c>
      <c r="P107" s="106">
        <v>7</v>
      </c>
      <c r="Q107" s="106">
        <v>14</v>
      </c>
      <c r="R107" s="106">
        <v>14.5</v>
      </c>
      <c r="S107" s="106">
        <v>-9.6</v>
      </c>
      <c r="T107" s="106">
        <v>19</v>
      </c>
      <c r="U107" s="106">
        <v>27</v>
      </c>
      <c r="V107" s="106">
        <v>30.9</v>
      </c>
      <c r="W107" s="106">
        <v>37</v>
      </c>
      <c r="X107" s="94">
        <v>56.2</v>
      </c>
      <c r="Y107" s="106">
        <v>49.7</v>
      </c>
      <c r="Z107" s="106">
        <v>33</v>
      </c>
      <c r="AA107" s="106">
        <v>14</v>
      </c>
      <c r="AB107" s="106">
        <v>11.3</v>
      </c>
      <c r="AC107" s="106">
        <v>3.6</v>
      </c>
      <c r="AD107" s="106">
        <v>-6.9</v>
      </c>
      <c r="AE107" s="106">
        <v>-17.8</v>
      </c>
      <c r="AF107" s="106">
        <v>-3.1</v>
      </c>
      <c r="AG107" s="108"/>
      <c r="AH107" s="48">
        <f t="shared" si="9"/>
        <v>56.2</v>
      </c>
      <c r="AI107" s="49">
        <f t="shared" si="10"/>
        <v>-17.8</v>
      </c>
    </row>
    <row r="108" spans="1:37" x14ac:dyDescent="0.25">
      <c r="A108" s="109" t="s">
        <v>113</v>
      </c>
      <c r="B108" s="94">
        <v>30</v>
      </c>
      <c r="C108" s="94">
        <v>61</v>
      </c>
      <c r="D108" s="94">
        <v>62.2</v>
      </c>
      <c r="E108" s="94">
        <v>64.900000000000006</v>
      </c>
      <c r="F108" s="94">
        <v>63.6</v>
      </c>
      <c r="G108" s="94">
        <v>70</v>
      </c>
      <c r="H108" s="94">
        <v>57.5</v>
      </c>
      <c r="I108" s="94">
        <v>51.8</v>
      </c>
      <c r="J108" s="94">
        <v>49.1</v>
      </c>
      <c r="K108" s="94">
        <v>43.8</v>
      </c>
      <c r="L108" s="94">
        <v>39.6</v>
      </c>
      <c r="M108" s="94">
        <v>36.799999999999997</v>
      </c>
      <c r="N108" s="94">
        <v>41.4</v>
      </c>
      <c r="O108" s="94">
        <v>44.6</v>
      </c>
      <c r="P108" s="94">
        <v>49</v>
      </c>
      <c r="Q108" s="94">
        <v>52.1</v>
      </c>
      <c r="R108" s="94">
        <v>52.8</v>
      </c>
      <c r="S108" s="94">
        <v>47.6</v>
      </c>
      <c r="T108" s="94">
        <v>50</v>
      </c>
      <c r="U108" s="94">
        <v>47</v>
      </c>
      <c r="V108" s="94">
        <v>31.9</v>
      </c>
      <c r="W108" s="94">
        <v>22</v>
      </c>
      <c r="X108" s="94">
        <v>59.5</v>
      </c>
      <c r="Y108" s="94">
        <v>31.2</v>
      </c>
      <c r="Z108" s="94">
        <v>36</v>
      </c>
      <c r="AA108" s="94">
        <v>42.3</v>
      </c>
      <c r="AB108" s="94">
        <v>47</v>
      </c>
      <c r="AC108" s="94">
        <v>48</v>
      </c>
      <c r="AD108" s="94">
        <v>52.3</v>
      </c>
      <c r="AE108" s="94">
        <v>57.7</v>
      </c>
      <c r="AF108" s="94">
        <v>58.9</v>
      </c>
      <c r="AG108" s="108"/>
      <c r="AH108" s="48">
        <f t="shared" si="9"/>
        <v>70</v>
      </c>
      <c r="AI108" s="49">
        <f t="shared" si="10"/>
        <v>22</v>
      </c>
    </row>
    <row r="109" spans="1:37" ht="15.75" thickBot="1" x14ac:dyDescent="0.3">
      <c r="A109" s="109" t="s">
        <v>114</v>
      </c>
      <c r="B109" s="94">
        <v>98</v>
      </c>
      <c r="C109" s="94">
        <v>100</v>
      </c>
      <c r="D109" s="94">
        <v>96</v>
      </c>
      <c r="E109" s="94">
        <v>103</v>
      </c>
      <c r="F109" s="94">
        <v>100</v>
      </c>
      <c r="G109" s="94">
        <v>89</v>
      </c>
      <c r="H109" s="94">
        <v>83.4</v>
      </c>
      <c r="I109" s="94">
        <v>70</v>
      </c>
      <c r="J109" s="94">
        <v>49.6</v>
      </c>
      <c r="K109" s="94">
        <v>32.5</v>
      </c>
      <c r="L109" s="94">
        <v>16.5</v>
      </c>
      <c r="M109" s="94">
        <v>12.3</v>
      </c>
      <c r="N109" s="94">
        <v>40.1</v>
      </c>
      <c r="O109" s="94">
        <v>57.4</v>
      </c>
      <c r="P109" s="94">
        <v>70.599999999999994</v>
      </c>
      <c r="Q109" s="94">
        <v>70.5</v>
      </c>
      <c r="R109" s="94">
        <v>76.900000000000006</v>
      </c>
      <c r="S109" s="94">
        <v>77.400000000000006</v>
      </c>
      <c r="T109" s="94">
        <v>62</v>
      </c>
      <c r="U109" s="94">
        <v>54</v>
      </c>
      <c r="V109" s="94">
        <v>32.700000000000003</v>
      </c>
      <c r="W109" s="94">
        <v>13</v>
      </c>
      <c r="X109" s="94">
        <v>-7.6</v>
      </c>
      <c r="Y109" s="94">
        <v>-6.1</v>
      </c>
      <c r="Z109" s="94">
        <v>10</v>
      </c>
      <c r="AA109" s="94">
        <v>34</v>
      </c>
      <c r="AB109" s="94">
        <v>51.2</v>
      </c>
      <c r="AC109" s="94">
        <v>70.5</v>
      </c>
      <c r="AD109" s="94">
        <v>92</v>
      </c>
      <c r="AE109" s="94">
        <v>100.4</v>
      </c>
      <c r="AF109" s="94">
        <v>98.9</v>
      </c>
      <c r="AG109" s="108"/>
      <c r="AH109" s="48">
        <f t="shared" si="9"/>
        <v>103</v>
      </c>
      <c r="AI109" s="49">
        <f t="shared" si="10"/>
        <v>-7.6</v>
      </c>
    </row>
    <row r="110" spans="1:37" ht="15.75" thickBot="1" x14ac:dyDescent="0.3">
      <c r="A110" s="110" t="s">
        <v>115</v>
      </c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2"/>
      <c r="AH110" s="48"/>
      <c r="AI110" s="49"/>
      <c r="AK110" s="50"/>
    </row>
    <row r="111" spans="1:37" x14ac:dyDescent="0.25">
      <c r="A111" s="113" t="s">
        <v>116</v>
      </c>
      <c r="B111" s="114"/>
      <c r="C111" s="115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6">
        <v>9.94</v>
      </c>
      <c r="AH111" s="48"/>
      <c r="AI111" s="49"/>
      <c r="AK111" s="50"/>
    </row>
    <row r="112" spans="1:37" x14ac:dyDescent="0.25">
      <c r="A112" s="91" t="s">
        <v>117</v>
      </c>
      <c r="B112" s="114"/>
      <c r="C112" s="115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6"/>
      <c r="AH112" s="48"/>
      <c r="AI112" s="49"/>
      <c r="AK112" s="50"/>
    </row>
    <row r="113" spans="1:37" x14ac:dyDescent="0.25">
      <c r="A113" s="91" t="s">
        <v>118</v>
      </c>
      <c r="B113" s="114"/>
      <c r="C113" s="115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6"/>
      <c r="AH113" s="48"/>
      <c r="AI113" s="49"/>
      <c r="AK113" s="50"/>
    </row>
    <row r="114" spans="1:37" x14ac:dyDescent="0.25">
      <c r="A114" s="91" t="s">
        <v>119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/>
      <c r="AH114" s="48"/>
      <c r="AI114" s="49"/>
      <c r="AK114" s="50"/>
    </row>
    <row r="115" spans="1:37" x14ac:dyDescent="0.25">
      <c r="A115" s="91" t="s">
        <v>120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121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122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123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124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125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126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127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128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129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130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131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132</v>
      </c>
      <c r="B127" s="117"/>
      <c r="C127" s="11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9">
        <v>9.9</v>
      </c>
      <c r="AH127" s="48"/>
      <c r="AI127" s="49"/>
      <c r="AK127" s="50"/>
    </row>
    <row r="128" spans="1:37" x14ac:dyDescent="0.25">
      <c r="A128" s="105" t="s">
        <v>133</v>
      </c>
      <c r="B128" s="117"/>
      <c r="C128" s="118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20">
        <v>9.6579999999999995</v>
      </c>
      <c r="AH128" s="48"/>
      <c r="AI128" s="49"/>
      <c r="AK128" s="50"/>
    </row>
    <row r="129" spans="1:37" x14ac:dyDescent="0.25">
      <c r="A129" s="105" t="s">
        <v>134</v>
      </c>
      <c r="B129" s="117"/>
      <c r="C129" s="118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20">
        <v>9.6</v>
      </c>
      <c r="AH129" s="48"/>
      <c r="AI129" s="49"/>
      <c r="AK129" s="50"/>
    </row>
    <row r="130" spans="1:37" x14ac:dyDescent="0.25">
      <c r="A130" s="105" t="s">
        <v>135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20">
        <v>9.51</v>
      </c>
      <c r="AH130" s="48"/>
      <c r="AI130" s="49"/>
      <c r="AK130" s="50"/>
    </row>
    <row r="131" spans="1:37" x14ac:dyDescent="0.25">
      <c r="A131" s="105" t="s">
        <v>136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9.4</v>
      </c>
      <c r="AH131" s="48"/>
      <c r="AI131" s="49"/>
      <c r="AK131" s="50"/>
    </row>
    <row r="132" spans="1:37" x14ac:dyDescent="0.25">
      <c r="A132" s="105" t="s">
        <v>137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8.8000000000000007</v>
      </c>
      <c r="AH132" s="48"/>
      <c r="AI132" s="49"/>
      <c r="AK132" s="50"/>
    </row>
    <row r="133" spans="1:37" x14ac:dyDescent="0.25">
      <c r="A133" s="105" t="s">
        <v>138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8.5</v>
      </c>
      <c r="AH133" s="48"/>
      <c r="AI133" s="49"/>
      <c r="AK133" s="50"/>
    </row>
    <row r="134" spans="1:37" x14ac:dyDescent="0.25">
      <c r="A134" s="105" t="s">
        <v>139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8.5</v>
      </c>
      <c r="AH134" s="48"/>
      <c r="AI134" s="49"/>
      <c r="AK134" s="50"/>
    </row>
    <row r="135" spans="1:37" x14ac:dyDescent="0.25">
      <c r="A135" s="105" t="s">
        <v>140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8.4</v>
      </c>
      <c r="AH135" s="48"/>
      <c r="AI135" s="49"/>
      <c r="AK135" s="50"/>
    </row>
    <row r="136" spans="1:37" ht="13.5" customHeight="1" x14ac:dyDescent="0.25">
      <c r="A136" s="105" t="s">
        <v>141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</v>
      </c>
      <c r="AH136" s="48"/>
      <c r="AI136" s="49"/>
      <c r="AK136" s="50"/>
    </row>
    <row r="137" spans="1:37" x14ac:dyDescent="0.25">
      <c r="A137" s="105" t="s">
        <v>142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</v>
      </c>
      <c r="AH137" s="48"/>
      <c r="AI137" s="49"/>
      <c r="AK137" s="50"/>
    </row>
    <row r="138" spans="1:37" x14ac:dyDescent="0.25">
      <c r="A138" s="105" t="s">
        <v>143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</v>
      </c>
      <c r="AH138" s="48"/>
      <c r="AI138" s="49"/>
      <c r="AK138" s="50"/>
    </row>
    <row r="139" spans="1:37" x14ac:dyDescent="0.25">
      <c r="A139" s="105" t="s">
        <v>144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7.8</v>
      </c>
      <c r="AH139" s="48"/>
      <c r="AI139" s="49"/>
      <c r="AK139" s="50"/>
    </row>
    <row r="140" spans="1:37" x14ac:dyDescent="0.25">
      <c r="A140" s="105" t="s">
        <v>145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7.6</v>
      </c>
      <c r="AH140" s="48"/>
      <c r="AI140" s="49"/>
      <c r="AK140" s="50"/>
    </row>
    <row r="141" spans="1:37" x14ac:dyDescent="0.25">
      <c r="A141" s="105" t="s">
        <v>146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7.5</v>
      </c>
      <c r="AH141" s="48"/>
      <c r="AI141" s="49"/>
      <c r="AK141" s="50"/>
    </row>
    <row r="142" spans="1:37" x14ac:dyDescent="0.25">
      <c r="A142" s="105" t="s">
        <v>147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7.5</v>
      </c>
      <c r="AH142" s="48"/>
      <c r="AI142" s="49"/>
      <c r="AK142" s="50"/>
    </row>
    <row r="143" spans="1:37" x14ac:dyDescent="0.25">
      <c r="A143" s="105" t="s">
        <v>148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</v>
      </c>
      <c r="AH143" s="48"/>
      <c r="AI143" s="49"/>
      <c r="AK143" s="50"/>
    </row>
    <row r="144" spans="1:37" x14ac:dyDescent="0.25">
      <c r="A144" s="105" t="s">
        <v>149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</v>
      </c>
      <c r="AH144" s="48"/>
      <c r="AI144" s="49"/>
      <c r="AK144" s="50"/>
    </row>
    <row r="145" spans="1:37" x14ac:dyDescent="0.25">
      <c r="A145" s="105" t="s">
        <v>150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</v>
      </c>
      <c r="AH145" s="48"/>
      <c r="AI145" s="49"/>
      <c r="AK145" s="50"/>
    </row>
    <row r="146" spans="1:37" x14ac:dyDescent="0.25">
      <c r="A146" s="105" t="s">
        <v>151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152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6.6</v>
      </c>
      <c r="AH147" s="48"/>
      <c r="AI147" s="49"/>
      <c r="AK147" s="50"/>
    </row>
    <row r="148" spans="1:37" x14ac:dyDescent="0.25">
      <c r="A148" s="105" t="s">
        <v>153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6.6</v>
      </c>
      <c r="AH148" s="48"/>
      <c r="AI148" s="49"/>
      <c r="AK148" s="50"/>
    </row>
    <row r="149" spans="1:37" x14ac:dyDescent="0.25">
      <c r="A149" s="105" t="s">
        <v>154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6.4</v>
      </c>
      <c r="AH149" s="48"/>
      <c r="AI149" s="49"/>
      <c r="AK149" s="50"/>
    </row>
    <row r="150" spans="1:37" x14ac:dyDescent="0.25">
      <c r="A150" s="105" t="s">
        <v>155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</v>
      </c>
      <c r="AH150" s="48"/>
      <c r="AI150" s="49"/>
      <c r="AK150" s="50"/>
    </row>
    <row r="151" spans="1:37" x14ac:dyDescent="0.25">
      <c r="A151" s="105" t="s">
        <v>156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5.0999999999999996</v>
      </c>
      <c r="AH151" s="48"/>
      <c r="AI151" s="49"/>
      <c r="AK151" s="50"/>
    </row>
    <row r="152" spans="1:37" x14ac:dyDescent="0.25">
      <c r="A152" s="105" t="s">
        <v>157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5</v>
      </c>
      <c r="AH152" s="48"/>
      <c r="AI152" s="49"/>
      <c r="AK152" s="50"/>
    </row>
    <row r="153" spans="1:37" x14ac:dyDescent="0.25">
      <c r="A153" s="91" t="s">
        <v>158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9">
        <v>5</v>
      </c>
      <c r="AH153" s="48"/>
      <c r="AI153" s="49"/>
      <c r="AK153" s="50"/>
    </row>
    <row r="154" spans="1:37" x14ac:dyDescent="0.25">
      <c r="A154" s="105" t="s">
        <v>159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</v>
      </c>
      <c r="AH154" s="48"/>
      <c r="AI154" s="49"/>
      <c r="AK154" s="50"/>
    </row>
    <row r="155" spans="1:37" x14ac:dyDescent="0.25">
      <c r="A155" s="105" t="s">
        <v>160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105" t="s">
        <v>161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105" t="s">
        <v>162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163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164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4.9930000000000003</v>
      </c>
      <c r="AH159" s="48"/>
      <c r="AI159" s="49"/>
      <c r="AK159" s="50"/>
    </row>
    <row r="160" spans="1:37" x14ac:dyDescent="0.25">
      <c r="A160" s="105" t="s">
        <v>165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4.9800000000000004</v>
      </c>
      <c r="AH160" s="48"/>
      <c r="AI160" s="49"/>
      <c r="AK160" s="50"/>
    </row>
    <row r="161" spans="1:37" x14ac:dyDescent="0.25">
      <c r="A161" s="105" t="s">
        <v>166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4.95</v>
      </c>
      <c r="AH161" s="48"/>
      <c r="AI161" s="49"/>
      <c r="AK161" s="50"/>
    </row>
    <row r="162" spans="1:37" x14ac:dyDescent="0.25">
      <c r="A162" s="105" t="s">
        <v>167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4.95</v>
      </c>
      <c r="AH162" s="48"/>
      <c r="AI162" s="49"/>
      <c r="AK162" s="50"/>
    </row>
    <row r="163" spans="1:37" x14ac:dyDescent="0.25">
      <c r="A163" s="105" t="s">
        <v>168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4.8</v>
      </c>
      <c r="AH163" s="48"/>
      <c r="AI163" s="49"/>
      <c r="AK163" s="50"/>
    </row>
    <row r="164" spans="1:37" x14ac:dyDescent="0.25">
      <c r="A164" s="105" t="s">
        <v>169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4.8</v>
      </c>
      <c r="AH164" s="48"/>
      <c r="AI164" s="49"/>
      <c r="AK164" s="50"/>
    </row>
    <row r="165" spans="1:37" x14ac:dyDescent="0.25">
      <c r="A165" s="105" t="s">
        <v>170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4.8</v>
      </c>
      <c r="AH165" s="48"/>
      <c r="AI165" s="49"/>
      <c r="AK165" s="50"/>
    </row>
    <row r="166" spans="1:37" x14ac:dyDescent="0.25">
      <c r="A166" s="105" t="s">
        <v>171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4.5</v>
      </c>
      <c r="AH166" s="48"/>
      <c r="AI166" s="49"/>
      <c r="AK166" s="50"/>
    </row>
    <row r="167" spans="1:37" x14ac:dyDescent="0.25">
      <c r="A167" s="105" t="s">
        <v>172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4.5</v>
      </c>
      <c r="AH167" s="48"/>
      <c r="AI167" s="49"/>
      <c r="AK167" s="50"/>
    </row>
    <row r="168" spans="1:37" x14ac:dyDescent="0.25">
      <c r="A168" s="105" t="s">
        <v>173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4.4550000000000001</v>
      </c>
      <c r="AH168" s="48"/>
      <c r="AI168" s="49"/>
      <c r="AK168" s="50"/>
    </row>
    <row r="169" spans="1:37" x14ac:dyDescent="0.25">
      <c r="A169" s="105" t="s">
        <v>174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4.41</v>
      </c>
      <c r="AH169" s="48"/>
      <c r="AI169" s="49"/>
      <c r="AK169" s="50"/>
    </row>
    <row r="170" spans="1:37" x14ac:dyDescent="0.25">
      <c r="A170" s="105" t="s">
        <v>175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4.4000000000000004</v>
      </c>
      <c r="AH170" s="48"/>
      <c r="AI170" s="49"/>
      <c r="AK170" s="50"/>
    </row>
    <row r="171" spans="1:37" x14ac:dyDescent="0.25">
      <c r="A171" s="105" t="s">
        <v>176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4.3600000000000003</v>
      </c>
      <c r="AH171" s="48"/>
      <c r="AI171" s="49"/>
      <c r="AK171" s="50"/>
    </row>
    <row r="172" spans="1:37" x14ac:dyDescent="0.25">
      <c r="A172" s="105" t="s">
        <v>177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4.2</v>
      </c>
      <c r="AH172" s="48"/>
      <c r="AI172" s="49"/>
      <c r="AK172" s="50"/>
    </row>
    <row r="173" spans="1:37" x14ac:dyDescent="0.25">
      <c r="A173" s="105" t="s">
        <v>178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</v>
      </c>
      <c r="AH173" s="48"/>
      <c r="AI173" s="49"/>
      <c r="AK173" s="50"/>
    </row>
    <row r="174" spans="1:37" x14ac:dyDescent="0.25">
      <c r="A174" s="105" t="s">
        <v>179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</v>
      </c>
      <c r="AH174" s="48"/>
      <c r="AI174" s="49"/>
      <c r="AK174" s="50"/>
    </row>
    <row r="175" spans="1:37" x14ac:dyDescent="0.25">
      <c r="A175" s="105" t="s">
        <v>180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</v>
      </c>
      <c r="AH175" s="48"/>
      <c r="AI175" s="49"/>
      <c r="AK175" s="50"/>
    </row>
    <row r="176" spans="1:37" x14ac:dyDescent="0.25">
      <c r="A176" s="105" t="s">
        <v>181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182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183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184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185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186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3.75</v>
      </c>
      <c r="AH181" s="48"/>
      <c r="AI181" s="49"/>
      <c r="AK181" s="50"/>
    </row>
    <row r="182" spans="1:37" x14ac:dyDescent="0.25">
      <c r="A182" s="105" t="s">
        <v>187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3.52</v>
      </c>
      <c r="AH182" s="48"/>
      <c r="AI182" s="49"/>
      <c r="AK182" s="50"/>
    </row>
    <row r="183" spans="1:37" x14ac:dyDescent="0.25">
      <c r="A183" s="105" t="s">
        <v>188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3.33</v>
      </c>
      <c r="AH183" s="48"/>
      <c r="AI183" s="49"/>
      <c r="AK183" s="50"/>
    </row>
    <row r="184" spans="1:37" x14ac:dyDescent="0.25">
      <c r="A184" s="105" t="s">
        <v>189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3.2</v>
      </c>
      <c r="AH184" s="48"/>
      <c r="AI184" s="49"/>
      <c r="AK184" s="50"/>
    </row>
    <row r="185" spans="1:37" x14ac:dyDescent="0.25">
      <c r="A185" s="105" t="s">
        <v>190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</v>
      </c>
      <c r="AH185" s="48"/>
      <c r="AI185" s="49"/>
      <c r="AK185" s="50"/>
    </row>
    <row r="186" spans="1:37" x14ac:dyDescent="0.25">
      <c r="A186" s="105" t="s">
        <v>191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</v>
      </c>
      <c r="AH186" s="48"/>
      <c r="AI186" s="49"/>
      <c r="AK186" s="50"/>
    </row>
    <row r="187" spans="1:37" x14ac:dyDescent="0.25">
      <c r="A187" s="105" t="s">
        <v>192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</v>
      </c>
      <c r="AH187" s="48"/>
      <c r="AI187" s="49"/>
      <c r="AK187" s="50"/>
    </row>
    <row r="188" spans="1:37" x14ac:dyDescent="0.25">
      <c r="A188" s="105" t="s">
        <v>193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194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195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196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197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198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2.83</v>
      </c>
      <c r="AH193" s="48"/>
      <c r="AI193" s="49"/>
      <c r="AK193" s="50"/>
    </row>
    <row r="194" spans="1:37" x14ac:dyDescent="0.25">
      <c r="A194" s="105" t="s">
        <v>199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2.5</v>
      </c>
      <c r="AH194" s="48"/>
      <c r="AI194" s="49"/>
      <c r="AK194" s="50"/>
    </row>
    <row r="195" spans="1:37" x14ac:dyDescent="0.25">
      <c r="A195" s="105" t="s">
        <v>200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2.5</v>
      </c>
      <c r="AH195" s="48"/>
      <c r="AI195" s="49"/>
      <c r="AK195" s="50"/>
    </row>
    <row r="196" spans="1:37" x14ac:dyDescent="0.25">
      <c r="A196" s="105" t="s">
        <v>201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2.4</v>
      </c>
      <c r="AH196" s="48"/>
      <c r="AI196" s="49"/>
      <c r="AK196" s="50"/>
    </row>
    <row r="197" spans="1:37" x14ac:dyDescent="0.25">
      <c r="A197" s="105" t="s">
        <v>202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2.4</v>
      </c>
      <c r="AH197" s="48"/>
      <c r="AI197" s="49"/>
      <c r="AK197" s="50"/>
    </row>
    <row r="198" spans="1:37" x14ac:dyDescent="0.25">
      <c r="A198" s="105" t="s">
        <v>203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2.2000000000000002</v>
      </c>
      <c r="AH198" s="48"/>
      <c r="AI198" s="49"/>
      <c r="AK198" s="50"/>
    </row>
    <row r="199" spans="1:37" x14ac:dyDescent="0.25">
      <c r="A199" s="105" t="s">
        <v>204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</v>
      </c>
      <c r="AH199" s="48"/>
      <c r="AI199" s="49"/>
      <c r="AK199" s="50"/>
    </row>
    <row r="200" spans="1:37" x14ac:dyDescent="0.25">
      <c r="A200" s="105" t="s">
        <v>205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</v>
      </c>
      <c r="AH200" s="48"/>
      <c r="AI200" s="49"/>
      <c r="AK200" s="50"/>
    </row>
    <row r="201" spans="1:37" x14ac:dyDescent="0.25">
      <c r="A201" s="105" t="s">
        <v>206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</v>
      </c>
      <c r="AH201" s="48"/>
      <c r="AI201" s="49"/>
      <c r="AK201" s="50"/>
    </row>
    <row r="202" spans="1:37" x14ac:dyDescent="0.25">
      <c r="A202" s="105" t="s">
        <v>207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1.8</v>
      </c>
      <c r="AH202" s="48"/>
      <c r="AI202" s="49"/>
      <c r="AK202" s="50"/>
    </row>
    <row r="203" spans="1:37" x14ac:dyDescent="0.25">
      <c r="A203" s="105" t="s">
        <v>208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1.8</v>
      </c>
      <c r="AH203" s="48"/>
      <c r="AI203" s="49"/>
      <c r="AK203" s="50"/>
    </row>
    <row r="204" spans="1:37" x14ac:dyDescent="0.25">
      <c r="A204" s="105" t="s">
        <v>209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1.65</v>
      </c>
      <c r="AH204" s="48"/>
      <c r="AI204" s="49"/>
      <c r="AK204" s="50"/>
    </row>
    <row r="205" spans="1:37" x14ac:dyDescent="0.25">
      <c r="A205" s="105" t="s">
        <v>210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1.5</v>
      </c>
      <c r="AH205" s="48"/>
      <c r="AI205" s="49"/>
      <c r="AK205" s="50"/>
    </row>
    <row r="206" spans="1:37" x14ac:dyDescent="0.25">
      <c r="A206" s="105" t="s">
        <v>211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0.998</v>
      </c>
      <c r="AH206" s="48"/>
      <c r="AI206" s="49"/>
      <c r="AK206" s="50"/>
    </row>
    <row r="207" spans="1:37" x14ac:dyDescent="0.25">
      <c r="A207" s="105" t="s">
        <v>212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0.997</v>
      </c>
      <c r="AH207" s="48"/>
      <c r="AI207" s="49"/>
      <c r="AK207" s="50"/>
    </row>
    <row r="208" spans="1:37" x14ac:dyDescent="0.25">
      <c r="A208" s="105" t="s">
        <v>213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0.997</v>
      </c>
      <c r="AH208" s="48"/>
      <c r="AI208" s="49"/>
      <c r="AK208" s="50"/>
    </row>
    <row r="209" spans="1:37" x14ac:dyDescent="0.25">
      <c r="A209" s="105" t="s">
        <v>214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0.996</v>
      </c>
      <c r="AH209" s="48"/>
      <c r="AI209" s="49"/>
      <c r="AK209" s="50"/>
    </row>
    <row r="210" spans="1:37" x14ac:dyDescent="0.25">
      <c r="A210" s="105" t="s">
        <v>215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0.996</v>
      </c>
      <c r="AH210" s="48"/>
      <c r="AI210" s="49"/>
      <c r="AK210" s="50"/>
    </row>
    <row r="211" spans="1:37" x14ac:dyDescent="0.25">
      <c r="A211" s="105" t="s">
        <v>216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0.996</v>
      </c>
      <c r="AH211" s="48"/>
      <c r="AI211" s="49"/>
      <c r="AK211" s="50"/>
    </row>
    <row r="212" spans="1:37" x14ac:dyDescent="0.25">
      <c r="A212" s="105" t="s">
        <v>217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0.995</v>
      </c>
      <c r="AH212" s="48"/>
      <c r="AI212" s="49"/>
      <c r="AK212" s="50"/>
    </row>
    <row r="213" spans="1:37" x14ac:dyDescent="0.25">
      <c r="A213" s="105" t="s">
        <v>218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0.99299999999999999</v>
      </c>
      <c r="AH213" s="48"/>
      <c r="AI213" s="49"/>
      <c r="AK213" s="50"/>
    </row>
    <row r="214" spans="1:37" x14ac:dyDescent="0.25">
      <c r="A214" s="105" t="s">
        <v>219</v>
      </c>
      <c r="B214" s="117"/>
      <c r="C214" s="115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</v>
      </c>
      <c r="AH214" s="48"/>
      <c r="AI214" s="49"/>
      <c r="AK214" s="50"/>
    </row>
    <row r="215" spans="1:37" ht="15.75" thickBot="1" x14ac:dyDescent="0.3">
      <c r="A215" s="105" t="s">
        <v>220</v>
      </c>
      <c r="B215" s="121"/>
      <c r="C215" s="122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0">
        <v>0.97899999999999998</v>
      </c>
      <c r="AH215" s="48"/>
      <c r="AI215" s="49"/>
      <c r="AK215" s="50"/>
    </row>
    <row r="216" spans="1:37" ht="15.75" thickBot="1" x14ac:dyDescent="0.3">
      <c r="A216" s="123" t="s">
        <v>221</v>
      </c>
      <c r="B216" s="124">
        <f t="shared" ref="B216:AG216" si="22">SUM(B111:B215)</f>
        <v>0</v>
      </c>
      <c r="C216" s="125">
        <f t="shared" si="22"/>
        <v>0</v>
      </c>
      <c r="D216" s="125">
        <f t="shared" si="22"/>
        <v>0</v>
      </c>
      <c r="E216" s="125">
        <f t="shared" si="22"/>
        <v>0</v>
      </c>
      <c r="F216" s="125">
        <f t="shared" si="22"/>
        <v>0</v>
      </c>
      <c r="G216" s="125">
        <f t="shared" si="22"/>
        <v>0</v>
      </c>
      <c r="H216" s="125">
        <f t="shared" si="22"/>
        <v>0</v>
      </c>
      <c r="I216" s="125">
        <f t="shared" si="22"/>
        <v>0</v>
      </c>
      <c r="J216" s="125">
        <f t="shared" si="22"/>
        <v>0</v>
      </c>
      <c r="K216" s="125">
        <f t="shared" si="22"/>
        <v>0</v>
      </c>
      <c r="L216" s="125">
        <f t="shared" si="22"/>
        <v>0</v>
      </c>
      <c r="M216" s="125">
        <f t="shared" si="22"/>
        <v>0</v>
      </c>
      <c r="N216" s="125">
        <f t="shared" si="22"/>
        <v>0</v>
      </c>
      <c r="O216" s="125">
        <f t="shared" si="22"/>
        <v>0</v>
      </c>
      <c r="P216" s="125">
        <f t="shared" si="22"/>
        <v>0</v>
      </c>
      <c r="Q216" s="125">
        <f t="shared" si="22"/>
        <v>0</v>
      </c>
      <c r="R216" s="125">
        <f t="shared" si="22"/>
        <v>0</v>
      </c>
      <c r="S216" s="125">
        <f t="shared" si="22"/>
        <v>0</v>
      </c>
      <c r="T216" s="125">
        <f t="shared" si="22"/>
        <v>0</v>
      </c>
      <c r="U216" s="125">
        <f t="shared" si="22"/>
        <v>0</v>
      </c>
      <c r="V216" s="125">
        <f t="shared" si="22"/>
        <v>0</v>
      </c>
      <c r="W216" s="125">
        <f t="shared" si="22"/>
        <v>0</v>
      </c>
      <c r="X216" s="125">
        <f t="shared" si="22"/>
        <v>0</v>
      </c>
      <c r="Y216" s="125">
        <f t="shared" si="22"/>
        <v>0</v>
      </c>
      <c r="Z216" s="125">
        <f t="shared" si="22"/>
        <v>0</v>
      </c>
      <c r="AA216" s="125">
        <f t="shared" si="22"/>
        <v>0</v>
      </c>
      <c r="AB216" s="125">
        <f t="shared" si="22"/>
        <v>0</v>
      </c>
      <c r="AC216" s="125">
        <f t="shared" si="22"/>
        <v>0</v>
      </c>
      <c r="AD216" s="125">
        <f t="shared" si="22"/>
        <v>0</v>
      </c>
      <c r="AE216" s="125">
        <f t="shared" si="22"/>
        <v>0</v>
      </c>
      <c r="AF216" s="126">
        <f t="shared" si="22"/>
        <v>0</v>
      </c>
      <c r="AG216" s="127">
        <f t="shared" si="22"/>
        <v>412.72299999999984</v>
      </c>
      <c r="AH216" s="48"/>
      <c r="AI216" s="49"/>
      <c r="AK216" s="50"/>
    </row>
    <row r="217" spans="1:37" ht="15.75" thickBot="1" x14ac:dyDescent="0.3">
      <c r="A217" s="26" t="s">
        <v>65</v>
      </c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08"/>
      <c r="AH217" s="48"/>
      <c r="AI217" s="49"/>
      <c r="AK217" s="50"/>
    </row>
    <row r="218" spans="1:37" x14ac:dyDescent="0.25">
      <c r="A218" s="88" t="s">
        <v>222</v>
      </c>
      <c r="B218" s="129">
        <f t="shared" ref="B218:B223" si="23">AF218</f>
        <v>0</v>
      </c>
      <c r="C218" s="129">
        <v>0.3</v>
      </c>
      <c r="D218" s="129">
        <f t="shared" ref="D218:P223" si="24">C218</f>
        <v>0.3</v>
      </c>
      <c r="E218" s="129">
        <f t="shared" si="24"/>
        <v>0.3</v>
      </c>
      <c r="F218" s="129">
        <f t="shared" si="24"/>
        <v>0.3</v>
      </c>
      <c r="G218" s="129">
        <f t="shared" si="24"/>
        <v>0.3</v>
      </c>
      <c r="H218" s="129">
        <f t="shared" si="24"/>
        <v>0.3</v>
      </c>
      <c r="I218" s="129">
        <f t="shared" si="24"/>
        <v>0.3</v>
      </c>
      <c r="J218" s="129">
        <f t="shared" si="24"/>
        <v>0.3</v>
      </c>
      <c r="K218" s="129">
        <f t="shared" si="24"/>
        <v>0.3</v>
      </c>
      <c r="L218" s="129">
        <f t="shared" si="24"/>
        <v>0.3</v>
      </c>
      <c r="M218" s="129">
        <f t="shared" si="24"/>
        <v>0.3</v>
      </c>
      <c r="N218" s="129">
        <f t="shared" si="24"/>
        <v>0.3</v>
      </c>
      <c r="O218" s="129">
        <f t="shared" si="24"/>
        <v>0.3</v>
      </c>
      <c r="P218" s="129">
        <f t="shared" si="24"/>
        <v>0.3</v>
      </c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30">
        <v>2.4</v>
      </c>
      <c r="AH218" s="48"/>
      <c r="AI218" s="49"/>
      <c r="AK218" s="50"/>
    </row>
    <row r="219" spans="1:37" x14ac:dyDescent="0.25">
      <c r="A219" s="91" t="s">
        <v>223</v>
      </c>
      <c r="B219" s="117">
        <f t="shared" si="23"/>
        <v>0</v>
      </c>
      <c r="C219" s="117">
        <v>0.4</v>
      </c>
      <c r="D219" s="117">
        <f t="shared" si="24"/>
        <v>0.4</v>
      </c>
      <c r="E219" s="117">
        <f t="shared" si="24"/>
        <v>0.4</v>
      </c>
      <c r="F219" s="117">
        <f t="shared" si="24"/>
        <v>0.4</v>
      </c>
      <c r="G219" s="117">
        <f t="shared" si="24"/>
        <v>0.4</v>
      </c>
      <c r="H219" s="117">
        <f t="shared" si="24"/>
        <v>0.4</v>
      </c>
      <c r="I219" s="117">
        <f t="shared" si="24"/>
        <v>0.4</v>
      </c>
      <c r="J219" s="117">
        <f t="shared" si="24"/>
        <v>0.4</v>
      </c>
      <c r="K219" s="117">
        <f t="shared" si="24"/>
        <v>0.4</v>
      </c>
      <c r="L219" s="117">
        <f t="shared" si="24"/>
        <v>0.4</v>
      </c>
      <c r="M219" s="117">
        <f t="shared" si="24"/>
        <v>0.4</v>
      </c>
      <c r="N219" s="117">
        <f t="shared" si="24"/>
        <v>0.4</v>
      </c>
      <c r="O219" s="117">
        <f t="shared" si="24"/>
        <v>0.4</v>
      </c>
      <c r="P219" s="117">
        <f t="shared" si="24"/>
        <v>0.4</v>
      </c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31">
        <v>2</v>
      </c>
      <c r="AH219" s="48"/>
      <c r="AI219" s="49"/>
      <c r="AK219" s="50"/>
    </row>
    <row r="220" spans="1:37" x14ac:dyDescent="0.25">
      <c r="A220" s="91" t="s">
        <v>224</v>
      </c>
      <c r="B220" s="117">
        <f t="shared" si="23"/>
        <v>0</v>
      </c>
      <c r="C220" s="117">
        <v>1.5</v>
      </c>
      <c r="D220" s="117">
        <f t="shared" si="24"/>
        <v>1.5</v>
      </c>
      <c r="E220" s="117">
        <f t="shared" si="24"/>
        <v>1.5</v>
      </c>
      <c r="F220" s="117">
        <f t="shared" si="24"/>
        <v>1.5</v>
      </c>
      <c r="G220" s="117">
        <f t="shared" si="24"/>
        <v>1.5</v>
      </c>
      <c r="H220" s="117">
        <f t="shared" si="24"/>
        <v>1.5</v>
      </c>
      <c r="I220" s="117">
        <f t="shared" si="24"/>
        <v>1.5</v>
      </c>
      <c r="J220" s="117">
        <f t="shared" si="24"/>
        <v>1.5</v>
      </c>
      <c r="K220" s="117">
        <f t="shared" si="24"/>
        <v>1.5</v>
      </c>
      <c r="L220" s="117">
        <f t="shared" si="24"/>
        <v>1.5</v>
      </c>
      <c r="M220" s="117">
        <f t="shared" si="24"/>
        <v>1.5</v>
      </c>
      <c r="N220" s="117">
        <f t="shared" si="24"/>
        <v>1.5</v>
      </c>
      <c r="O220" s="117">
        <f t="shared" si="24"/>
        <v>1.5</v>
      </c>
      <c r="P220" s="117">
        <f t="shared" si="24"/>
        <v>1.5</v>
      </c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31">
        <v>1.5</v>
      </c>
      <c r="AH220" s="48"/>
      <c r="AI220" s="49"/>
      <c r="AK220" s="50"/>
    </row>
    <row r="221" spans="1:37" x14ac:dyDescent="0.25">
      <c r="A221" s="91" t="s">
        <v>225</v>
      </c>
      <c r="B221" s="117">
        <f t="shared" si="23"/>
        <v>0</v>
      </c>
      <c r="C221" s="117">
        <v>0.3</v>
      </c>
      <c r="D221" s="117">
        <f t="shared" si="24"/>
        <v>0.3</v>
      </c>
      <c r="E221" s="117">
        <f t="shared" si="24"/>
        <v>0.3</v>
      </c>
      <c r="F221" s="117">
        <f t="shared" si="24"/>
        <v>0.3</v>
      </c>
      <c r="G221" s="117">
        <f t="shared" si="24"/>
        <v>0.3</v>
      </c>
      <c r="H221" s="117">
        <f t="shared" si="24"/>
        <v>0.3</v>
      </c>
      <c r="I221" s="117">
        <f t="shared" si="24"/>
        <v>0.3</v>
      </c>
      <c r="J221" s="117">
        <f t="shared" si="24"/>
        <v>0.3</v>
      </c>
      <c r="K221" s="117">
        <f t="shared" si="24"/>
        <v>0.3</v>
      </c>
      <c r="L221" s="117">
        <f t="shared" si="24"/>
        <v>0.3</v>
      </c>
      <c r="M221" s="117">
        <f t="shared" si="24"/>
        <v>0.3</v>
      </c>
      <c r="N221" s="117">
        <f t="shared" si="24"/>
        <v>0.3</v>
      </c>
      <c r="O221" s="117">
        <f t="shared" si="24"/>
        <v>0.3</v>
      </c>
      <c r="P221" s="117">
        <f t="shared" si="24"/>
        <v>0.3</v>
      </c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31">
        <v>1</v>
      </c>
      <c r="AH221" s="48"/>
      <c r="AI221" s="49"/>
      <c r="AK221" s="50"/>
    </row>
    <row r="222" spans="1:37" x14ac:dyDescent="0.25">
      <c r="A222" s="91" t="s">
        <v>226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1</v>
      </c>
      <c r="AH222" s="48"/>
      <c r="AI222" s="49"/>
      <c r="AK222" s="50"/>
    </row>
    <row r="223" spans="1:37" ht="15.75" thickBot="1" x14ac:dyDescent="0.3">
      <c r="A223" s="105" t="s">
        <v>227</v>
      </c>
      <c r="B223" s="121">
        <f t="shared" si="23"/>
        <v>0</v>
      </c>
      <c r="C223" s="121">
        <v>0.64</v>
      </c>
      <c r="D223" s="121">
        <f t="shared" si="24"/>
        <v>0.64</v>
      </c>
      <c r="E223" s="121">
        <f t="shared" si="24"/>
        <v>0.64</v>
      </c>
      <c r="F223" s="121">
        <f t="shared" si="24"/>
        <v>0.64</v>
      </c>
      <c r="G223" s="121">
        <f t="shared" si="24"/>
        <v>0.64</v>
      </c>
      <c r="H223" s="121">
        <f t="shared" si="24"/>
        <v>0.64</v>
      </c>
      <c r="I223" s="121">
        <f t="shared" si="24"/>
        <v>0.64</v>
      </c>
      <c r="J223" s="121">
        <f t="shared" si="24"/>
        <v>0.64</v>
      </c>
      <c r="K223" s="121">
        <f t="shared" si="24"/>
        <v>0.64</v>
      </c>
      <c r="L223" s="121">
        <f t="shared" si="24"/>
        <v>0.64</v>
      </c>
      <c r="M223" s="121">
        <f t="shared" si="24"/>
        <v>0.64</v>
      </c>
      <c r="N223" s="121">
        <f t="shared" si="24"/>
        <v>0.64</v>
      </c>
      <c r="O223" s="121">
        <f t="shared" si="24"/>
        <v>0.64</v>
      </c>
      <c r="P223" s="121">
        <f t="shared" si="24"/>
        <v>0.64</v>
      </c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32">
        <v>0.66</v>
      </c>
      <c r="AH223" s="48"/>
      <c r="AI223" s="49"/>
    </row>
    <row r="224" spans="1:37" ht="15.75" thickBot="1" x14ac:dyDescent="0.3">
      <c r="A224" s="133" t="s">
        <v>65</v>
      </c>
      <c r="B224" s="125">
        <f t="shared" ref="B224:AG224" si="25">SUM(B218:B223)</f>
        <v>0</v>
      </c>
      <c r="C224" s="125">
        <f t="shared" si="25"/>
        <v>3.54</v>
      </c>
      <c r="D224" s="125">
        <f t="shared" si="25"/>
        <v>3.54</v>
      </c>
      <c r="E224" s="125">
        <f t="shared" si="25"/>
        <v>3.54</v>
      </c>
      <c r="F224" s="125">
        <f t="shared" si="25"/>
        <v>3.54</v>
      </c>
      <c r="G224" s="125">
        <f t="shared" si="25"/>
        <v>3.54</v>
      </c>
      <c r="H224" s="125">
        <f t="shared" si="25"/>
        <v>3.54</v>
      </c>
      <c r="I224" s="125">
        <f t="shared" si="25"/>
        <v>3.54</v>
      </c>
      <c r="J224" s="125">
        <f t="shared" si="25"/>
        <v>3.54</v>
      </c>
      <c r="K224" s="125">
        <f t="shared" si="25"/>
        <v>3.54</v>
      </c>
      <c r="L224" s="125">
        <f t="shared" si="25"/>
        <v>3.54</v>
      </c>
      <c r="M224" s="125">
        <f t="shared" si="25"/>
        <v>3.54</v>
      </c>
      <c r="N224" s="125">
        <f t="shared" si="25"/>
        <v>3.54</v>
      </c>
      <c r="O224" s="125">
        <f t="shared" si="25"/>
        <v>3.54</v>
      </c>
      <c r="P224" s="125">
        <f t="shared" si="25"/>
        <v>3.54</v>
      </c>
      <c r="Q224" s="125">
        <f t="shared" si="25"/>
        <v>0</v>
      </c>
      <c r="R224" s="125">
        <f t="shared" si="25"/>
        <v>0</v>
      </c>
      <c r="S224" s="125">
        <f t="shared" si="25"/>
        <v>0</v>
      </c>
      <c r="T224" s="125">
        <f t="shared" si="25"/>
        <v>0</v>
      </c>
      <c r="U224" s="125">
        <f t="shared" si="25"/>
        <v>0</v>
      </c>
      <c r="V224" s="125">
        <f t="shared" si="25"/>
        <v>0</v>
      </c>
      <c r="W224" s="125">
        <f t="shared" si="25"/>
        <v>0</v>
      </c>
      <c r="X224" s="125">
        <f t="shared" si="25"/>
        <v>0</v>
      </c>
      <c r="Y224" s="125">
        <f t="shared" si="25"/>
        <v>0</v>
      </c>
      <c r="Z224" s="125">
        <f t="shared" si="25"/>
        <v>0</v>
      </c>
      <c r="AA224" s="125">
        <f t="shared" si="25"/>
        <v>0</v>
      </c>
      <c r="AB224" s="125">
        <f t="shared" si="25"/>
        <v>0</v>
      </c>
      <c r="AC224" s="125">
        <f t="shared" si="25"/>
        <v>0</v>
      </c>
      <c r="AD224" s="125">
        <f t="shared" si="25"/>
        <v>0</v>
      </c>
      <c r="AE224" s="125">
        <f t="shared" si="25"/>
        <v>0</v>
      </c>
      <c r="AF224" s="125">
        <f t="shared" si="25"/>
        <v>0</v>
      </c>
      <c r="AG224" s="134">
        <f t="shared" si="25"/>
        <v>8.56</v>
      </c>
      <c r="AH224" s="48"/>
      <c r="AI224" s="49"/>
    </row>
    <row r="225" spans="1:50" ht="15.75" thickBot="1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128"/>
      <c r="AH225" s="43"/>
    </row>
    <row r="226" spans="1:50" x14ac:dyDescent="0.25">
      <c r="A226" s="135" t="s">
        <v>228</v>
      </c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7"/>
      <c r="AG226" s="43"/>
      <c r="AH226" s="48"/>
      <c r="AI226" s="49"/>
    </row>
    <row r="227" spans="1:50" x14ac:dyDescent="0.25">
      <c r="A227" s="138" t="s">
        <v>229</v>
      </c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  <c r="Z227" s="139"/>
      <c r="AA227" s="139"/>
      <c r="AB227" s="139"/>
      <c r="AC227" s="139"/>
      <c r="AD227" s="139"/>
      <c r="AE227" s="139"/>
      <c r="AF227" s="140"/>
      <c r="AG227" s="141"/>
      <c r="AH227" s="48"/>
      <c r="AI227" s="49"/>
    </row>
    <row r="228" spans="1:50" x14ac:dyDescent="0.25">
      <c r="A228" s="142" t="s">
        <v>230</v>
      </c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4"/>
      <c r="AG228" s="141"/>
      <c r="AH228" s="48"/>
      <c r="AI228" s="49"/>
    </row>
    <row r="229" spans="1:50" x14ac:dyDescent="0.25">
      <c r="A229" s="142" t="s">
        <v>231</v>
      </c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4"/>
      <c r="AG229" s="141"/>
      <c r="AH229" s="48"/>
      <c r="AI229" s="49"/>
    </row>
    <row r="230" spans="1:50" ht="15.75" thickBot="1" x14ac:dyDescent="0.3">
      <c r="A230" s="145" t="s">
        <v>232</v>
      </c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7"/>
      <c r="AG230" s="141"/>
      <c r="AH230" s="48"/>
      <c r="AI230" s="49"/>
    </row>
    <row r="231" spans="1:50" x14ac:dyDescent="0.25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</row>
    <row r="232" spans="1:50" x14ac:dyDescent="0.25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</row>
    <row r="233" spans="1:50" x14ac:dyDescent="0.25">
      <c r="A233" s="148" t="s">
        <v>233</v>
      </c>
      <c r="B233" s="149">
        <f>MAX(G81:N81)</f>
        <v>1584.7400000000002</v>
      </c>
      <c r="C233" s="150">
        <f>INDEX(G9:N9,1,MATCH(MAX(G81:N81),G81:N81,0))</f>
        <v>0.3125</v>
      </c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151" t="str">
        <f ca="1">MID(CELL("filename",C7),FIND("]",CELL("filename",C7))+1,600)</f>
        <v>8</v>
      </c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235" t="s">
        <v>234</v>
      </c>
      <c r="B235" s="235"/>
      <c r="C235" s="43"/>
      <c r="D235" s="151" t="str">
        <f ca="1">"Pie Chart of Daily Peak Demand(Inclusive of Export) of Nepal ("&amp;A4&amp;" "&amp;B4&amp;")"</f>
        <v>Pie Chart of Daily Peak Demand(Inclusive of Export) of Nepal (Nepali Date: 2079/08/8)</v>
      </c>
      <c r="E235" s="43"/>
      <c r="F235" s="43"/>
      <c r="G235" s="151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151" t="str">
        <f ca="1">"Daily Load Curve(Excluding of Export) of Nepal ("&amp;A4&amp;" "&amp;B4&amp;")"</f>
        <v>Daily Load Curve(Excluding of Export) of Nepal (Nepali Date: 2079/08/8)</v>
      </c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ht="12.75" customHeight="1" thickBot="1" x14ac:dyDescent="0.3">
      <c r="A236" s="152" t="s">
        <v>7</v>
      </c>
      <c r="B236" s="153"/>
      <c r="C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ht="15.75" thickTop="1" x14ac:dyDescent="0.25">
      <c r="A237" s="152" t="s">
        <v>235</v>
      </c>
      <c r="B237" s="15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4" t="s">
        <v>236</v>
      </c>
      <c r="T237" s="155">
        <v>0</v>
      </c>
      <c r="U237" s="156">
        <v>4.1666666666666664E-2</v>
      </c>
      <c r="V237" s="157">
        <v>8.3333333333333301E-2</v>
      </c>
      <c r="W237" s="157">
        <v>0.125</v>
      </c>
      <c r="X237" s="157">
        <v>0.16666666666666699</v>
      </c>
      <c r="Y237" s="157">
        <v>0.20833333333333301</v>
      </c>
      <c r="Z237" s="157">
        <v>0.22916666666666666</v>
      </c>
      <c r="AA237" s="157">
        <v>0.25</v>
      </c>
      <c r="AB237" s="157">
        <v>0.27083333333333331</v>
      </c>
      <c r="AC237" s="157">
        <v>0.29166666666666669</v>
      </c>
      <c r="AD237" s="157">
        <v>0.3125</v>
      </c>
      <c r="AE237" s="158">
        <v>0.33333333333333331</v>
      </c>
      <c r="AF237" s="158">
        <v>0.375</v>
      </c>
      <c r="AG237" s="158">
        <v>0.41666666666666702</v>
      </c>
      <c r="AH237" s="158">
        <v>0.45833333333333298</v>
      </c>
      <c r="AI237" s="158">
        <v>0.5</v>
      </c>
      <c r="AJ237" s="158">
        <v>0.54166666666666696</v>
      </c>
      <c r="AK237" s="158">
        <v>0.58333333333333304</v>
      </c>
      <c r="AL237" s="158">
        <v>0.625</v>
      </c>
      <c r="AM237" s="158">
        <v>0.66666666666666696</v>
      </c>
      <c r="AN237" s="158">
        <v>0.70833333333333304</v>
      </c>
      <c r="AO237" s="158">
        <v>0.72916666666666663</v>
      </c>
      <c r="AP237" s="158">
        <v>0.75</v>
      </c>
      <c r="AQ237" s="158">
        <v>0.77083333333333337</v>
      </c>
      <c r="AR237" s="158">
        <v>0.79166666666666663</v>
      </c>
      <c r="AS237" s="158">
        <v>0.8125</v>
      </c>
      <c r="AT237" s="157">
        <v>0.83333333333333337</v>
      </c>
      <c r="AU237" s="157">
        <v>0.85416666666666663</v>
      </c>
      <c r="AV237" s="157">
        <v>0.875</v>
      </c>
      <c r="AW237" s="157">
        <v>0.91666666666666696</v>
      </c>
      <c r="AX237" s="157">
        <v>0.95833333333333304</v>
      </c>
    </row>
    <row r="238" spans="1:50" x14ac:dyDescent="0.25">
      <c r="A238" s="152" t="s">
        <v>237</v>
      </c>
      <c r="B238" s="15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 t="s">
        <v>238</v>
      </c>
      <c r="T238" s="159">
        <f t="shared" ref="T238:AX238" si="26">B81</f>
        <v>1108.24</v>
      </c>
      <c r="U238" s="159">
        <f t="shared" si="26"/>
        <v>978.24</v>
      </c>
      <c r="V238" s="159">
        <f t="shared" si="26"/>
        <v>985.6400000000001</v>
      </c>
      <c r="W238" s="159">
        <f t="shared" si="26"/>
        <v>987.1400000000001</v>
      </c>
      <c r="X238" s="159">
        <f t="shared" si="26"/>
        <v>979.04</v>
      </c>
      <c r="Y238" s="159">
        <f t="shared" si="26"/>
        <v>1023.5400000000002</v>
      </c>
      <c r="Z238" s="159">
        <f t="shared" si="26"/>
        <v>1093.6400000000001</v>
      </c>
      <c r="AA238" s="159">
        <f t="shared" si="26"/>
        <v>1176.24</v>
      </c>
      <c r="AB238" s="159">
        <f t="shared" si="26"/>
        <v>1219.8400000000001</v>
      </c>
      <c r="AC238" s="159">
        <f t="shared" si="26"/>
        <v>1518.7400000000002</v>
      </c>
      <c r="AD238" s="159">
        <f t="shared" si="26"/>
        <v>1584.7400000000002</v>
      </c>
      <c r="AE238" s="159">
        <f t="shared" si="26"/>
        <v>1577.2400000000002</v>
      </c>
      <c r="AF238" s="159">
        <f t="shared" si="26"/>
        <v>1525.2400000000002</v>
      </c>
      <c r="AG238" s="159">
        <f t="shared" si="26"/>
        <v>1406.3400000000001</v>
      </c>
      <c r="AH238" s="159">
        <f t="shared" si="26"/>
        <v>1375.2400000000002</v>
      </c>
      <c r="AI238" s="159">
        <f t="shared" si="26"/>
        <v>1370.2400000000002</v>
      </c>
      <c r="AJ238" s="159">
        <f t="shared" si="26"/>
        <v>1237.2400000000002</v>
      </c>
      <c r="AK238" s="159">
        <f t="shared" si="26"/>
        <v>1178.44</v>
      </c>
      <c r="AL238" s="159">
        <f t="shared" si="26"/>
        <v>1189.3400000000001</v>
      </c>
      <c r="AM238" s="159">
        <f t="shared" si="26"/>
        <v>1278.94</v>
      </c>
      <c r="AN238" s="159">
        <f t="shared" si="26"/>
        <v>1316.14</v>
      </c>
      <c r="AO238" s="159">
        <f t="shared" si="26"/>
        <v>1470.14</v>
      </c>
      <c r="AP238" s="159">
        <f>X80</f>
        <v>0</v>
      </c>
      <c r="AQ238" s="159">
        <f t="shared" si="26"/>
        <v>1570.8400000000001</v>
      </c>
      <c r="AR238" s="159">
        <f t="shared" si="26"/>
        <v>1430.64</v>
      </c>
      <c r="AS238" s="159">
        <f t="shared" si="26"/>
        <v>1300.8400000000001</v>
      </c>
      <c r="AT238" s="159">
        <f t="shared" si="26"/>
        <v>1274.6400000000001</v>
      </c>
      <c r="AU238" s="159">
        <f t="shared" si="26"/>
        <v>1272.6400000000001</v>
      </c>
      <c r="AV238" s="159">
        <f t="shared" si="26"/>
        <v>1239.6400000000001</v>
      </c>
      <c r="AW238" s="159">
        <f t="shared" si="26"/>
        <v>1097.0400000000002</v>
      </c>
      <c r="AX238" s="159">
        <f t="shared" si="26"/>
        <v>1074.8400000000001</v>
      </c>
    </row>
    <row r="239" spans="1:50" x14ac:dyDescent="0.25">
      <c r="A239" s="152" t="s">
        <v>239</v>
      </c>
      <c r="B239" s="15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x14ac:dyDescent="0.25">
      <c r="A240" s="152" t="s">
        <v>240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34" x14ac:dyDescent="0.25">
      <c r="A241" s="152" t="s">
        <v>241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</row>
    <row r="242" spans="1:34" x14ac:dyDescent="0.25">
      <c r="A242" s="152" t="s">
        <v>242</v>
      </c>
      <c r="B242" s="160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34" x14ac:dyDescent="0.25">
      <c r="A243" s="152" t="s">
        <v>243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34" x14ac:dyDescent="0.25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34" x14ac:dyDescent="0.25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34" x14ac:dyDescent="0.25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34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34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34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34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34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34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34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34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34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34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A259" s="161" t="s">
        <v>228</v>
      </c>
      <c r="B259" s="162">
        <f t="shared" ref="B259:AE259" si="27">C223</f>
        <v>0.64</v>
      </c>
      <c r="C259" s="162">
        <f t="shared" si="27"/>
        <v>0.64</v>
      </c>
      <c r="D259" s="162">
        <f t="shared" si="27"/>
        <v>0.64</v>
      </c>
      <c r="E259" s="162">
        <f t="shared" si="27"/>
        <v>0.64</v>
      </c>
      <c r="F259" s="162">
        <f t="shared" si="27"/>
        <v>0.64</v>
      </c>
      <c r="G259" s="162">
        <f t="shared" si="27"/>
        <v>0.64</v>
      </c>
      <c r="H259" s="162">
        <f t="shared" si="27"/>
        <v>0.64</v>
      </c>
      <c r="I259" s="162">
        <f t="shared" si="27"/>
        <v>0.64</v>
      </c>
      <c r="J259" s="162">
        <f t="shared" si="27"/>
        <v>0.64</v>
      </c>
      <c r="K259" s="162">
        <f t="shared" si="27"/>
        <v>0.64</v>
      </c>
      <c r="L259" s="162">
        <f t="shared" si="27"/>
        <v>0.64</v>
      </c>
      <c r="M259" s="162">
        <f t="shared" si="27"/>
        <v>0.64</v>
      </c>
      <c r="N259" s="162">
        <f t="shared" si="27"/>
        <v>0.64</v>
      </c>
      <c r="O259" s="162">
        <f t="shared" si="27"/>
        <v>0.64</v>
      </c>
      <c r="P259" s="162">
        <f t="shared" si="27"/>
        <v>0</v>
      </c>
      <c r="Q259" s="162">
        <f t="shared" si="27"/>
        <v>0</v>
      </c>
      <c r="R259" s="162">
        <f t="shared" si="27"/>
        <v>0</v>
      </c>
      <c r="S259" s="162">
        <f t="shared" si="27"/>
        <v>0</v>
      </c>
      <c r="T259" s="162">
        <f t="shared" si="27"/>
        <v>0</v>
      </c>
      <c r="U259" s="162">
        <f t="shared" si="27"/>
        <v>0</v>
      </c>
      <c r="V259" s="162">
        <f t="shared" si="27"/>
        <v>0</v>
      </c>
      <c r="W259" s="162">
        <f t="shared" si="27"/>
        <v>0</v>
      </c>
      <c r="X259" s="162">
        <f t="shared" si="27"/>
        <v>0</v>
      </c>
      <c r="Y259" s="162">
        <f t="shared" si="27"/>
        <v>0</v>
      </c>
      <c r="Z259" s="162">
        <f t="shared" si="27"/>
        <v>0</v>
      </c>
      <c r="AA259" s="162">
        <f t="shared" si="27"/>
        <v>0</v>
      </c>
      <c r="AB259" s="162">
        <f t="shared" si="27"/>
        <v>0</v>
      </c>
      <c r="AC259" s="162">
        <f t="shared" si="27"/>
        <v>0</v>
      </c>
      <c r="AD259" s="162">
        <f t="shared" si="27"/>
        <v>0</v>
      </c>
      <c r="AE259" s="162">
        <f t="shared" si="27"/>
        <v>0</v>
      </c>
      <c r="AF259" s="162">
        <f>B223</f>
        <v>0</v>
      </c>
      <c r="AG259" s="43"/>
      <c r="AH259" s="43"/>
    </row>
    <row r="260" spans="1:34" x14ac:dyDescent="0.25">
      <c r="A260" s="163" t="str">
        <f>A227</f>
        <v>KGA</v>
      </c>
      <c r="B260" s="163" t="str">
        <f t="shared" ref="B260:AF260" si="28">IF(B227&lt;100,"",B227-520)</f>
        <v/>
      </c>
      <c r="C260" s="163" t="str">
        <f t="shared" si="28"/>
        <v/>
      </c>
      <c r="D260" s="163" t="str">
        <f t="shared" si="28"/>
        <v/>
      </c>
      <c r="E260" s="163" t="str">
        <f t="shared" si="28"/>
        <v/>
      </c>
      <c r="F260" s="163" t="str">
        <f t="shared" si="28"/>
        <v/>
      </c>
      <c r="G260" s="163" t="str">
        <f t="shared" si="28"/>
        <v/>
      </c>
      <c r="H260" s="163" t="str">
        <f t="shared" si="28"/>
        <v/>
      </c>
      <c r="I260" s="163" t="str">
        <f t="shared" si="28"/>
        <v/>
      </c>
      <c r="J260" s="163" t="str">
        <f t="shared" si="28"/>
        <v/>
      </c>
      <c r="K260" s="163" t="str">
        <f t="shared" si="28"/>
        <v/>
      </c>
      <c r="L260" s="163" t="str">
        <f t="shared" si="28"/>
        <v/>
      </c>
      <c r="M260" s="163" t="str">
        <f t="shared" si="28"/>
        <v/>
      </c>
      <c r="N260" s="163" t="str">
        <f t="shared" si="28"/>
        <v/>
      </c>
      <c r="O260" s="163" t="str">
        <f t="shared" si="28"/>
        <v/>
      </c>
      <c r="P260" s="163" t="str">
        <f t="shared" si="28"/>
        <v/>
      </c>
      <c r="Q260" s="163" t="str">
        <f t="shared" si="28"/>
        <v/>
      </c>
      <c r="R260" s="163" t="str">
        <f t="shared" si="28"/>
        <v/>
      </c>
      <c r="S260" s="163" t="str">
        <f t="shared" si="28"/>
        <v/>
      </c>
      <c r="T260" s="163" t="str">
        <f t="shared" si="28"/>
        <v/>
      </c>
      <c r="U260" s="163" t="str">
        <f t="shared" si="28"/>
        <v/>
      </c>
      <c r="V260" s="163" t="str">
        <f t="shared" si="28"/>
        <v/>
      </c>
      <c r="W260" s="163" t="str">
        <f t="shared" si="28"/>
        <v/>
      </c>
      <c r="X260" s="163" t="str">
        <f t="shared" si="28"/>
        <v/>
      </c>
      <c r="Y260" s="163" t="str">
        <f t="shared" si="28"/>
        <v/>
      </c>
      <c r="Z260" s="163" t="str">
        <f t="shared" si="28"/>
        <v/>
      </c>
      <c r="AA260" s="163" t="str">
        <f t="shared" si="28"/>
        <v/>
      </c>
      <c r="AB260" s="163" t="str">
        <f t="shared" si="28"/>
        <v/>
      </c>
      <c r="AC260" s="163" t="str">
        <f t="shared" si="28"/>
        <v/>
      </c>
      <c r="AD260" s="163" t="str">
        <f t="shared" si="28"/>
        <v/>
      </c>
      <c r="AE260" s="163" t="str">
        <f t="shared" si="28"/>
        <v/>
      </c>
      <c r="AF260" s="163" t="str">
        <f t="shared" si="28"/>
        <v/>
      </c>
      <c r="AG260" s="43"/>
      <c r="AH260" s="43"/>
    </row>
    <row r="261" spans="1:34" x14ac:dyDescent="0.25">
      <c r="A261" s="163" t="str">
        <f>A228</f>
        <v>MMRS</v>
      </c>
      <c r="B261" s="163" t="str">
        <f t="shared" ref="B261:AF261" si="29">IF(B228&lt;100,"",B228-620)</f>
        <v/>
      </c>
      <c r="C261" s="163" t="str">
        <f t="shared" si="29"/>
        <v/>
      </c>
      <c r="D261" s="163" t="str">
        <f t="shared" si="29"/>
        <v/>
      </c>
      <c r="E261" s="163" t="str">
        <f t="shared" si="29"/>
        <v/>
      </c>
      <c r="F261" s="163" t="str">
        <f t="shared" si="29"/>
        <v/>
      </c>
      <c r="G261" s="163" t="str">
        <f t="shared" si="29"/>
        <v/>
      </c>
      <c r="H261" s="163" t="str">
        <f t="shared" si="29"/>
        <v/>
      </c>
      <c r="I261" s="163" t="str">
        <f t="shared" si="29"/>
        <v/>
      </c>
      <c r="J261" s="163" t="str">
        <f t="shared" si="29"/>
        <v/>
      </c>
      <c r="K261" s="163" t="str">
        <f t="shared" si="29"/>
        <v/>
      </c>
      <c r="L261" s="163" t="str">
        <f t="shared" si="29"/>
        <v/>
      </c>
      <c r="M261" s="163" t="str">
        <f t="shared" si="29"/>
        <v/>
      </c>
      <c r="N261" s="163" t="str">
        <f t="shared" si="29"/>
        <v/>
      </c>
      <c r="O261" s="163" t="str">
        <f t="shared" si="29"/>
        <v/>
      </c>
      <c r="P261" s="163" t="str">
        <f t="shared" si="29"/>
        <v/>
      </c>
      <c r="Q261" s="163" t="str">
        <f t="shared" si="29"/>
        <v/>
      </c>
      <c r="R261" s="163" t="str">
        <f t="shared" si="29"/>
        <v/>
      </c>
      <c r="S261" s="163" t="str">
        <f t="shared" si="29"/>
        <v/>
      </c>
      <c r="T261" s="163" t="str">
        <f t="shared" si="29"/>
        <v/>
      </c>
      <c r="U261" s="163" t="str">
        <f t="shared" si="29"/>
        <v/>
      </c>
      <c r="V261" s="163" t="str">
        <f t="shared" si="29"/>
        <v/>
      </c>
      <c r="W261" s="163" t="str">
        <f t="shared" si="29"/>
        <v/>
      </c>
      <c r="X261" s="163" t="str">
        <f t="shared" si="29"/>
        <v/>
      </c>
      <c r="Y261" s="163" t="str">
        <f t="shared" si="29"/>
        <v/>
      </c>
      <c r="Z261" s="163" t="str">
        <f t="shared" si="29"/>
        <v/>
      </c>
      <c r="AA261" s="163" t="str">
        <f t="shared" si="29"/>
        <v/>
      </c>
      <c r="AB261" s="163" t="str">
        <f t="shared" si="29"/>
        <v/>
      </c>
      <c r="AC261" s="163" t="str">
        <f t="shared" si="29"/>
        <v/>
      </c>
      <c r="AD261" s="163" t="str">
        <f t="shared" si="29"/>
        <v/>
      </c>
      <c r="AE261" s="163" t="str">
        <f t="shared" si="29"/>
        <v/>
      </c>
      <c r="AF261" s="163" t="str">
        <f t="shared" si="29"/>
        <v/>
      </c>
      <c r="AG261" s="43"/>
      <c r="AH261" s="43"/>
    </row>
    <row r="262" spans="1:34" x14ac:dyDescent="0.25">
      <c r="A262" s="163" t="str">
        <f>A229</f>
        <v>MRS</v>
      </c>
      <c r="B262" s="163" t="str">
        <f t="shared" ref="B262:AF262" si="30">IF(B229&lt;100,"",B229-330)</f>
        <v/>
      </c>
      <c r="C262" s="163" t="str">
        <f t="shared" si="30"/>
        <v/>
      </c>
      <c r="D262" s="163" t="str">
        <f t="shared" si="30"/>
        <v/>
      </c>
      <c r="E262" s="163" t="str">
        <f t="shared" si="30"/>
        <v/>
      </c>
      <c r="F262" s="163" t="str">
        <f t="shared" si="30"/>
        <v/>
      </c>
      <c r="G262" s="163" t="str">
        <f t="shared" si="30"/>
        <v/>
      </c>
      <c r="H262" s="163" t="str">
        <f t="shared" si="30"/>
        <v/>
      </c>
      <c r="I262" s="163" t="str">
        <f t="shared" si="30"/>
        <v/>
      </c>
      <c r="J262" s="163" t="str">
        <f t="shared" si="30"/>
        <v/>
      </c>
      <c r="K262" s="163" t="str">
        <f t="shared" si="30"/>
        <v/>
      </c>
      <c r="L262" s="163" t="str">
        <f t="shared" si="30"/>
        <v/>
      </c>
      <c r="M262" s="163" t="str">
        <f t="shared" si="30"/>
        <v/>
      </c>
      <c r="N262" s="163" t="str">
        <f t="shared" si="30"/>
        <v/>
      </c>
      <c r="O262" s="163" t="str">
        <f t="shared" si="30"/>
        <v/>
      </c>
      <c r="P262" s="163" t="str">
        <f t="shared" si="30"/>
        <v/>
      </c>
      <c r="Q262" s="163" t="str">
        <f t="shared" si="30"/>
        <v/>
      </c>
      <c r="R262" s="163" t="str">
        <f t="shared" si="30"/>
        <v/>
      </c>
      <c r="S262" s="163" t="str">
        <f t="shared" si="30"/>
        <v/>
      </c>
      <c r="T262" s="163" t="str">
        <f t="shared" si="30"/>
        <v/>
      </c>
      <c r="U262" s="163" t="str">
        <f t="shared" si="30"/>
        <v/>
      </c>
      <c r="V262" s="163" t="str">
        <f t="shared" si="30"/>
        <v/>
      </c>
      <c r="W262" s="163" t="str">
        <f t="shared" si="30"/>
        <v/>
      </c>
      <c r="X262" s="163" t="str">
        <f t="shared" si="30"/>
        <v/>
      </c>
      <c r="Y262" s="163" t="str">
        <f t="shared" si="30"/>
        <v/>
      </c>
      <c r="Z262" s="163" t="str">
        <f t="shared" si="30"/>
        <v/>
      </c>
      <c r="AA262" s="163" t="str">
        <f t="shared" si="30"/>
        <v/>
      </c>
      <c r="AB262" s="163" t="str">
        <f t="shared" si="30"/>
        <v/>
      </c>
      <c r="AC262" s="163" t="str">
        <f t="shared" si="30"/>
        <v/>
      </c>
      <c r="AD262" s="163" t="str">
        <f t="shared" si="30"/>
        <v/>
      </c>
      <c r="AE262" s="163" t="str">
        <f t="shared" si="30"/>
        <v/>
      </c>
      <c r="AF262" s="163" t="str">
        <f t="shared" si="30"/>
        <v/>
      </c>
      <c r="AG262" s="43"/>
      <c r="AH262" s="43"/>
    </row>
    <row r="263" spans="1:34" x14ac:dyDescent="0.25">
      <c r="A263" s="163" t="str">
        <f>A230</f>
        <v>KL 1</v>
      </c>
      <c r="B263" s="163" t="str">
        <f t="shared" ref="B263:AF263" si="31">IF(B230&lt;100,"",B230-1500)</f>
        <v/>
      </c>
      <c r="C263" s="163" t="str">
        <f t="shared" si="31"/>
        <v/>
      </c>
      <c r="D263" s="163" t="str">
        <f t="shared" si="31"/>
        <v/>
      </c>
      <c r="E263" s="163" t="str">
        <f t="shared" si="31"/>
        <v/>
      </c>
      <c r="F263" s="163" t="str">
        <f t="shared" si="31"/>
        <v/>
      </c>
      <c r="G263" s="163" t="str">
        <f t="shared" si="31"/>
        <v/>
      </c>
      <c r="H263" s="163" t="str">
        <f t="shared" si="31"/>
        <v/>
      </c>
      <c r="I263" s="163" t="str">
        <f t="shared" si="31"/>
        <v/>
      </c>
      <c r="J263" s="163" t="str">
        <f t="shared" si="31"/>
        <v/>
      </c>
      <c r="K263" s="163" t="str">
        <f t="shared" si="31"/>
        <v/>
      </c>
      <c r="L263" s="163" t="str">
        <f t="shared" si="31"/>
        <v/>
      </c>
      <c r="M263" s="163" t="str">
        <f t="shared" si="31"/>
        <v/>
      </c>
      <c r="N263" s="163" t="str">
        <f t="shared" si="31"/>
        <v/>
      </c>
      <c r="O263" s="163" t="str">
        <f t="shared" si="31"/>
        <v/>
      </c>
      <c r="P263" s="163" t="str">
        <f t="shared" si="31"/>
        <v/>
      </c>
      <c r="Q263" s="163" t="str">
        <f t="shared" si="31"/>
        <v/>
      </c>
      <c r="R263" s="163" t="str">
        <f t="shared" si="31"/>
        <v/>
      </c>
      <c r="S263" s="163" t="str">
        <f t="shared" si="31"/>
        <v/>
      </c>
      <c r="T263" s="163" t="str">
        <f t="shared" si="31"/>
        <v/>
      </c>
      <c r="U263" s="163" t="str">
        <f t="shared" si="31"/>
        <v/>
      </c>
      <c r="V263" s="163" t="str">
        <f t="shared" si="31"/>
        <v/>
      </c>
      <c r="W263" s="163" t="str">
        <f t="shared" si="31"/>
        <v/>
      </c>
      <c r="X263" s="163" t="str">
        <f t="shared" si="31"/>
        <v/>
      </c>
      <c r="Y263" s="163" t="str">
        <f t="shared" si="31"/>
        <v/>
      </c>
      <c r="Z263" s="163" t="str">
        <f t="shared" si="31"/>
        <v/>
      </c>
      <c r="AA263" s="163" t="str">
        <f t="shared" si="31"/>
        <v/>
      </c>
      <c r="AB263" s="163" t="str">
        <f t="shared" si="31"/>
        <v/>
      </c>
      <c r="AC263" s="163" t="str">
        <f t="shared" si="31"/>
        <v/>
      </c>
      <c r="AD263" s="163" t="str">
        <f t="shared" si="31"/>
        <v/>
      </c>
      <c r="AE263" s="163" t="str">
        <f t="shared" si="31"/>
        <v/>
      </c>
      <c r="AF263" s="163" t="str">
        <f t="shared" si="31"/>
        <v/>
      </c>
      <c r="AG263" s="43"/>
      <c r="AH263" s="43"/>
    </row>
    <row r="264" spans="1:34" x14ac:dyDescent="0.25"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</row>
    <row r="265" spans="1:34" x14ac:dyDescent="0.25"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</row>
    <row r="266" spans="1:34" x14ac:dyDescent="0.25"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T11:W11 B20:W23 B16:W16 S39:W39 C91:W91 E63:W63 C88:W88 D92:W98 V64:W73 B38:W38 B80:W81 Y80:AF81 B89:W90 S59:W62 Y62:AG62 C75:W79 Y79:AG79 B74:W74 B83:W87 C41:W44 Y44:AG44 X40:X43 C99:W99 X82:X98 C101:W108 Y101:AF108 X100:X107 V48:W56 T28:W37 X58:X80 X27:Y38 Y83:AF99 Y41:AF43 X47:AD55 AB16:AF16 AB20:AF23 AB11:AF11 Z27:AF39 AE49:AF55 Y59:AF61 Y63:AF78">
    <cfRule type="expression" dxfId="7488" priority="262">
      <formula>B$9&gt;=20/24</formula>
    </cfRule>
    <cfRule type="expression" dxfId="7487" priority="263">
      <formula>AND(B$9&gt;=14/24,B$9&lt;20/24)</formula>
    </cfRule>
    <cfRule type="expression" dxfId="7486" priority="264">
      <formula>AND(B$9&gt;=8/24,B$9&lt;14/24)</formula>
    </cfRule>
    <cfRule type="expression" dxfId="7485" priority="265">
      <formula>B$9&lt;8/24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B12:R16 S11:W16 B18:W18 B20:W23 S39:W39 Y57:AG58 B37:W38 C57:W58 B40:W40 Y40:AG40 S59:W62 Y62:AG62 C41:W44 Y44:AG44 V48:W56 T28:W36 Z38:AF39 Y41:AF43 AB20:AF23 AB18:AF18 AB11:AF16 Y59:AF61">
    <cfRule type="expression" dxfId="7484" priority="256">
      <formula>B11&gt;$AG11</formula>
    </cfRule>
  </conditionalFormatting>
  <conditionalFormatting sqref="A91:A101 A11:A14 A51:A78 A87:A89 A194:A224 A38:A49 A110:A181 A34:A35 A83:A85 A80:A81 A103:A105 A31:A32 A18:A29 A16">
    <cfRule type="expression" dxfId="7483" priority="255">
      <formula>$AH11=0</formula>
    </cfRule>
  </conditionalFormatting>
  <conditionalFormatting sqref="A106">
    <cfRule type="expression" dxfId="7482" priority="254">
      <formula>$AH106=0</formula>
    </cfRule>
  </conditionalFormatting>
  <conditionalFormatting sqref="AL35">
    <cfRule type="iconSet" priority="253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481" priority="252">
      <formula>$AH37=0</formula>
    </cfRule>
  </conditionalFormatting>
  <conditionalFormatting sqref="A90">
    <cfRule type="expression" dxfId="7480" priority="251">
      <formula>$AH90=0</formula>
    </cfRule>
  </conditionalFormatting>
  <conditionalFormatting sqref="A15">
    <cfRule type="expression" dxfId="7479" priority="250">
      <formula>$AH15=0</formula>
    </cfRule>
  </conditionalFormatting>
  <conditionalFormatting sqref="A188:A193">
    <cfRule type="expression" dxfId="7478" priority="249">
      <formula>$AH188=0</formula>
    </cfRule>
  </conditionalFormatting>
  <conditionalFormatting sqref="A182:A187">
    <cfRule type="expression" dxfId="7477" priority="248">
      <formula>$AH182=0</formula>
    </cfRule>
  </conditionalFormatting>
  <conditionalFormatting sqref="A50">
    <cfRule type="expression" dxfId="7476" priority="247">
      <formula>$AH50=0</formula>
    </cfRule>
  </conditionalFormatting>
  <conditionalFormatting sqref="A86">
    <cfRule type="expression" dxfId="7475" priority="246">
      <formula>$AH86=0</formula>
    </cfRule>
  </conditionalFormatting>
  <conditionalFormatting sqref="AL36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474" priority="268">
      <formula>C$9&gt;=20/24</formula>
    </cfRule>
    <cfRule type="expression" dxfId="7473" priority="269">
      <formula>AND(C$9&gt;=14/24,C$9&lt;20/24)</formula>
    </cfRule>
    <cfRule type="expression" dxfId="7472" priority="270">
      <formula>AND(C$9&gt;=8/24,C$9&lt;14/24)</formula>
    </cfRule>
    <cfRule type="expression" dxfId="7471" priority="271">
      <formula>C$9&lt;8/24</formula>
    </cfRule>
  </conditionalFormatting>
  <conditionalFormatting sqref="A225">
    <cfRule type="expression" dxfId="7470" priority="272">
      <formula>$AH225=0</formula>
    </cfRule>
  </conditionalFormatting>
  <conditionalFormatting sqref="AG237">
    <cfRule type="expression" dxfId="7469" priority="273">
      <formula>B$9&gt;=20/24</formula>
    </cfRule>
    <cfRule type="expression" dxfId="7468" priority="274">
      <formula>AND(B$9&gt;=14/24,B$9&lt;20/24)</formula>
    </cfRule>
    <cfRule type="expression" dxfId="7467" priority="275">
      <formula>AND(B$9&gt;=8/24,B$9&lt;14/24)</formula>
    </cfRule>
    <cfRule type="expression" dxfId="7466" priority="276">
      <formula>B$9&lt;8/24</formula>
    </cfRule>
  </conditionalFormatting>
  <conditionalFormatting sqref="S8">
    <cfRule type="expression" dxfId="7465" priority="237">
      <formula>U$9&gt;=20/24</formula>
    </cfRule>
    <cfRule type="expression" dxfId="7464" priority="238">
      <formula>AND(U$9&gt;=14/24,U$9&lt;20/24)</formula>
    </cfRule>
    <cfRule type="expression" dxfId="7463" priority="239">
      <formula>AND(U$9&gt;=8/24,U$9&lt;14/24)</formula>
    </cfRule>
    <cfRule type="expression" dxfId="7462" priority="240">
      <formula>U$9&lt;8/24</formula>
    </cfRule>
  </conditionalFormatting>
  <conditionalFormatting sqref="AB8">
    <cfRule type="expression" dxfId="7461" priority="233">
      <formula>AD$9&gt;=20/24</formula>
    </cfRule>
    <cfRule type="expression" dxfId="7460" priority="234">
      <formula>AND(AD$9&gt;=14/24,AD$9&lt;20/24)</formula>
    </cfRule>
    <cfRule type="expression" dxfId="7459" priority="235">
      <formula>AND(AD$9&gt;=8/24,AD$9&lt;14/24)</formula>
    </cfRule>
    <cfRule type="expression" dxfId="7458" priority="236">
      <formula>AD$9&lt;8/24</formula>
    </cfRule>
  </conditionalFormatting>
  <conditionalFormatting sqref="AH237:AX237">
    <cfRule type="expression" dxfId="7457" priority="277">
      <formula>AG$9&gt;=20/24</formula>
    </cfRule>
    <cfRule type="expression" dxfId="7456" priority="278">
      <formula>AND(AG$9&gt;=14/24,AG$9&lt;20/24)</formula>
    </cfRule>
    <cfRule type="expression" dxfId="7455" priority="279">
      <formula>AND(AG$9&gt;=8/24,AG$9&lt;14/24)</formula>
    </cfRule>
    <cfRule type="expression" dxfId="7454" priority="280">
      <formula>AG$9&lt;8/24</formula>
    </cfRule>
  </conditionalFormatting>
  <conditionalFormatting sqref="T237">
    <cfRule type="expression" dxfId="7453" priority="281">
      <formula>AX$9&gt;=20/24</formula>
    </cfRule>
    <cfRule type="expression" dxfId="7452" priority="282">
      <formula>AND(AX$9&gt;=14/24,AX$9&lt;20/24)</formula>
    </cfRule>
    <cfRule type="expression" dxfId="7451" priority="283">
      <formula>AND(AX$9&gt;=8/24,AX$9&lt;14/24)</formula>
    </cfRule>
    <cfRule type="expression" dxfId="7450" priority="284">
      <formula>AX$9&lt;8/24</formula>
    </cfRule>
  </conditionalFormatting>
  <conditionalFormatting sqref="A107:A108">
    <cfRule type="expression" dxfId="7449" priority="232">
      <formula>$AH107=0</formula>
    </cfRule>
  </conditionalFormatting>
  <conditionalFormatting sqref="E46:M47 T46:W47 AE46:AF47">
    <cfRule type="expression" dxfId="7448" priority="228">
      <formula>E$9&gt;=20/24</formula>
    </cfRule>
    <cfRule type="expression" dxfId="7447" priority="229">
      <formula>AND(E$9&gt;=14/24,E$9&lt;20/24)</formula>
    </cfRule>
    <cfRule type="expression" dxfId="7446" priority="230">
      <formula>AND(E$9&gt;=8/24,E$9&lt;14/24)</formula>
    </cfRule>
    <cfRule type="expression" dxfId="7445" priority="231">
      <formula>E$9&lt;8/24</formula>
    </cfRule>
  </conditionalFormatting>
  <conditionalFormatting sqref="E45:M45 T45:W45 AE45:AF45">
    <cfRule type="expression" dxfId="7444" priority="224">
      <formula>E$9&gt;=20/24</formula>
    </cfRule>
    <cfRule type="expression" dxfId="7443" priority="225">
      <formula>AND(E$9&gt;=14/24,E$9&lt;20/24)</formula>
    </cfRule>
    <cfRule type="expression" dxfId="7442" priority="226">
      <formula>AND(E$9&gt;=8/24,E$9&lt;14/24)</formula>
    </cfRule>
    <cfRule type="expression" dxfId="7441" priority="227">
      <formula>E$9&lt;8/24</formula>
    </cfRule>
  </conditionalFormatting>
  <conditionalFormatting sqref="E45:M47 T45:W47 AE45:AF47">
    <cfRule type="expression" dxfId="7440" priority="223">
      <formula>E45&gt;$AG45</formula>
    </cfRule>
  </conditionalFormatting>
  <conditionalFormatting sqref="S11:S14 T64:U67 L39:R39 E64:S65 U68:U73 T12:W14 S18:W18 T25:W27 AB18:AF18 AB12:AF14">
    <cfRule type="expression" dxfId="7439" priority="219">
      <formula>E$9&gt;=20/24</formula>
    </cfRule>
    <cfRule type="expression" dxfId="7438" priority="220">
      <formula>AND(E$9&gt;=14/24,E$9&lt;20/24)</formula>
    </cfRule>
    <cfRule type="expression" dxfId="7437" priority="221">
      <formula>AND(E$9&gt;=8/24,E$9&lt;14/24)</formula>
    </cfRule>
    <cfRule type="expression" dxfId="7436" priority="222">
      <formula>E$9&lt;8/24</formula>
    </cfRule>
  </conditionalFormatting>
  <conditionalFormatting sqref="S11 E48:M48 L39:R39 T25:W27 AE48:AF48">
    <cfRule type="expression" dxfId="7435" priority="214">
      <formula>E11&gt;$AG11</formula>
    </cfRule>
  </conditionalFormatting>
  <conditionalFormatting sqref="S15:W15 AB15:AF15">
    <cfRule type="expression" dxfId="7434" priority="206">
      <formula>S$9&gt;=20/24</formula>
    </cfRule>
    <cfRule type="expression" dxfId="7433" priority="207">
      <formula>AND(S$9&gt;=14/24,S$9&lt;20/24)</formula>
    </cfRule>
    <cfRule type="expression" dxfId="7432" priority="208">
      <formula>AND(S$9&gt;=8/24,S$9&lt;14/24)</formula>
    </cfRule>
    <cfRule type="expression" dxfId="7431" priority="209">
      <formula>S$9&lt;8/24</formula>
    </cfRule>
  </conditionalFormatting>
  <conditionalFormatting sqref="N45:S49 T48:U54">
    <cfRule type="expression" dxfId="7430" priority="192">
      <formula>N$9&gt;=20/24</formula>
    </cfRule>
    <cfRule type="expression" dxfId="7429" priority="193">
      <formula>AND(N$9&gt;=14/24,N$9&lt;20/24)</formula>
    </cfRule>
    <cfRule type="expression" dxfId="7428" priority="194">
      <formula>AND(N$9&gt;=8/24,N$9&lt;14/24)</formula>
    </cfRule>
    <cfRule type="expression" dxfId="7427" priority="195">
      <formula>N$9&lt;8/24</formula>
    </cfRule>
  </conditionalFormatting>
  <conditionalFormatting sqref="N45:S49 T48:U54">
    <cfRule type="expression" dxfId="7426" priority="191">
      <formula>N45&gt;$AG45</formula>
    </cfRule>
  </conditionalFormatting>
  <conditionalFormatting sqref="E31:S31 T19:W19 T24:W24 AB19:AF19">
    <cfRule type="expression" dxfId="7425" priority="183">
      <formula>E$9&gt;=20/24</formula>
    </cfRule>
    <cfRule type="expression" dxfId="7424" priority="184">
      <formula>AND(E$9&gt;=14/24,E$9&lt;20/24)</formula>
    </cfRule>
    <cfRule type="expression" dxfId="7423" priority="185">
      <formula>AND(E$9&gt;=8/24,E$9&lt;14/24)</formula>
    </cfRule>
    <cfRule type="expression" dxfId="7422" priority="186">
      <formula>E$9&lt;8/24</formula>
    </cfRule>
  </conditionalFormatting>
  <conditionalFormatting sqref="E31:S31 T19:W19 T24:W24 AB19:AF19">
    <cfRule type="expression" dxfId="7421" priority="182">
      <formula>E19&gt;$AG19</formula>
    </cfRule>
  </conditionalFormatting>
  <conditionalFormatting sqref="D45">
    <cfRule type="expression" dxfId="7420" priority="178">
      <formula>D$9&gt;=20/24</formula>
    </cfRule>
    <cfRule type="expression" dxfId="7419" priority="179">
      <formula>AND(D$9&gt;=14/24,D$9&lt;20/24)</formula>
    </cfRule>
    <cfRule type="expression" dxfId="7418" priority="180">
      <formula>AND(D$9&gt;=8/24,D$9&lt;14/24)</formula>
    </cfRule>
    <cfRule type="expression" dxfId="7417" priority="181">
      <formula>D$9&lt;8/24</formula>
    </cfRule>
  </conditionalFormatting>
  <conditionalFormatting sqref="D45">
    <cfRule type="expression" dxfId="7416" priority="177">
      <formula>D45&gt;$AG45</formula>
    </cfRule>
  </conditionalFormatting>
  <conditionalFormatting sqref="X45:AD46">
    <cfRule type="expression" dxfId="7415" priority="173">
      <formula>X$9&gt;=20/24</formula>
    </cfRule>
    <cfRule type="expression" dxfId="7414" priority="174">
      <formula>AND(X$9&gt;=14/24,X$9&lt;20/24)</formula>
    </cfRule>
    <cfRule type="expression" dxfId="7413" priority="175">
      <formula>AND(X$9&gt;=8/24,X$9&lt;14/24)</formula>
    </cfRule>
    <cfRule type="expression" dxfId="7412" priority="176">
      <formula>X$9&lt;8/24</formula>
    </cfRule>
  </conditionalFormatting>
  <conditionalFormatting sqref="X44">
    <cfRule type="expression" dxfId="7411" priority="169">
      <formula>X$9&gt;=20/24</formula>
    </cfRule>
    <cfRule type="expression" dxfId="7410" priority="170">
      <formula>AND(X$9&gt;=14/24,X$9&lt;20/24)</formula>
    </cfRule>
    <cfRule type="expression" dxfId="7409" priority="171">
      <formula>AND(X$9&gt;=8/24,X$9&lt;14/24)</formula>
    </cfRule>
    <cfRule type="expression" dxfId="7408" priority="172">
      <formula>X$9&lt;8/24</formula>
    </cfRule>
  </conditionalFormatting>
  <conditionalFormatting sqref="X40:X61 X27:Y38 Y41:Y43 Y59:Y61 Z43 Y45:AD56 Z27:AF37 AE49:AF56">
    <cfRule type="expression" dxfId="7407" priority="168">
      <formula>X27&gt;$AG28</formula>
    </cfRule>
  </conditionalFormatting>
  <conditionalFormatting sqref="B101 B103:B108 B11:R11">
    <cfRule type="expression" dxfId="7406" priority="164">
      <formula>B$9&gt;=20/24</formula>
    </cfRule>
    <cfRule type="expression" dxfId="7405" priority="165">
      <formula>AND(B$9&gt;=14/24,B$9&lt;20/24)</formula>
    </cfRule>
    <cfRule type="expression" dxfId="7404" priority="166">
      <formula>AND(B$9&gt;=8/24,B$9&lt;14/24)</formula>
    </cfRule>
    <cfRule type="expression" dxfId="7403" priority="167">
      <formula>B$9&lt;8/24</formula>
    </cfRule>
  </conditionalFormatting>
  <conditionalFormatting sqref="B39:K39">
    <cfRule type="expression" dxfId="7402" priority="160">
      <formula>B$9&gt;=20/24</formula>
    </cfRule>
    <cfRule type="expression" dxfId="7401" priority="161">
      <formula>AND(B$9&gt;=14/24,B$9&lt;20/24)</formula>
    </cfRule>
    <cfRule type="expression" dxfId="7400" priority="162">
      <formula>AND(B$9&gt;=8/24,B$9&lt;14/24)</formula>
    </cfRule>
    <cfRule type="expression" dxfId="7399" priority="163">
      <formula>B$9&lt;8/24</formula>
    </cfRule>
  </conditionalFormatting>
  <conditionalFormatting sqref="B39:K39 B11:R11">
    <cfRule type="expression" dxfId="7398" priority="159">
      <formula>B11&gt;$AG11</formula>
    </cfRule>
  </conditionalFormatting>
  <conditionalFormatting sqref="B91">
    <cfRule type="expression" dxfId="7397" priority="155">
      <formula>B$9&gt;=20/24</formula>
    </cfRule>
    <cfRule type="expression" dxfId="7396" priority="156">
      <formula>AND(B$9&gt;=14/24,B$9&lt;20/24)</formula>
    </cfRule>
    <cfRule type="expression" dxfId="7395" priority="157">
      <formula>AND(B$9&gt;=8/24,B$9&lt;14/24)</formula>
    </cfRule>
    <cfRule type="expression" dxfId="7394" priority="158">
      <formula>B$9&lt;8/24</formula>
    </cfRule>
  </conditionalFormatting>
  <conditionalFormatting sqref="B46:D47 B63:D63">
    <cfRule type="expression" dxfId="7393" priority="151">
      <formula>B$9&gt;=20/24</formula>
    </cfRule>
    <cfRule type="expression" dxfId="7392" priority="152">
      <formula>AND(B$9&gt;=14/24,B$9&lt;20/24)</formula>
    </cfRule>
    <cfRule type="expression" dxfId="7391" priority="153">
      <formula>AND(B$9&gt;=8/24,B$9&lt;14/24)</formula>
    </cfRule>
    <cfRule type="expression" dxfId="7390" priority="154">
      <formula>B$9&lt;8/24</formula>
    </cfRule>
  </conditionalFormatting>
  <conditionalFormatting sqref="B45:C45">
    <cfRule type="expression" dxfId="7389" priority="147">
      <formula>B$9&gt;=20/24</formula>
    </cfRule>
    <cfRule type="expression" dxfId="7388" priority="148">
      <formula>AND(B$9&gt;=14/24,B$9&lt;20/24)</formula>
    </cfRule>
    <cfRule type="expression" dxfId="7387" priority="149">
      <formula>AND(B$9&gt;=8/24,B$9&lt;14/24)</formula>
    </cfRule>
    <cfRule type="expression" dxfId="7386" priority="150">
      <formula>B$9&lt;8/24</formula>
    </cfRule>
  </conditionalFormatting>
  <conditionalFormatting sqref="B45:C47 D46:D47">
    <cfRule type="expression" dxfId="7385" priority="146">
      <formula>B45&gt;$AG45</formula>
    </cfRule>
  </conditionalFormatting>
  <conditionalFormatting sqref="B75:B79 B88 B92:C98 B64:D73 B31:D34 E32:S34 B18:R18 B29:S29 B25:S27 B12:R14 B59:R62 E66:S73 T68:T73">
    <cfRule type="expression" dxfId="7384" priority="142">
      <formula>B$9&gt;=20/24</formula>
    </cfRule>
    <cfRule type="expression" dxfId="7383" priority="143">
      <formula>AND(B$9&gt;=14/24,B$9&lt;20/24)</formula>
    </cfRule>
    <cfRule type="expression" dxfId="7382" priority="144">
      <formula>AND(B$9&gt;=8/24,B$9&lt;14/24)</formula>
    </cfRule>
    <cfRule type="expression" dxfId="7381" priority="145">
      <formula>B$9&lt;8/24</formula>
    </cfRule>
  </conditionalFormatting>
  <conditionalFormatting sqref="B35:S35">
    <cfRule type="expression" dxfId="7380" priority="138">
      <formula>B$9&gt;=20/24</formula>
    </cfRule>
    <cfRule type="expression" dxfId="7379" priority="139">
      <formula>AND(B$9&gt;=14/24,B$9&lt;20/24)</formula>
    </cfRule>
    <cfRule type="expression" dxfId="7378" priority="140">
      <formula>AND(B$9&gt;=8/24,B$9&lt;14/24)</formula>
    </cfRule>
    <cfRule type="expression" dxfId="7377" priority="141">
      <formula>B$9&lt;8/24</formula>
    </cfRule>
  </conditionalFormatting>
  <conditionalFormatting sqref="B57:B62 B48:D48 B31:D35 B49:M49 E32:S35 B25:S29 C59:R62">
    <cfRule type="expression" dxfId="7376" priority="137">
      <formula>B25&gt;$AG25</formula>
    </cfRule>
  </conditionalFormatting>
  <conditionalFormatting sqref="B37:S37">
    <cfRule type="expression" dxfId="7375" priority="133">
      <formula>B$9&gt;=20/24</formula>
    </cfRule>
    <cfRule type="expression" dxfId="7374" priority="134">
      <formula>AND(B$9&gt;=14/24,B$9&lt;20/24)</formula>
    </cfRule>
    <cfRule type="expression" dxfId="7373" priority="135">
      <formula>AND(B$9&gt;=8/24,B$9&lt;14/24)</formula>
    </cfRule>
    <cfRule type="expression" dxfId="7372" priority="136">
      <formula>B$9&lt;8/24</formula>
    </cfRule>
  </conditionalFormatting>
  <conditionalFormatting sqref="B15:R15">
    <cfRule type="expression" dxfId="7371" priority="129">
      <formula>B$9&gt;=20/24</formula>
    </cfRule>
    <cfRule type="expression" dxfId="7370" priority="130">
      <formula>AND(B$9&gt;=14/24,B$9&lt;20/24)</formula>
    </cfRule>
    <cfRule type="expression" dxfId="7369" priority="131">
      <formula>AND(B$9&gt;=8/24,B$9&lt;14/24)</formula>
    </cfRule>
    <cfRule type="expression" dxfId="7368" priority="132">
      <formula>B$9&lt;8/24</formula>
    </cfRule>
  </conditionalFormatting>
  <conditionalFormatting sqref="B36:S36">
    <cfRule type="expression" dxfId="7367" priority="125">
      <formula>B$9&gt;=20/24</formula>
    </cfRule>
    <cfRule type="expression" dxfId="7366" priority="126">
      <formula>AND(B$9&gt;=14/24,B$9&lt;20/24)</formula>
    </cfRule>
    <cfRule type="expression" dxfId="7365" priority="127">
      <formula>AND(B$9&gt;=8/24,B$9&lt;14/24)</formula>
    </cfRule>
    <cfRule type="expression" dxfId="7364" priority="128">
      <formula>B$9&lt;8/24</formula>
    </cfRule>
  </conditionalFormatting>
  <conditionalFormatting sqref="B36:S36">
    <cfRule type="expression" dxfId="7363" priority="124">
      <formula>B36&gt;$AG36</formula>
    </cfRule>
  </conditionalFormatting>
  <conditionalFormatting sqref="B50:S56 T55:U56">
    <cfRule type="expression" dxfId="7362" priority="120">
      <formula>B$9&gt;=20/24</formula>
    </cfRule>
    <cfRule type="expression" dxfId="7361" priority="121">
      <formula>AND(B$9&gt;=14/24,B$9&lt;20/24)</formula>
    </cfRule>
    <cfRule type="expression" dxfId="7360" priority="122">
      <formula>AND(B$9&gt;=8/24,B$9&lt;14/24)</formula>
    </cfRule>
    <cfRule type="expression" dxfId="7359" priority="123">
      <formula>B$9&lt;8/24</formula>
    </cfRule>
  </conditionalFormatting>
  <conditionalFormatting sqref="B50:S56 T55:U56">
    <cfRule type="expression" dxfId="7358" priority="119">
      <formula>B50&gt;$AG50</formula>
    </cfRule>
  </conditionalFormatting>
  <conditionalFormatting sqref="B28:S28">
    <cfRule type="expression" dxfId="7357" priority="115">
      <formula>B$9&gt;=20/24</formula>
    </cfRule>
    <cfRule type="expression" dxfId="7356" priority="116">
      <formula>AND(B$9&gt;=14/24,B$9&lt;20/24)</formula>
    </cfRule>
    <cfRule type="expression" dxfId="7355" priority="117">
      <formula>AND(B$9&gt;=8/24,B$9&lt;14/24)</formula>
    </cfRule>
    <cfRule type="expression" dxfId="7354" priority="118">
      <formula>B$9&lt;8/24</formula>
    </cfRule>
  </conditionalFormatting>
  <conditionalFormatting sqref="B19:S19 B24:S24">
    <cfRule type="expression" dxfId="7353" priority="111">
      <formula>B$9&gt;=20/24</formula>
    </cfRule>
    <cfRule type="expression" dxfId="7352" priority="112">
      <formula>AND(B$9&gt;=14/24,B$9&lt;20/24)</formula>
    </cfRule>
    <cfRule type="expression" dxfId="7351" priority="113">
      <formula>AND(B$9&gt;=8/24,B$9&lt;14/24)</formula>
    </cfRule>
    <cfRule type="expression" dxfId="7350" priority="114">
      <formula>B$9&lt;8/24</formula>
    </cfRule>
  </conditionalFormatting>
  <conditionalFormatting sqref="B19:S19 B24:S24">
    <cfRule type="expression" dxfId="7349" priority="110">
      <formula>B19&gt;$AG19</formula>
    </cfRule>
  </conditionalFormatting>
  <conditionalFormatting sqref="A36">
    <cfRule type="expression" dxfId="7348" priority="109">
      <formula>$AH36=0</formula>
    </cfRule>
  </conditionalFormatting>
  <conditionalFormatting sqref="AL37 AL34 AL18:AL29 AL7:AL16 AL31:AL32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B41:B44">
    <cfRule type="expression" dxfId="7347" priority="92">
      <formula>B$9&gt;=20/24</formula>
    </cfRule>
    <cfRule type="expression" dxfId="7346" priority="93">
      <formula>AND(B$9&gt;=14/24,B$9&lt;20/24)</formula>
    </cfRule>
    <cfRule type="expression" dxfId="7345" priority="94">
      <formula>AND(B$9&gt;=8/24,B$9&lt;14/24)</formula>
    </cfRule>
    <cfRule type="expression" dxfId="7344" priority="95">
      <formula>B$9&lt;8/24</formula>
    </cfRule>
  </conditionalFormatting>
  <conditionalFormatting sqref="B41:B44">
    <cfRule type="expression" dxfId="7343" priority="91">
      <formula>B41&gt;$AG41</formula>
    </cfRule>
  </conditionalFormatting>
  <conditionalFormatting sqref="B99">
    <cfRule type="expression" dxfId="7342" priority="83">
      <formula>B$9&gt;=20/24</formula>
    </cfRule>
    <cfRule type="expression" dxfId="7341" priority="84">
      <formula>AND(B$9&gt;=14/24,B$9&lt;20/24)</formula>
    </cfRule>
    <cfRule type="expression" dxfId="7340" priority="85">
      <formula>AND(B$9&gt;=8/24,B$9&lt;14/24)</formula>
    </cfRule>
    <cfRule type="expression" dxfId="7339" priority="86">
      <formula>B$9&lt;8/24</formula>
    </cfRule>
  </conditionalFormatting>
  <conditionalFormatting sqref="AL3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7338" priority="77">
      <formula>$AH33=0</formula>
    </cfRule>
  </conditionalFormatting>
  <conditionalFormatting sqref="A82">
    <cfRule type="expression" dxfId="7337" priority="75">
      <formula>$AH82=0</formula>
    </cfRule>
  </conditionalFormatting>
  <conditionalFormatting sqref="A79">
    <cfRule type="expression" dxfId="7336" priority="76">
      <formula>$AH79=0</formula>
    </cfRule>
  </conditionalFormatting>
  <conditionalFormatting sqref="A109">
    <cfRule type="expression" dxfId="7335" priority="66">
      <formula>$AH109=0</formula>
    </cfRule>
  </conditionalFormatting>
  <conditionalFormatting sqref="A102">
    <cfRule type="expression" dxfId="7334" priority="61">
      <formula>$AH102=0</formula>
    </cfRule>
  </conditionalFormatting>
  <conditionalFormatting sqref="B102">
    <cfRule type="expression" dxfId="7333" priority="57">
      <formula>B$9&gt;=20/24</formula>
    </cfRule>
    <cfRule type="expression" dxfId="7332" priority="58">
      <formula>AND(B$9&gt;=14/24,B$9&lt;20/24)</formula>
    </cfRule>
    <cfRule type="expression" dxfId="7331" priority="59">
      <formula>AND(B$9&gt;=8/24,B$9&lt;14/24)</formula>
    </cfRule>
    <cfRule type="expression" dxfId="7330" priority="60">
      <formula>B$9&lt;8/24</formula>
    </cfRule>
  </conditionalFormatting>
  <conditionalFormatting sqref="B17:W17 AB17:AF17">
    <cfRule type="expression" dxfId="7329" priority="50">
      <formula>B17&gt;$AG17</formula>
    </cfRule>
  </conditionalFormatting>
  <conditionalFormatting sqref="A17">
    <cfRule type="expression" dxfId="7328" priority="49">
      <formula>$AH17=0</formula>
    </cfRule>
  </conditionalFormatting>
  <conditionalFormatting sqref="S17:W17 AB17:AF17">
    <cfRule type="expression" dxfId="7327" priority="45">
      <formula>S$9&gt;=20/24</formula>
    </cfRule>
    <cfRule type="expression" dxfId="7326" priority="46">
      <formula>AND(S$9&gt;=14/24,S$9&lt;20/24)</formula>
    </cfRule>
    <cfRule type="expression" dxfId="7325" priority="47">
      <formula>AND(S$9&gt;=8/24,S$9&lt;14/24)</formula>
    </cfRule>
    <cfRule type="expression" dxfId="7324" priority="48">
      <formula>S$9&lt;8/24</formula>
    </cfRule>
  </conditionalFormatting>
  <conditionalFormatting sqref="B17:R17">
    <cfRule type="expression" dxfId="7323" priority="41">
      <formula>B$9&gt;=20/24</formula>
    </cfRule>
    <cfRule type="expression" dxfId="7322" priority="42">
      <formula>AND(B$9&gt;=14/24,B$9&lt;20/24)</formula>
    </cfRule>
    <cfRule type="expression" dxfId="7321" priority="43">
      <formula>AND(B$9&gt;=8/24,B$9&lt;14/24)</formula>
    </cfRule>
    <cfRule type="expression" dxfId="7320" priority="44">
      <formula>B$9&lt;8/24</formula>
    </cfRule>
  </conditionalFormatting>
  <conditionalFormatting sqref="AL17">
    <cfRule type="iconSet" priority="51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7319" priority="39">
      <formula>$AH30=0</formula>
    </cfRule>
  </conditionalFormatting>
  <conditionalFormatting sqref="E30:S30">
    <cfRule type="expression" dxfId="7318" priority="30">
      <formula>E$9&gt;=20/24</formula>
    </cfRule>
    <cfRule type="expression" dxfId="7317" priority="31">
      <formula>AND(E$9&gt;=14/24,E$9&lt;20/24)</formula>
    </cfRule>
    <cfRule type="expression" dxfId="7316" priority="32">
      <formula>AND(E$9&gt;=8/24,E$9&lt;14/24)</formula>
    </cfRule>
    <cfRule type="expression" dxfId="7315" priority="33">
      <formula>E$9&lt;8/24</formula>
    </cfRule>
  </conditionalFormatting>
  <conditionalFormatting sqref="E30:S30">
    <cfRule type="expression" dxfId="7314" priority="29">
      <formula>E30&gt;$AG30</formula>
    </cfRule>
  </conditionalFormatting>
  <conditionalFormatting sqref="B30:D30">
    <cfRule type="expression" dxfId="7313" priority="25">
      <formula>B$9&gt;=20/24</formula>
    </cfRule>
    <cfRule type="expression" dxfId="7312" priority="26">
      <formula>AND(B$9&gt;=14/24,B$9&lt;20/24)</formula>
    </cfRule>
    <cfRule type="expression" dxfId="7311" priority="27">
      <formula>AND(B$9&gt;=8/24,B$9&lt;14/24)</formula>
    </cfRule>
    <cfRule type="expression" dxfId="7310" priority="28">
      <formula>B$9&lt;8/24</formula>
    </cfRule>
  </conditionalFormatting>
  <conditionalFormatting sqref="B30:D30">
    <cfRule type="expression" dxfId="7309" priority="24">
      <formula>B30&gt;$AG30</formula>
    </cfRule>
  </conditionalFormatting>
  <conditionalFormatting sqref="AL30">
    <cfRule type="iconSet" priority="40">
      <iconSet iconSet="3TrafficLights2" reverse="1">
        <cfvo type="percent" val="0"/>
        <cfvo type="num" val="1"/>
        <cfvo type="num" val="1"/>
      </iconSet>
    </cfRule>
  </conditionalFormatting>
  <conditionalFormatting sqref="X108:X109">
    <cfRule type="expression" dxfId="7308" priority="15">
      <formula>X$9&gt;=20/24</formula>
    </cfRule>
    <cfRule type="expression" dxfId="7307" priority="16">
      <formula>AND(X$9&gt;=14/24,X$9&lt;20/24)</formula>
    </cfRule>
    <cfRule type="expression" dxfId="7306" priority="17">
      <formula>AND(X$9&gt;=8/24,X$9&lt;14/24)</formula>
    </cfRule>
    <cfRule type="expression" dxfId="7305" priority="18">
      <formula>X$9&lt;8/24</formula>
    </cfRule>
  </conditionalFormatting>
  <conditionalFormatting sqref="X99">
    <cfRule type="expression" dxfId="7304" priority="11">
      <formula>X$9&gt;=20/24</formula>
    </cfRule>
    <cfRule type="expression" dxfId="7303" priority="12">
      <formula>AND(X$9&gt;=14/24,X$9&lt;20/24)</formula>
    </cfRule>
    <cfRule type="expression" dxfId="7302" priority="13">
      <formula>AND(X$9&gt;=8/24,X$9&lt;14/24)</formula>
    </cfRule>
    <cfRule type="expression" dxfId="7301" priority="14">
      <formula>X$9&lt;8/24</formula>
    </cfRule>
  </conditionalFormatting>
  <conditionalFormatting sqref="X11:AA26 AB24:AF26">
    <cfRule type="expression" dxfId="7300" priority="7">
      <formula>X$9&gt;=20/24</formula>
    </cfRule>
    <cfRule type="expression" dxfId="7299" priority="8">
      <formula>AND(X$9&gt;=14/24,X$9&lt;20/24)</formula>
    </cfRule>
    <cfRule type="expression" dxfId="7298" priority="9">
      <formula>AND(X$9&gt;=8/24,X$9&lt;14/24)</formula>
    </cfRule>
    <cfRule type="expression" dxfId="7297" priority="10">
      <formula>X$9&lt;8/24</formula>
    </cfRule>
  </conditionalFormatting>
  <conditionalFormatting sqref="X11:AA26 AB24:AF26">
    <cfRule type="expression" dxfId="7296" priority="6">
      <formula>X11&gt;$AG12</formula>
    </cfRule>
  </conditionalFormatting>
  <conditionalFormatting sqref="X39:Y39">
    <cfRule type="expression" dxfId="7295" priority="2">
      <formula>X$9&gt;=20/24</formula>
    </cfRule>
    <cfRule type="expression" dxfId="7294" priority="3">
      <formula>AND(X$9&gt;=14/24,X$9&lt;20/24)</formula>
    </cfRule>
    <cfRule type="expression" dxfId="7293" priority="4">
      <formula>AND(X$9&gt;=8/24,X$9&lt;14/24)</formula>
    </cfRule>
    <cfRule type="expression" dxfId="7292" priority="5">
      <formula>X$9&lt;8/24</formula>
    </cfRule>
  </conditionalFormatting>
  <conditionalFormatting sqref="X39:Y39">
    <cfRule type="expression" dxfId="7291" priority="1">
      <formula>X39&gt;$AG40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8" id="{75AF782A-7A9F-4BA3-8122-1539B37CD24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9" id="{CEAC1643-A2DD-48E1-83F4-540D36E8123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0" id="{669CCCB7-6B0E-40BD-A08B-84D90133A5C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1" id="{3413AB23-D129-4DDD-B4BB-82691F3F9CA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B82:W82 Y82:AF82 X81</xm:sqref>
        </x14:conditionalFormatting>
        <x14:conditionalFormatting xmlns:xm="http://schemas.microsoft.com/office/excel/2006/main">
          <x14:cfRule type="expression" priority="71" id="{BF407F85-6E5C-43CD-9014-CDD68E0F6BD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2" id="{4B8B3029-F485-4A7D-B18B-B8328A999F8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3" id="{BBEAC385-F182-432A-8D82-0086EC2CB87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4" id="{A3E1958B-0671-457E-A3D2-1E79EEE3001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C109:W109 Y109:AF109</xm:sqref>
        </x14:conditionalFormatting>
        <x14:conditionalFormatting xmlns:xm="http://schemas.microsoft.com/office/excel/2006/main">
          <x14:cfRule type="expression" priority="67" id="{34DC5C44-9818-41A1-A658-311FF7827EC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8" id="{15648597-2F27-4B10-8DD0-AF0186BB56C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9" id="{36DC6485-DBB6-4D65-89EC-FF6364EBC3B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0" id="{72CB293C-8115-4EA6-A144-40D928839BC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73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O69" sqref="O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2079/08/9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1637MW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Load=1005</v>
      </c>
      <c r="B7" s="35">
        <f t="shared" ref="B7:AF7" si="1">B84</f>
        <v>1119.44</v>
      </c>
      <c r="C7" s="35">
        <f t="shared" si="1"/>
        <v>1033.74</v>
      </c>
      <c r="D7" s="35">
        <f t="shared" si="1"/>
        <v>1005.94</v>
      </c>
      <c r="E7" s="35">
        <f t="shared" si="1"/>
        <v>1004.6400000000001</v>
      </c>
      <c r="F7" s="35">
        <f t="shared" si="1"/>
        <v>1033.6400000000001</v>
      </c>
      <c r="G7" s="35">
        <f t="shared" si="1"/>
        <v>1080.6400000000001</v>
      </c>
      <c r="H7" s="35">
        <f t="shared" si="1"/>
        <v>1122.04</v>
      </c>
      <c r="I7" s="35">
        <f t="shared" si="1"/>
        <v>1206.3400000000001</v>
      </c>
      <c r="J7" s="35">
        <f t="shared" si="1"/>
        <v>1288.74</v>
      </c>
      <c r="K7" s="35">
        <f t="shared" si="1"/>
        <v>1565.44</v>
      </c>
      <c r="L7" s="35">
        <f t="shared" si="1"/>
        <v>1564.0400000000002</v>
      </c>
      <c r="M7" s="35">
        <f t="shared" si="1"/>
        <v>1636.8400000000001</v>
      </c>
      <c r="N7" s="35">
        <f t="shared" si="1"/>
        <v>1531.3400000000001</v>
      </c>
      <c r="O7" s="35">
        <f t="shared" si="1"/>
        <v>1392.3400000000001</v>
      </c>
      <c r="P7" s="35">
        <f t="shared" si="1"/>
        <v>1378.3400000000001</v>
      </c>
      <c r="Q7" s="35">
        <f t="shared" si="1"/>
        <v>1326.3400000000001</v>
      </c>
      <c r="R7" s="35">
        <f t="shared" si="1"/>
        <v>1316.44</v>
      </c>
      <c r="S7" s="35">
        <f t="shared" si="1"/>
        <v>1244.44</v>
      </c>
      <c r="T7" s="35">
        <f t="shared" si="1"/>
        <v>1232.44</v>
      </c>
      <c r="U7" s="35">
        <f t="shared" si="1"/>
        <v>1292.44</v>
      </c>
      <c r="V7" s="35">
        <f t="shared" si="1"/>
        <v>1324.44</v>
      </c>
      <c r="W7" s="35">
        <f t="shared" si="1"/>
        <v>1509.24</v>
      </c>
      <c r="X7" s="35">
        <f t="shared" si="1"/>
        <v>1713.9400000000003</v>
      </c>
      <c r="Y7" s="35">
        <f t="shared" si="1"/>
        <v>1638.3400000000001</v>
      </c>
      <c r="Z7" s="35">
        <f t="shared" si="1"/>
        <v>1381.3400000000001</v>
      </c>
      <c r="AA7" s="35">
        <f t="shared" si="1"/>
        <v>1361.3400000000001</v>
      </c>
      <c r="AB7" s="35">
        <f t="shared" si="1"/>
        <v>1362.54</v>
      </c>
      <c r="AC7" s="35">
        <f t="shared" si="1"/>
        <v>1330.54</v>
      </c>
      <c r="AD7" s="35">
        <f t="shared" si="1"/>
        <v>1300.54</v>
      </c>
      <c r="AE7" s="35">
        <f t="shared" si="1"/>
        <v>1145.6400000000001</v>
      </c>
      <c r="AF7" s="35">
        <f t="shared" si="1"/>
        <v>1138.6400000000001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32.5</v>
      </c>
      <c r="C11" s="45">
        <v>32.5</v>
      </c>
      <c r="D11" s="45">
        <v>32.5</v>
      </c>
      <c r="E11" s="45">
        <v>33.6</v>
      </c>
      <c r="F11" s="45">
        <v>33.6</v>
      </c>
      <c r="G11" s="45">
        <v>33.6</v>
      </c>
      <c r="H11" s="45">
        <v>33.6</v>
      </c>
      <c r="I11" s="45">
        <v>33.6</v>
      </c>
      <c r="J11" s="45">
        <v>32.9</v>
      </c>
      <c r="K11" s="45">
        <v>33.200000000000003</v>
      </c>
      <c r="L11" s="45">
        <v>33.200000000000003</v>
      </c>
      <c r="M11" s="45">
        <v>33.200000000000003</v>
      </c>
      <c r="N11" s="45">
        <v>33.200000000000003</v>
      </c>
      <c r="O11" s="45">
        <v>33.200000000000003</v>
      </c>
      <c r="P11" s="45">
        <v>33.200000000000003</v>
      </c>
      <c r="Q11" s="45">
        <v>32.9</v>
      </c>
      <c r="R11" s="45">
        <v>32.700000000000003</v>
      </c>
      <c r="S11" s="45">
        <v>32.700000000000003</v>
      </c>
      <c r="T11" s="45">
        <v>32.700000000000003</v>
      </c>
      <c r="U11" s="45">
        <v>32.700000000000003</v>
      </c>
      <c r="V11" s="45">
        <v>32.700000000000003</v>
      </c>
      <c r="W11" s="45">
        <v>32.700000000000003</v>
      </c>
      <c r="X11" s="46">
        <v>32.700000000000003</v>
      </c>
      <c r="Y11" s="46">
        <v>32.700000000000003</v>
      </c>
      <c r="Z11" s="46">
        <v>32.700000000000003</v>
      </c>
      <c r="AA11" s="46">
        <v>32.700000000000003</v>
      </c>
      <c r="AB11" s="46">
        <v>33.9</v>
      </c>
      <c r="AC11" s="46">
        <v>33.9</v>
      </c>
      <c r="AD11" s="46">
        <v>33.9</v>
      </c>
      <c r="AE11" s="46">
        <v>33.9</v>
      </c>
      <c r="AF11" s="46">
        <v>33.9</v>
      </c>
      <c r="AG11" s="47">
        <v>52.4</v>
      </c>
      <c r="AH11" s="48">
        <f>MAX(B11:AF11)</f>
        <v>33.9</v>
      </c>
      <c r="AI11" s="49">
        <f>MIN(B11:AF11)</f>
        <v>32.5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50.2</v>
      </c>
      <c r="F12" s="45">
        <v>50.2</v>
      </c>
      <c r="G12" s="45">
        <v>50.2</v>
      </c>
      <c r="H12" s="45">
        <v>50.2</v>
      </c>
      <c r="I12" s="45">
        <v>50.2</v>
      </c>
      <c r="J12" s="45">
        <v>50.5</v>
      </c>
      <c r="K12" s="45">
        <v>50.7</v>
      </c>
      <c r="L12" s="45">
        <v>50.7</v>
      </c>
      <c r="M12" s="45">
        <v>50.7</v>
      </c>
      <c r="N12" s="45">
        <v>50.7</v>
      </c>
      <c r="O12" s="45">
        <v>50.7</v>
      </c>
      <c r="P12" s="45">
        <v>50.7</v>
      </c>
      <c r="Q12" s="45">
        <v>50.2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8" si="2">MAX(B12:AF12)</f>
        <v>50.7</v>
      </c>
      <c r="AI12" s="49">
        <f t="shared" ref="AI12:AI78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</v>
      </c>
      <c r="C13" s="45">
        <v>30</v>
      </c>
      <c r="D13" s="45">
        <v>30</v>
      </c>
      <c r="E13" s="45">
        <v>30.2</v>
      </c>
      <c r="F13" s="45">
        <v>30.2</v>
      </c>
      <c r="G13" s="45">
        <v>30.2</v>
      </c>
      <c r="H13" s="45">
        <v>30.2</v>
      </c>
      <c r="I13" s="45">
        <v>30.2</v>
      </c>
      <c r="J13" s="45">
        <v>28.7</v>
      </c>
      <c r="K13" s="45">
        <v>27.9</v>
      </c>
      <c r="L13" s="45">
        <v>27.9</v>
      </c>
      <c r="M13" s="45">
        <v>27.9</v>
      </c>
      <c r="N13" s="45">
        <v>27.9</v>
      </c>
      <c r="O13" s="45">
        <v>27.9</v>
      </c>
      <c r="P13" s="45">
        <v>27.9</v>
      </c>
      <c r="Q13" s="45">
        <v>27.5</v>
      </c>
      <c r="R13" s="45">
        <v>27.7</v>
      </c>
      <c r="S13" s="45">
        <v>27.7</v>
      </c>
      <c r="T13" s="45">
        <v>27.7</v>
      </c>
      <c r="U13" s="45">
        <v>27.7</v>
      </c>
      <c r="V13" s="45">
        <v>27.7</v>
      </c>
      <c r="W13" s="45">
        <v>27.7</v>
      </c>
      <c r="X13" s="45">
        <v>33.799999999999997</v>
      </c>
      <c r="Y13" s="45">
        <v>33.799999999999997</v>
      </c>
      <c r="Z13" s="45">
        <v>32.6</v>
      </c>
      <c r="AA13" s="45">
        <v>32.6</v>
      </c>
      <c r="AB13" s="45">
        <v>32.6</v>
      </c>
      <c r="AC13" s="45">
        <v>32.6</v>
      </c>
      <c r="AD13" s="45">
        <v>32.6</v>
      </c>
      <c r="AE13" s="45">
        <v>32.6</v>
      </c>
      <c r="AF13" s="45">
        <v>32.6</v>
      </c>
      <c r="AG13" s="51">
        <v>45</v>
      </c>
      <c r="AH13" s="48">
        <f t="shared" si="2"/>
        <v>33.799999999999997</v>
      </c>
      <c r="AI13" s="49">
        <f t="shared" si="3"/>
        <v>27.5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20</v>
      </c>
      <c r="F14" s="45">
        <v>20</v>
      </c>
      <c r="G14" s="45">
        <v>20</v>
      </c>
      <c r="H14" s="45">
        <v>20</v>
      </c>
      <c r="I14" s="45">
        <v>20</v>
      </c>
      <c r="J14" s="45">
        <v>20</v>
      </c>
      <c r="K14" s="45">
        <v>20</v>
      </c>
      <c r="L14" s="45">
        <v>20</v>
      </c>
      <c r="M14" s="45">
        <v>20</v>
      </c>
      <c r="N14" s="45">
        <v>20</v>
      </c>
      <c r="O14" s="45">
        <v>18</v>
      </c>
      <c r="P14" s="45">
        <v>18</v>
      </c>
      <c r="Q14" s="45">
        <v>18</v>
      </c>
      <c r="R14" s="45">
        <v>17</v>
      </c>
      <c r="S14" s="45">
        <v>17</v>
      </c>
      <c r="T14" s="45">
        <v>17</v>
      </c>
      <c r="U14" s="45">
        <v>17</v>
      </c>
      <c r="V14" s="45">
        <v>17</v>
      </c>
      <c r="W14" s="45">
        <v>17</v>
      </c>
      <c r="X14" s="45">
        <v>18</v>
      </c>
      <c r="Y14" s="45">
        <v>18</v>
      </c>
      <c r="Z14" s="45">
        <v>18</v>
      </c>
      <c r="AA14" s="45">
        <v>18</v>
      </c>
      <c r="AB14" s="45">
        <v>18</v>
      </c>
      <c r="AC14" s="45">
        <v>18</v>
      </c>
      <c r="AD14" s="45">
        <v>18</v>
      </c>
      <c r="AE14" s="45">
        <v>18</v>
      </c>
      <c r="AF14" s="45">
        <v>18</v>
      </c>
      <c r="AG14" s="51">
        <v>42</v>
      </c>
      <c r="AH14" s="48">
        <f t="shared" si="2"/>
        <v>20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254</v>
      </c>
      <c r="B15" s="45">
        <v>10</v>
      </c>
      <c r="C15" s="45">
        <v>10</v>
      </c>
      <c r="D15" s="45">
        <v>10</v>
      </c>
      <c r="E15" s="45">
        <v>10</v>
      </c>
      <c r="F15" s="45">
        <v>10</v>
      </c>
      <c r="G15" s="45">
        <v>20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25</v>
      </c>
      <c r="P15" s="45">
        <v>25</v>
      </c>
      <c r="Q15" s="45">
        <v>25</v>
      </c>
      <c r="R15" s="45">
        <v>25</v>
      </c>
      <c r="S15" s="45">
        <v>25</v>
      </c>
      <c r="T15" s="45">
        <v>25</v>
      </c>
      <c r="U15" s="45">
        <v>25</v>
      </c>
      <c r="V15" s="45">
        <v>25</v>
      </c>
      <c r="W15" s="45">
        <v>25</v>
      </c>
      <c r="X15" s="45">
        <v>25</v>
      </c>
      <c r="Y15" s="45">
        <v>25</v>
      </c>
      <c r="Z15" s="45">
        <v>25</v>
      </c>
      <c r="AA15" s="45">
        <v>25</v>
      </c>
      <c r="AB15" s="45">
        <v>25</v>
      </c>
      <c r="AC15" s="45">
        <v>25</v>
      </c>
      <c r="AD15" s="45">
        <v>25</v>
      </c>
      <c r="AE15" s="45">
        <v>25</v>
      </c>
      <c r="AF15" s="45">
        <v>25</v>
      </c>
      <c r="AG15" s="51">
        <v>36</v>
      </c>
      <c r="AH15" s="48">
        <f>MAX(B15:AF15)</f>
        <v>25</v>
      </c>
      <c r="AI15" s="49">
        <f>MIN(B15:AF15)</f>
        <v>10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10</v>
      </c>
      <c r="H16" s="45">
        <v>18.600000000000001</v>
      </c>
      <c r="I16" s="45">
        <v>18.600000000000001</v>
      </c>
      <c r="J16" s="45">
        <v>19.100000000000001</v>
      </c>
      <c r="K16" s="45">
        <v>19.100000000000001</v>
      </c>
      <c r="L16" s="45">
        <v>19.100000000000001</v>
      </c>
      <c r="M16" s="45">
        <v>19.100000000000001</v>
      </c>
      <c r="N16" s="45">
        <v>19.100000000000001</v>
      </c>
      <c r="O16" s="45">
        <v>17.5</v>
      </c>
      <c r="P16" s="45">
        <v>17.5</v>
      </c>
      <c r="Q16" s="45">
        <v>16.899999999999999</v>
      </c>
      <c r="R16" s="45">
        <v>17.899999999999999</v>
      </c>
      <c r="S16" s="45">
        <v>17.899999999999999</v>
      </c>
      <c r="T16" s="45">
        <v>17.899999999999999</v>
      </c>
      <c r="U16" s="45">
        <v>17.899999999999999</v>
      </c>
      <c r="V16" s="45">
        <v>17.899999999999999</v>
      </c>
      <c r="W16" s="45">
        <v>17.899999999999999</v>
      </c>
      <c r="X16" s="45">
        <v>17.899999999999999</v>
      </c>
      <c r="Y16" s="45">
        <v>17.899999999999999</v>
      </c>
      <c r="Z16" s="45">
        <v>17.899999999999999</v>
      </c>
      <c r="AA16" s="45">
        <v>17.899999999999999</v>
      </c>
      <c r="AB16" s="45">
        <v>17.899999999999999</v>
      </c>
      <c r="AC16" s="45">
        <v>17.899999999999999</v>
      </c>
      <c r="AD16" s="45">
        <v>17.899999999999999</v>
      </c>
      <c r="AE16" s="45">
        <v>10</v>
      </c>
      <c r="AF16" s="45">
        <v>17</v>
      </c>
      <c r="AG16" s="52">
        <v>30</v>
      </c>
      <c r="AH16" s="48">
        <f t="shared" si="2"/>
        <v>19.100000000000001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16.899999999999999</v>
      </c>
      <c r="C17" s="45">
        <v>16.899999999999999</v>
      </c>
      <c r="D17" s="45">
        <v>16.899999999999999</v>
      </c>
      <c r="E17" s="45">
        <v>15.9</v>
      </c>
      <c r="F17" s="45">
        <v>15.9</v>
      </c>
      <c r="G17" s="45">
        <v>15.9</v>
      </c>
      <c r="H17" s="45">
        <v>15.9</v>
      </c>
      <c r="I17" s="45">
        <v>15.9</v>
      </c>
      <c r="J17" s="45">
        <v>15.9</v>
      </c>
      <c r="K17" s="45">
        <v>15.9</v>
      </c>
      <c r="L17" s="45">
        <v>15.9</v>
      </c>
      <c r="M17" s="45">
        <v>15.5</v>
      </c>
      <c r="N17" s="45">
        <v>15.5</v>
      </c>
      <c r="O17" s="45">
        <v>15.5</v>
      </c>
      <c r="P17" s="45">
        <v>15.5</v>
      </c>
      <c r="Q17" s="45">
        <v>15.3</v>
      </c>
      <c r="R17" s="45">
        <v>15.3</v>
      </c>
      <c r="S17" s="45">
        <v>15.3</v>
      </c>
      <c r="T17" s="45">
        <v>15.3</v>
      </c>
      <c r="U17" s="45">
        <v>15.3</v>
      </c>
      <c r="V17" s="45">
        <v>15.3</v>
      </c>
      <c r="W17" s="45">
        <v>15.3</v>
      </c>
      <c r="X17" s="45">
        <v>15.3</v>
      </c>
      <c r="Y17" s="45">
        <v>15.3</v>
      </c>
      <c r="Z17" s="45">
        <v>15.3</v>
      </c>
      <c r="AA17" s="45">
        <v>15.3</v>
      </c>
      <c r="AB17" s="45">
        <v>15.3</v>
      </c>
      <c r="AC17" s="45">
        <v>15.3</v>
      </c>
      <c r="AD17" s="45">
        <v>15.3</v>
      </c>
      <c r="AE17" s="45">
        <v>15.3</v>
      </c>
      <c r="AF17" s="45">
        <v>15.3</v>
      </c>
      <c r="AG17" s="51">
        <v>24.2</v>
      </c>
      <c r="AH17" s="48">
        <f t="shared" si="2"/>
        <v>16.899999999999999</v>
      </c>
      <c r="AI17" s="49">
        <f t="shared" si="3"/>
        <v>15.3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18</v>
      </c>
      <c r="C18" s="45">
        <v>18</v>
      </c>
      <c r="D18" s="45">
        <v>18</v>
      </c>
      <c r="E18" s="45">
        <v>18</v>
      </c>
      <c r="F18" s="45">
        <v>18</v>
      </c>
      <c r="G18" s="45">
        <v>18</v>
      </c>
      <c r="H18" s="45">
        <v>18</v>
      </c>
      <c r="I18" s="45">
        <v>18</v>
      </c>
      <c r="J18" s="45">
        <v>18</v>
      </c>
      <c r="K18" s="45">
        <v>18</v>
      </c>
      <c r="L18" s="45">
        <v>18</v>
      </c>
      <c r="M18" s="45">
        <v>18</v>
      </c>
      <c r="N18" s="45">
        <v>18</v>
      </c>
      <c r="O18" s="45">
        <v>18</v>
      </c>
      <c r="P18" s="45">
        <v>18</v>
      </c>
      <c r="Q18" s="45">
        <v>18</v>
      </c>
      <c r="R18" s="45">
        <v>18</v>
      </c>
      <c r="S18" s="45">
        <v>18</v>
      </c>
      <c r="T18" s="45">
        <v>18</v>
      </c>
      <c r="U18" s="45">
        <v>18</v>
      </c>
      <c r="V18" s="45">
        <v>18</v>
      </c>
      <c r="W18" s="45">
        <v>18</v>
      </c>
      <c r="X18" s="45">
        <v>18</v>
      </c>
      <c r="Y18" s="45">
        <v>18</v>
      </c>
      <c r="Z18" s="45">
        <v>18</v>
      </c>
      <c r="AA18" s="45">
        <v>18</v>
      </c>
      <c r="AB18" s="45">
        <v>18</v>
      </c>
      <c r="AC18" s="45">
        <v>18</v>
      </c>
      <c r="AD18" s="45">
        <v>18</v>
      </c>
      <c r="AE18" s="45">
        <v>18</v>
      </c>
      <c r="AF18" s="45">
        <v>18</v>
      </c>
      <c r="AG18" s="52">
        <v>28</v>
      </c>
      <c r="AH18" s="48">
        <f t="shared" ref="AH18" si="4">MAX(B18:AF18)</f>
        <v>18</v>
      </c>
      <c r="AI18" s="49">
        <f t="shared" ref="AI18" si="5">MIN(B18:AF18)</f>
        <v>18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5</v>
      </c>
      <c r="H19" s="45">
        <v>15</v>
      </c>
      <c r="I19" s="45">
        <v>26.5</v>
      </c>
      <c r="J19" s="45">
        <v>26.5</v>
      </c>
      <c r="K19" s="45">
        <v>26.5</v>
      </c>
      <c r="L19" s="45">
        <v>26.5</v>
      </c>
      <c r="M19" s="45">
        <v>26.5</v>
      </c>
      <c r="N19" s="45">
        <v>22</v>
      </c>
      <c r="O19" s="45">
        <v>19</v>
      </c>
      <c r="P19" s="45">
        <v>19</v>
      </c>
      <c r="Q19" s="45">
        <v>19</v>
      </c>
      <c r="R19" s="45">
        <v>19</v>
      </c>
      <c r="S19" s="45">
        <v>19</v>
      </c>
      <c r="T19" s="45">
        <v>19</v>
      </c>
      <c r="U19" s="45">
        <v>19</v>
      </c>
      <c r="V19" s="45">
        <v>19</v>
      </c>
      <c r="W19" s="45">
        <v>19</v>
      </c>
      <c r="X19" s="45">
        <v>19</v>
      </c>
      <c r="Y19" s="45">
        <v>19</v>
      </c>
      <c r="Z19" s="45">
        <v>19</v>
      </c>
      <c r="AA19" s="45">
        <v>19</v>
      </c>
      <c r="AB19" s="45">
        <v>19</v>
      </c>
      <c r="AC19" s="45">
        <v>19</v>
      </c>
      <c r="AD19" s="45">
        <v>19</v>
      </c>
      <c r="AE19" s="45">
        <v>19</v>
      </c>
      <c r="AF19" s="45">
        <v>0</v>
      </c>
      <c r="AG19" s="52">
        <v>30</v>
      </c>
      <c r="AH19" s="48">
        <f t="shared" si="2"/>
        <v>26.5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17.8</v>
      </c>
      <c r="C20" s="45">
        <v>17.8</v>
      </c>
      <c r="D20" s="45">
        <v>17.8</v>
      </c>
      <c r="E20" s="45">
        <v>17.8</v>
      </c>
      <c r="F20" s="45">
        <v>17.8</v>
      </c>
      <c r="G20" s="45">
        <v>17.8</v>
      </c>
      <c r="H20" s="45">
        <v>17.8</v>
      </c>
      <c r="I20" s="45">
        <v>17.8</v>
      </c>
      <c r="J20" s="45">
        <v>17.8</v>
      </c>
      <c r="K20" s="45">
        <v>17.8</v>
      </c>
      <c r="L20" s="45">
        <v>17.8</v>
      </c>
      <c r="M20" s="45">
        <v>17.8</v>
      </c>
      <c r="N20" s="45">
        <v>17.8</v>
      </c>
      <c r="O20" s="45">
        <v>16.3</v>
      </c>
      <c r="P20" s="45">
        <v>16.3</v>
      </c>
      <c r="Q20" s="45">
        <v>16.3</v>
      </c>
      <c r="R20" s="45">
        <v>16.3</v>
      </c>
      <c r="S20" s="45">
        <v>16.3</v>
      </c>
      <c r="T20" s="45">
        <v>16.3</v>
      </c>
      <c r="U20" s="45">
        <v>16.3</v>
      </c>
      <c r="V20" s="45">
        <v>16.3</v>
      </c>
      <c r="W20" s="45">
        <v>16.3</v>
      </c>
      <c r="X20" s="45">
        <v>16.3</v>
      </c>
      <c r="Y20" s="45">
        <v>16.3</v>
      </c>
      <c r="Z20" s="45">
        <v>16.3</v>
      </c>
      <c r="AA20" s="45">
        <v>16.3</v>
      </c>
      <c r="AB20" s="45">
        <v>16.3</v>
      </c>
      <c r="AC20" s="45">
        <v>16.3</v>
      </c>
      <c r="AD20" s="45">
        <v>16.3</v>
      </c>
      <c r="AE20" s="45">
        <v>16.3</v>
      </c>
      <c r="AF20" s="45">
        <v>16.3</v>
      </c>
      <c r="AG20" s="51">
        <v>25</v>
      </c>
      <c r="AH20" s="48">
        <f t="shared" si="2"/>
        <v>17.8</v>
      </c>
      <c r="AI20" s="49">
        <f t="shared" si="3"/>
        <v>16.3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15</v>
      </c>
      <c r="C21" s="45">
        <v>15</v>
      </c>
      <c r="D21" s="45">
        <v>15</v>
      </c>
      <c r="E21" s="45">
        <v>15</v>
      </c>
      <c r="F21" s="45">
        <v>15</v>
      </c>
      <c r="G21" s="45">
        <v>15</v>
      </c>
      <c r="H21" s="45">
        <v>15</v>
      </c>
      <c r="I21" s="45">
        <v>15</v>
      </c>
      <c r="J21" s="45">
        <v>15</v>
      </c>
      <c r="K21" s="45">
        <v>15</v>
      </c>
      <c r="L21" s="45">
        <v>15</v>
      </c>
      <c r="M21" s="45">
        <v>15</v>
      </c>
      <c r="N21" s="45">
        <v>11</v>
      </c>
      <c r="O21" s="45">
        <v>11</v>
      </c>
      <c r="P21" s="45">
        <v>11</v>
      </c>
      <c r="Q21" s="45">
        <v>11</v>
      </c>
      <c r="R21" s="45">
        <v>11</v>
      </c>
      <c r="S21" s="45">
        <v>11</v>
      </c>
      <c r="T21" s="45">
        <v>11</v>
      </c>
      <c r="U21" s="45">
        <v>11</v>
      </c>
      <c r="V21" s="45">
        <v>11</v>
      </c>
      <c r="W21" s="45">
        <v>11</v>
      </c>
      <c r="X21" s="45">
        <v>11</v>
      </c>
      <c r="Y21" s="45">
        <v>11</v>
      </c>
      <c r="Z21" s="45">
        <v>11</v>
      </c>
      <c r="AA21" s="45">
        <v>11</v>
      </c>
      <c r="AB21" s="45">
        <v>11</v>
      </c>
      <c r="AC21" s="45">
        <v>11</v>
      </c>
      <c r="AD21" s="45">
        <v>11</v>
      </c>
      <c r="AE21" s="45">
        <v>11</v>
      </c>
      <c r="AF21" s="45">
        <v>11</v>
      </c>
      <c r="AG21" s="51">
        <v>25</v>
      </c>
      <c r="AH21" s="48">
        <f t="shared" si="2"/>
        <v>15</v>
      </c>
      <c r="AI21" s="49">
        <f t="shared" si="3"/>
        <v>11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15</v>
      </c>
      <c r="C22" s="45">
        <v>15</v>
      </c>
      <c r="D22" s="45">
        <v>15</v>
      </c>
      <c r="E22" s="45">
        <v>15</v>
      </c>
      <c r="F22" s="45">
        <v>15</v>
      </c>
      <c r="G22" s="45">
        <v>15</v>
      </c>
      <c r="H22" s="45">
        <v>15</v>
      </c>
      <c r="I22" s="45">
        <v>15</v>
      </c>
      <c r="J22" s="45">
        <v>15</v>
      </c>
      <c r="K22" s="45">
        <v>15</v>
      </c>
      <c r="L22" s="45">
        <v>15</v>
      </c>
      <c r="M22" s="45">
        <v>10</v>
      </c>
      <c r="N22" s="45">
        <v>10</v>
      </c>
      <c r="O22" s="45">
        <v>10</v>
      </c>
      <c r="P22" s="45">
        <v>10</v>
      </c>
      <c r="Q22" s="45">
        <v>10</v>
      </c>
      <c r="R22" s="45">
        <v>10</v>
      </c>
      <c r="S22" s="45">
        <v>10</v>
      </c>
      <c r="T22" s="45">
        <v>10</v>
      </c>
      <c r="U22" s="45">
        <v>10</v>
      </c>
      <c r="V22" s="45">
        <v>10</v>
      </c>
      <c r="W22" s="45">
        <v>10</v>
      </c>
      <c r="X22" s="45">
        <v>10</v>
      </c>
      <c r="Y22" s="45">
        <v>10</v>
      </c>
      <c r="Z22" s="45">
        <v>10</v>
      </c>
      <c r="AA22" s="45">
        <v>10</v>
      </c>
      <c r="AB22" s="45">
        <v>10</v>
      </c>
      <c r="AC22" s="45">
        <v>10</v>
      </c>
      <c r="AD22" s="45">
        <v>10</v>
      </c>
      <c r="AE22" s="45">
        <v>10</v>
      </c>
      <c r="AF22" s="45">
        <v>10</v>
      </c>
      <c r="AG22" s="51">
        <v>25</v>
      </c>
      <c r="AH22" s="48">
        <f t="shared" si="2"/>
        <v>15</v>
      </c>
      <c r="AI22" s="49">
        <f t="shared" si="3"/>
        <v>10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5</v>
      </c>
      <c r="H23" s="45">
        <v>10</v>
      </c>
      <c r="I23" s="45">
        <v>17.399999999999999</v>
      </c>
      <c r="J23" s="45">
        <v>17.399999999999999</v>
      </c>
      <c r="K23" s="45">
        <v>17.399999999999999</v>
      </c>
      <c r="L23" s="45">
        <v>17.399999999999999</v>
      </c>
      <c r="M23" s="45">
        <v>17.399999999999999</v>
      </c>
      <c r="N23" s="45">
        <v>17.399999999999999</v>
      </c>
      <c r="O23" s="45">
        <v>17</v>
      </c>
      <c r="P23" s="45">
        <v>17</v>
      </c>
      <c r="Q23" s="45">
        <v>17</v>
      </c>
      <c r="R23" s="45">
        <v>17</v>
      </c>
      <c r="S23" s="45">
        <v>17</v>
      </c>
      <c r="T23" s="45">
        <v>17</v>
      </c>
      <c r="U23" s="45">
        <v>17</v>
      </c>
      <c r="V23" s="45">
        <v>17</v>
      </c>
      <c r="W23" s="45">
        <v>17</v>
      </c>
      <c r="X23" s="45">
        <v>17</v>
      </c>
      <c r="Y23" s="45">
        <v>17</v>
      </c>
      <c r="Z23" s="45">
        <v>17</v>
      </c>
      <c r="AA23" s="45">
        <v>17</v>
      </c>
      <c r="AB23" s="45">
        <v>17</v>
      </c>
      <c r="AC23" s="45">
        <v>17</v>
      </c>
      <c r="AD23" s="45">
        <v>17</v>
      </c>
      <c r="AE23" s="45">
        <v>17</v>
      </c>
      <c r="AF23" s="45">
        <v>0</v>
      </c>
      <c r="AG23" s="51">
        <v>25</v>
      </c>
      <c r="AH23" s="48">
        <f t="shared" ref="AH23" si="6">MAX(B23:AF23)</f>
        <v>17.399999999999999</v>
      </c>
      <c r="AI23" s="49">
        <f t="shared" ref="AI23" si="7">MIN(B23:AF23)</f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13.6</v>
      </c>
      <c r="C24" s="45">
        <v>13.6</v>
      </c>
      <c r="D24" s="45">
        <v>13.6</v>
      </c>
      <c r="E24" s="45">
        <v>14.8</v>
      </c>
      <c r="F24" s="45">
        <v>14.8</v>
      </c>
      <c r="G24" s="45">
        <v>14.8</v>
      </c>
      <c r="H24" s="45">
        <v>14.8</v>
      </c>
      <c r="I24" s="45">
        <v>14.8</v>
      </c>
      <c r="J24" s="45">
        <v>14.8</v>
      </c>
      <c r="K24" s="45">
        <v>14.8</v>
      </c>
      <c r="L24" s="45">
        <v>14.8</v>
      </c>
      <c r="M24" s="45">
        <v>14.8</v>
      </c>
      <c r="N24" s="45">
        <v>14.8</v>
      </c>
      <c r="O24" s="45">
        <v>14.4</v>
      </c>
      <c r="P24" s="45">
        <v>14.4</v>
      </c>
      <c r="Q24" s="45">
        <v>14.4</v>
      </c>
      <c r="R24" s="45">
        <v>14.4</v>
      </c>
      <c r="S24" s="45">
        <v>14.4</v>
      </c>
      <c r="T24" s="45">
        <v>14.4</v>
      </c>
      <c r="U24" s="45">
        <v>14.4</v>
      </c>
      <c r="V24" s="45">
        <v>14.4</v>
      </c>
      <c r="W24" s="45">
        <v>14.4</v>
      </c>
      <c r="X24" s="45">
        <v>14.4</v>
      </c>
      <c r="Y24" s="45">
        <v>14.4</v>
      </c>
      <c r="Z24" s="45">
        <v>14.4</v>
      </c>
      <c r="AA24" s="45">
        <v>14.4</v>
      </c>
      <c r="AB24" s="45">
        <v>14.4</v>
      </c>
      <c r="AC24" s="45">
        <v>14.4</v>
      </c>
      <c r="AD24" s="45">
        <v>14.4</v>
      </c>
      <c r="AE24" s="45">
        <v>14.4</v>
      </c>
      <c r="AF24" s="45">
        <v>14.4</v>
      </c>
      <c r="AG24" s="51">
        <v>23.5</v>
      </c>
      <c r="AH24" s="48">
        <f t="shared" si="2"/>
        <v>14.8</v>
      </c>
      <c r="AI24" s="49">
        <f t="shared" si="3"/>
        <v>13.6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15</v>
      </c>
      <c r="C27" s="45">
        <v>15</v>
      </c>
      <c r="D27" s="45">
        <v>15</v>
      </c>
      <c r="E27" s="45">
        <v>15</v>
      </c>
      <c r="F27" s="45">
        <v>15</v>
      </c>
      <c r="G27" s="45">
        <v>15</v>
      </c>
      <c r="H27" s="45">
        <v>15</v>
      </c>
      <c r="I27" s="45">
        <v>15</v>
      </c>
      <c r="J27" s="45">
        <v>15</v>
      </c>
      <c r="K27" s="45">
        <v>15</v>
      </c>
      <c r="L27" s="45">
        <v>15</v>
      </c>
      <c r="M27" s="45">
        <v>15</v>
      </c>
      <c r="N27" s="45">
        <v>15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15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10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1">
        <v>22</v>
      </c>
      <c r="AH28" s="48">
        <f t="shared" si="2"/>
        <v>12</v>
      </c>
      <c r="AI28" s="49">
        <f t="shared" si="3"/>
        <v>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6.3</v>
      </c>
      <c r="C31" s="45">
        <v>6.3</v>
      </c>
      <c r="D31" s="45">
        <v>6.3</v>
      </c>
      <c r="E31" s="45">
        <v>6.3</v>
      </c>
      <c r="F31" s="45">
        <v>6.3</v>
      </c>
      <c r="G31" s="45">
        <v>6.3</v>
      </c>
      <c r="H31" s="45">
        <v>6.3</v>
      </c>
      <c r="I31" s="45">
        <v>6.3</v>
      </c>
      <c r="J31" s="45">
        <v>6.3</v>
      </c>
      <c r="K31" s="45">
        <v>6.3</v>
      </c>
      <c r="L31" s="45">
        <v>6.3</v>
      </c>
      <c r="M31" s="45">
        <v>6.3</v>
      </c>
      <c r="N31" s="45">
        <v>6.3</v>
      </c>
      <c r="O31" s="45">
        <v>6.3</v>
      </c>
      <c r="P31" s="45">
        <v>6.3</v>
      </c>
      <c r="Q31" s="45">
        <v>6.3</v>
      </c>
      <c r="R31" s="45">
        <v>6.3</v>
      </c>
      <c r="S31" s="45">
        <v>6.3</v>
      </c>
      <c r="T31" s="45">
        <v>6.3</v>
      </c>
      <c r="U31" s="45">
        <v>6.3</v>
      </c>
      <c r="V31" s="45">
        <v>6.3</v>
      </c>
      <c r="W31" s="45">
        <v>6.3</v>
      </c>
      <c r="X31" s="45">
        <v>6.3</v>
      </c>
      <c r="Y31" s="45">
        <v>6.3</v>
      </c>
      <c r="Z31" s="45">
        <v>6.3</v>
      </c>
      <c r="AA31" s="45">
        <v>6.3</v>
      </c>
      <c r="AB31" s="45">
        <v>6.3</v>
      </c>
      <c r="AC31" s="45">
        <v>6.3</v>
      </c>
      <c r="AD31" s="45">
        <v>6.3</v>
      </c>
      <c r="AE31" s="45">
        <v>6.3</v>
      </c>
      <c r="AF31" s="45">
        <v>6.3</v>
      </c>
      <c r="AG31" s="51">
        <v>13.6</v>
      </c>
      <c r="AH31" s="48">
        <f t="shared" si="2"/>
        <v>6.3</v>
      </c>
      <c r="AI31" s="49">
        <f t="shared" si="3"/>
        <v>6.3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3.5</v>
      </c>
      <c r="C32" s="45">
        <v>3.5</v>
      </c>
      <c r="D32" s="45">
        <v>3.5</v>
      </c>
      <c r="E32" s="45">
        <v>3.5</v>
      </c>
      <c r="F32" s="45">
        <v>3.5</v>
      </c>
      <c r="G32" s="45">
        <v>3.5</v>
      </c>
      <c r="H32" s="45">
        <v>3.5</v>
      </c>
      <c r="I32" s="45">
        <v>3.5</v>
      </c>
      <c r="J32" s="45">
        <v>3.5</v>
      </c>
      <c r="K32" s="45">
        <v>3.5</v>
      </c>
      <c r="L32" s="45">
        <v>3.5</v>
      </c>
      <c r="M32" s="45">
        <v>3.5</v>
      </c>
      <c r="N32" s="45">
        <v>3.5</v>
      </c>
      <c r="O32" s="45">
        <v>3.5</v>
      </c>
      <c r="P32" s="45">
        <v>3.5</v>
      </c>
      <c r="Q32" s="45">
        <v>3.5</v>
      </c>
      <c r="R32" s="45">
        <v>3.5</v>
      </c>
      <c r="S32" s="45">
        <v>3.5</v>
      </c>
      <c r="T32" s="45">
        <v>3.5</v>
      </c>
      <c r="U32" s="45">
        <v>3.5</v>
      </c>
      <c r="V32" s="45">
        <v>3.5</v>
      </c>
      <c r="W32" s="45">
        <v>3.5</v>
      </c>
      <c r="X32" s="45">
        <v>3.5</v>
      </c>
      <c r="Y32" s="45">
        <v>3.5</v>
      </c>
      <c r="Z32" s="45">
        <v>3.5</v>
      </c>
      <c r="AA32" s="45">
        <v>3.5</v>
      </c>
      <c r="AB32" s="45">
        <v>3.5</v>
      </c>
      <c r="AC32" s="45">
        <v>3.5</v>
      </c>
      <c r="AD32" s="45">
        <v>3.5</v>
      </c>
      <c r="AE32" s="45">
        <v>3.5</v>
      </c>
      <c r="AF32" s="45">
        <v>3.5</v>
      </c>
      <c r="AG32" s="51">
        <v>13</v>
      </c>
      <c r="AH32" s="48">
        <f t="shared" si="2"/>
        <v>3.5</v>
      </c>
      <c r="AI32" s="49">
        <f t="shared" si="3"/>
        <v>3.5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5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0</v>
      </c>
      <c r="AG33" s="51">
        <v>12</v>
      </c>
      <c r="AH33" s="48">
        <f t="shared" si="2"/>
        <v>8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5">
        <v>0</v>
      </c>
      <c r="U34" s="45">
        <v>0</v>
      </c>
      <c r="V34" s="45">
        <v>0</v>
      </c>
      <c r="W34" s="45">
        <v>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51">
        <v>12</v>
      </c>
      <c r="AH34" s="48">
        <f t="shared" si="2"/>
        <v>0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3</v>
      </c>
      <c r="C35" s="45">
        <v>3</v>
      </c>
      <c r="D35" s="45">
        <v>3</v>
      </c>
      <c r="E35" s="45">
        <v>3</v>
      </c>
      <c r="F35" s="45">
        <v>3</v>
      </c>
      <c r="G35" s="45">
        <v>3</v>
      </c>
      <c r="H35" s="45">
        <v>3</v>
      </c>
      <c r="I35" s="45">
        <v>3</v>
      </c>
      <c r="J35" s="45">
        <v>3</v>
      </c>
      <c r="K35" s="45">
        <v>3</v>
      </c>
      <c r="L35" s="45">
        <v>3</v>
      </c>
      <c r="M35" s="45">
        <v>3</v>
      </c>
      <c r="N35" s="45">
        <v>3</v>
      </c>
      <c r="O35" s="45">
        <v>3</v>
      </c>
      <c r="P35" s="45">
        <v>3</v>
      </c>
      <c r="Q35" s="45">
        <v>3</v>
      </c>
      <c r="R35" s="45">
        <v>3</v>
      </c>
      <c r="S35" s="45">
        <v>3</v>
      </c>
      <c r="T35" s="45">
        <v>3</v>
      </c>
      <c r="U35" s="45">
        <v>3</v>
      </c>
      <c r="V35" s="45">
        <v>5</v>
      </c>
      <c r="W35" s="45">
        <v>5</v>
      </c>
      <c r="X35" s="45">
        <v>5</v>
      </c>
      <c r="Y35" s="45">
        <v>5</v>
      </c>
      <c r="Z35" s="45">
        <v>5</v>
      </c>
      <c r="AA35" s="45">
        <v>5</v>
      </c>
      <c r="AB35" s="45">
        <v>5</v>
      </c>
      <c r="AC35" s="45">
        <v>5</v>
      </c>
      <c r="AD35" s="45">
        <v>5</v>
      </c>
      <c r="AE35" s="45">
        <v>5</v>
      </c>
      <c r="AF35" s="45">
        <v>5</v>
      </c>
      <c r="AG35" s="51">
        <v>12</v>
      </c>
      <c r="AH35" s="48">
        <f t="shared" si="2"/>
        <v>5</v>
      </c>
      <c r="AI35" s="49">
        <f t="shared" si="3"/>
        <v>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55">
        <v>10</v>
      </c>
      <c r="AH39" s="48">
        <f t="shared" si="2"/>
        <v>6</v>
      </c>
      <c r="AI39" s="49">
        <f t="shared" si="3"/>
        <v>6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250</v>
      </c>
      <c r="C41" s="57">
        <v>250</v>
      </c>
      <c r="D41" s="57">
        <v>250</v>
      </c>
      <c r="E41" s="57">
        <v>250</v>
      </c>
      <c r="F41" s="57">
        <v>250</v>
      </c>
      <c r="G41" s="57">
        <v>250</v>
      </c>
      <c r="H41" s="57">
        <v>250</v>
      </c>
      <c r="I41" s="57">
        <v>250</v>
      </c>
      <c r="J41" s="57">
        <v>250</v>
      </c>
      <c r="K41" s="57">
        <v>250</v>
      </c>
      <c r="L41" s="57">
        <v>250</v>
      </c>
      <c r="M41" s="57">
        <v>250</v>
      </c>
      <c r="N41" s="57">
        <v>250</v>
      </c>
      <c r="O41" s="57">
        <v>250</v>
      </c>
      <c r="P41" s="57">
        <v>250</v>
      </c>
      <c r="Q41" s="57">
        <v>250</v>
      </c>
      <c r="R41" s="57">
        <v>250</v>
      </c>
      <c r="S41" s="57">
        <v>250</v>
      </c>
      <c r="T41" s="57">
        <v>250</v>
      </c>
      <c r="U41" s="57">
        <v>250</v>
      </c>
      <c r="V41" s="57">
        <v>250</v>
      </c>
      <c r="W41" s="57">
        <v>250</v>
      </c>
      <c r="X41" s="57">
        <v>250</v>
      </c>
      <c r="Y41" s="57">
        <v>250</v>
      </c>
      <c r="Z41" s="57">
        <v>250</v>
      </c>
      <c r="AA41" s="57">
        <v>250</v>
      </c>
      <c r="AB41" s="57">
        <v>250</v>
      </c>
      <c r="AC41" s="57">
        <v>250</v>
      </c>
      <c r="AD41" s="57">
        <v>250</v>
      </c>
      <c r="AE41" s="57">
        <v>250</v>
      </c>
      <c r="AF41" s="57">
        <v>250</v>
      </c>
      <c r="AG41" s="55">
        <v>85</v>
      </c>
      <c r="AH41" s="48">
        <f t="shared" si="2"/>
        <v>250</v>
      </c>
      <c r="AI41" s="49">
        <f t="shared" si="3"/>
        <v>250</v>
      </c>
      <c r="AK41" s="50"/>
    </row>
    <row r="42" spans="1:88" ht="15.75" thickBot="1" x14ac:dyDescent="0.3">
      <c r="A42" s="58" t="s">
        <v>47</v>
      </c>
      <c r="B42" s="59">
        <f>50.5+40.5</f>
        <v>91</v>
      </c>
      <c r="C42" s="59">
        <v>91.4</v>
      </c>
      <c r="D42" s="59">
        <f>52+41</f>
        <v>93</v>
      </c>
      <c r="E42" s="59">
        <v>93.4</v>
      </c>
      <c r="F42" s="59">
        <v>93.4</v>
      </c>
      <c r="G42" s="59">
        <v>92</v>
      </c>
      <c r="H42" s="59">
        <v>93.4</v>
      </c>
      <c r="I42" s="59">
        <v>93.4</v>
      </c>
      <c r="J42" s="59">
        <v>92.5</v>
      </c>
      <c r="K42" s="59">
        <v>90.8</v>
      </c>
      <c r="L42" s="59">
        <v>88</v>
      </c>
      <c r="M42" s="57">
        <v>89.2</v>
      </c>
      <c r="N42" s="57">
        <v>89.2</v>
      </c>
      <c r="O42" s="57">
        <f>40.2+52.4</f>
        <v>92.6</v>
      </c>
      <c r="P42" s="57">
        <f>36.6+51.5</f>
        <v>88.1</v>
      </c>
      <c r="Q42" s="57">
        <v>91.6</v>
      </c>
      <c r="R42" s="57">
        <f>40.5+52.1</f>
        <v>92.6</v>
      </c>
      <c r="S42" s="57">
        <f t="shared" ref="S42:T42" si="8">40.5+52.1</f>
        <v>92.6</v>
      </c>
      <c r="T42" s="57">
        <f t="shared" si="8"/>
        <v>92.6</v>
      </c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5">
        <v>240</v>
      </c>
      <c r="AH42" s="48">
        <f t="shared" si="2"/>
        <v>93.4</v>
      </c>
      <c r="AI42" s="49">
        <f t="shared" si="3"/>
        <v>88</v>
      </c>
      <c r="AK42" s="50"/>
    </row>
    <row r="43" spans="1:88" ht="15.75" thickBot="1" x14ac:dyDescent="0.3">
      <c r="A43" s="60" t="s">
        <v>48</v>
      </c>
      <c r="B43" s="61">
        <f t="shared" ref="B43:AG43" si="9">SUM(B11:B41)</f>
        <v>575</v>
      </c>
      <c r="C43" s="61">
        <f t="shared" si="9"/>
        <v>575</v>
      </c>
      <c r="D43" s="61">
        <f t="shared" si="9"/>
        <v>575</v>
      </c>
      <c r="E43" s="61">
        <f t="shared" si="9"/>
        <v>580.40000000000009</v>
      </c>
      <c r="F43" s="61">
        <f t="shared" si="9"/>
        <v>580.40000000000009</v>
      </c>
      <c r="G43" s="61">
        <f t="shared" si="9"/>
        <v>625.40000000000009</v>
      </c>
      <c r="H43" s="61">
        <f t="shared" si="9"/>
        <v>656</v>
      </c>
      <c r="I43" s="61">
        <f t="shared" si="9"/>
        <v>674.90000000000009</v>
      </c>
      <c r="J43" s="61">
        <f t="shared" si="9"/>
        <v>673.5</v>
      </c>
      <c r="K43" s="61">
        <f t="shared" si="9"/>
        <v>673.2</v>
      </c>
      <c r="L43" s="61">
        <f t="shared" si="9"/>
        <v>673.2</v>
      </c>
      <c r="M43" s="61">
        <f t="shared" si="9"/>
        <v>668.80000000000007</v>
      </c>
      <c r="N43" s="61">
        <f t="shared" si="9"/>
        <v>659.30000000000007</v>
      </c>
      <c r="O43" s="61">
        <f t="shared" si="9"/>
        <v>648.40000000000009</v>
      </c>
      <c r="P43" s="61">
        <f t="shared" si="9"/>
        <v>648.40000000000009</v>
      </c>
      <c r="Q43" s="61">
        <f t="shared" si="9"/>
        <v>646.40000000000009</v>
      </c>
      <c r="R43" s="61">
        <f t="shared" si="9"/>
        <v>646.5</v>
      </c>
      <c r="S43" s="61">
        <f t="shared" si="9"/>
        <v>646.5</v>
      </c>
      <c r="T43" s="61">
        <f t="shared" si="9"/>
        <v>646.5</v>
      </c>
      <c r="U43" s="61">
        <f t="shared" si="9"/>
        <v>646.5</v>
      </c>
      <c r="V43" s="61">
        <f t="shared" si="9"/>
        <v>648.5</v>
      </c>
      <c r="W43" s="61">
        <f t="shared" si="9"/>
        <v>648.5</v>
      </c>
      <c r="X43" s="61">
        <f t="shared" si="9"/>
        <v>653.60000000000014</v>
      </c>
      <c r="Y43" s="61">
        <f t="shared" si="9"/>
        <v>653.60000000000014</v>
      </c>
      <c r="Z43" s="61">
        <f t="shared" si="9"/>
        <v>652.40000000000009</v>
      </c>
      <c r="AA43" s="61">
        <f t="shared" si="9"/>
        <v>652.40000000000009</v>
      </c>
      <c r="AB43" s="61">
        <f t="shared" si="9"/>
        <v>653.6</v>
      </c>
      <c r="AC43" s="61">
        <f t="shared" si="9"/>
        <v>653.6</v>
      </c>
      <c r="AD43" s="61">
        <f t="shared" si="9"/>
        <v>653.6</v>
      </c>
      <c r="AE43" s="61">
        <f t="shared" si="9"/>
        <v>645.70000000000005</v>
      </c>
      <c r="AF43" s="61">
        <f t="shared" si="9"/>
        <v>608.70000000000005</v>
      </c>
      <c r="AG43" s="62">
        <f t="shared" si="9"/>
        <v>796.78000000000009</v>
      </c>
      <c r="AH43" s="48">
        <f t="shared" si="2"/>
        <v>674.90000000000009</v>
      </c>
      <c r="AI43" s="49">
        <f t="shared" si="3"/>
        <v>575</v>
      </c>
      <c r="AK43" s="50"/>
    </row>
    <row r="44" spans="1:88" x14ac:dyDescent="0.25">
      <c r="A44" s="63" t="s">
        <v>49</v>
      </c>
      <c r="B44" s="45">
        <v>120</v>
      </c>
      <c r="C44" s="45">
        <v>45</v>
      </c>
      <c r="D44" s="45">
        <v>25</v>
      </c>
      <c r="E44" s="45">
        <v>15</v>
      </c>
      <c r="F44" s="45">
        <v>25</v>
      </c>
      <c r="G44" s="45">
        <v>55</v>
      </c>
      <c r="H44" s="45">
        <v>65</v>
      </c>
      <c r="I44" s="45">
        <v>75</v>
      </c>
      <c r="J44" s="45">
        <v>120</v>
      </c>
      <c r="K44" s="45">
        <v>380</v>
      </c>
      <c r="L44" s="45">
        <v>380</v>
      </c>
      <c r="M44" s="45">
        <v>456</v>
      </c>
      <c r="N44" s="45">
        <v>360</v>
      </c>
      <c r="O44" s="45">
        <v>250</v>
      </c>
      <c r="P44" s="45">
        <v>250</v>
      </c>
      <c r="Q44" s="45">
        <v>200</v>
      </c>
      <c r="R44" s="45">
        <v>190</v>
      </c>
      <c r="S44" s="45">
        <v>100</v>
      </c>
      <c r="T44" s="45">
        <v>90</v>
      </c>
      <c r="U44" s="45">
        <v>150</v>
      </c>
      <c r="V44" s="45">
        <v>180</v>
      </c>
      <c r="W44" s="45">
        <v>350</v>
      </c>
      <c r="X44" s="45">
        <v>456</v>
      </c>
      <c r="Y44" s="45">
        <v>456</v>
      </c>
      <c r="Z44" s="45">
        <v>220</v>
      </c>
      <c r="AA44" s="45">
        <v>200</v>
      </c>
      <c r="AB44" s="45">
        <v>200</v>
      </c>
      <c r="AC44" s="45">
        <v>170</v>
      </c>
      <c r="AD44" s="45">
        <v>170</v>
      </c>
      <c r="AE44" s="45">
        <v>100</v>
      </c>
      <c r="AF44" s="45">
        <v>130</v>
      </c>
      <c r="AG44" s="52">
        <v>456</v>
      </c>
      <c r="AH44" s="48">
        <f t="shared" si="2"/>
        <v>456</v>
      </c>
      <c r="AI44" s="49">
        <f t="shared" si="3"/>
        <v>15</v>
      </c>
      <c r="AK44" s="50"/>
    </row>
    <row r="45" spans="1:88" x14ac:dyDescent="0.25">
      <c r="A45" s="64" t="s">
        <v>50</v>
      </c>
      <c r="B45" s="65">
        <v>60</v>
      </c>
      <c r="C45" s="65">
        <v>60</v>
      </c>
      <c r="D45" s="65">
        <v>60</v>
      </c>
      <c r="E45" s="65">
        <v>58</v>
      </c>
      <c r="F45" s="65">
        <v>58</v>
      </c>
      <c r="G45" s="65">
        <v>58</v>
      </c>
      <c r="H45" s="65">
        <v>58</v>
      </c>
      <c r="I45" s="65">
        <v>58.8</v>
      </c>
      <c r="J45" s="65">
        <v>58.8</v>
      </c>
      <c r="K45" s="65">
        <v>58.8</v>
      </c>
      <c r="L45" s="65">
        <v>58.8</v>
      </c>
      <c r="M45" s="65">
        <v>60</v>
      </c>
      <c r="N45" s="65">
        <v>60</v>
      </c>
      <c r="O45" s="65">
        <v>58</v>
      </c>
      <c r="P45" s="65">
        <v>58</v>
      </c>
      <c r="Q45" s="65">
        <v>58</v>
      </c>
      <c r="R45" s="65">
        <v>58</v>
      </c>
      <c r="S45" s="65">
        <v>58</v>
      </c>
      <c r="T45" s="65">
        <v>58</v>
      </c>
      <c r="U45" s="65">
        <v>58</v>
      </c>
      <c r="V45" s="65">
        <v>58</v>
      </c>
      <c r="W45" s="65">
        <v>58</v>
      </c>
      <c r="X45" s="65">
        <v>58</v>
      </c>
      <c r="Y45" s="65">
        <v>58</v>
      </c>
      <c r="Z45" s="65">
        <v>58</v>
      </c>
      <c r="AA45" s="65">
        <v>58</v>
      </c>
      <c r="AB45" s="65">
        <v>58</v>
      </c>
      <c r="AC45" s="65">
        <v>58</v>
      </c>
      <c r="AD45" s="65">
        <v>58</v>
      </c>
      <c r="AE45" s="65">
        <v>58</v>
      </c>
      <c r="AF45" s="65">
        <v>58</v>
      </c>
      <c r="AG45" s="55">
        <v>60</v>
      </c>
      <c r="AH45" s="48">
        <f t="shared" si="2"/>
        <v>60</v>
      </c>
      <c r="AI45" s="49">
        <f t="shared" si="3"/>
        <v>58</v>
      </c>
      <c r="AK45" s="50"/>
    </row>
    <row r="46" spans="1:88" ht="15.75" thickBot="1" x14ac:dyDescent="0.3">
      <c r="A46" s="66" t="s">
        <v>51</v>
      </c>
      <c r="B46" s="67">
        <v>21.1</v>
      </c>
      <c r="C46" s="67">
        <v>21</v>
      </c>
      <c r="D46" s="67">
        <v>21</v>
      </c>
      <c r="E46" s="67">
        <v>21.1</v>
      </c>
      <c r="F46" s="67">
        <v>21</v>
      </c>
      <c r="G46" s="67">
        <v>21</v>
      </c>
      <c r="H46" s="67">
        <v>21</v>
      </c>
      <c r="I46" s="67">
        <v>21</v>
      </c>
      <c r="J46" s="67">
        <v>21</v>
      </c>
      <c r="K46" s="67">
        <v>21</v>
      </c>
      <c r="L46" s="67">
        <v>21.1</v>
      </c>
      <c r="M46" s="67">
        <v>21.1</v>
      </c>
      <c r="N46" s="67">
        <v>21.1</v>
      </c>
      <c r="O46" s="67">
        <v>21</v>
      </c>
      <c r="P46" s="67">
        <v>21</v>
      </c>
      <c r="Q46" s="67">
        <v>21</v>
      </c>
      <c r="R46" s="67">
        <v>21</v>
      </c>
      <c r="S46" s="67">
        <v>21</v>
      </c>
      <c r="T46" s="67">
        <v>19</v>
      </c>
      <c r="U46" s="67">
        <v>19</v>
      </c>
      <c r="V46" s="67">
        <v>19</v>
      </c>
      <c r="W46" s="67">
        <v>19</v>
      </c>
      <c r="X46" s="67">
        <v>19</v>
      </c>
      <c r="Y46" s="67">
        <v>19</v>
      </c>
      <c r="Z46" s="67">
        <v>20</v>
      </c>
      <c r="AA46" s="67">
        <v>20</v>
      </c>
      <c r="AB46" s="67">
        <v>20</v>
      </c>
      <c r="AC46" s="67">
        <v>20</v>
      </c>
      <c r="AD46" s="67">
        <v>20</v>
      </c>
      <c r="AE46" s="67">
        <v>20</v>
      </c>
      <c r="AF46" s="67">
        <v>20</v>
      </c>
      <c r="AG46" s="68">
        <v>22.1</v>
      </c>
      <c r="AH46" s="48">
        <f t="shared" si="2"/>
        <v>21.1</v>
      </c>
      <c r="AI46" s="49">
        <f t="shared" si="3"/>
        <v>19</v>
      </c>
      <c r="AK46" s="50"/>
    </row>
    <row r="47" spans="1:88" ht="15.75" thickBot="1" x14ac:dyDescent="0.3">
      <c r="A47" s="69" t="s">
        <v>52</v>
      </c>
      <c r="B47" s="61">
        <f>SUM(B44:B46)</f>
        <v>201.1</v>
      </c>
      <c r="C47" s="61">
        <f t="shared" ref="C47:AG47" si="10">SUM(C44:C46)</f>
        <v>126</v>
      </c>
      <c r="D47" s="61">
        <f t="shared" si="10"/>
        <v>106</v>
      </c>
      <c r="E47" s="61">
        <f t="shared" si="10"/>
        <v>94.1</v>
      </c>
      <c r="F47" s="61">
        <f t="shared" si="10"/>
        <v>104</v>
      </c>
      <c r="G47" s="61">
        <f t="shared" si="10"/>
        <v>134</v>
      </c>
      <c r="H47" s="61">
        <f t="shared" si="10"/>
        <v>144</v>
      </c>
      <c r="I47" s="61">
        <f t="shared" si="10"/>
        <v>154.80000000000001</v>
      </c>
      <c r="J47" s="61">
        <f t="shared" si="10"/>
        <v>199.8</v>
      </c>
      <c r="K47" s="61">
        <f t="shared" si="10"/>
        <v>459.8</v>
      </c>
      <c r="L47" s="61">
        <f t="shared" si="10"/>
        <v>459.90000000000003</v>
      </c>
      <c r="M47" s="61">
        <f t="shared" si="10"/>
        <v>537.1</v>
      </c>
      <c r="N47" s="61">
        <f t="shared" si="10"/>
        <v>441.1</v>
      </c>
      <c r="O47" s="61">
        <f t="shared" si="10"/>
        <v>329</v>
      </c>
      <c r="P47" s="61">
        <f t="shared" si="10"/>
        <v>329</v>
      </c>
      <c r="Q47" s="61">
        <f t="shared" si="10"/>
        <v>279</v>
      </c>
      <c r="R47" s="61">
        <f t="shared" si="10"/>
        <v>269</v>
      </c>
      <c r="S47" s="61">
        <f t="shared" si="10"/>
        <v>179</v>
      </c>
      <c r="T47" s="61">
        <f t="shared" si="10"/>
        <v>167</v>
      </c>
      <c r="U47" s="61">
        <f t="shared" si="10"/>
        <v>227</v>
      </c>
      <c r="V47" s="61">
        <f t="shared" si="10"/>
        <v>257</v>
      </c>
      <c r="W47" s="61">
        <f t="shared" si="10"/>
        <v>427</v>
      </c>
      <c r="X47" s="61">
        <f t="shared" si="10"/>
        <v>533</v>
      </c>
      <c r="Y47" s="61">
        <f t="shared" si="10"/>
        <v>533</v>
      </c>
      <c r="Z47" s="61">
        <f t="shared" si="10"/>
        <v>298</v>
      </c>
      <c r="AA47" s="61">
        <f t="shared" si="10"/>
        <v>278</v>
      </c>
      <c r="AB47" s="61">
        <f t="shared" si="10"/>
        <v>278</v>
      </c>
      <c r="AC47" s="61">
        <f t="shared" si="10"/>
        <v>248</v>
      </c>
      <c r="AD47" s="61">
        <f t="shared" si="10"/>
        <v>248</v>
      </c>
      <c r="AE47" s="61">
        <f t="shared" si="10"/>
        <v>178</v>
      </c>
      <c r="AF47" s="61">
        <f t="shared" si="10"/>
        <v>208</v>
      </c>
      <c r="AG47" s="62">
        <f t="shared" si="10"/>
        <v>538.1</v>
      </c>
      <c r="AH47" s="48">
        <f t="shared" si="2"/>
        <v>537.1</v>
      </c>
      <c r="AI47" s="49">
        <f t="shared" si="3"/>
        <v>94.1</v>
      </c>
      <c r="AK47" s="50"/>
    </row>
    <row r="48" spans="1:88" x14ac:dyDescent="0.25">
      <c r="A48" s="44" t="s">
        <v>53</v>
      </c>
      <c r="B48" s="45">
        <v>120</v>
      </c>
      <c r="C48" s="45">
        <v>110</v>
      </c>
      <c r="D48" s="45">
        <v>103.1</v>
      </c>
      <c r="E48" s="45">
        <v>91.4</v>
      </c>
      <c r="F48" s="45">
        <v>101.7</v>
      </c>
      <c r="G48" s="45">
        <v>111.5</v>
      </c>
      <c r="H48" s="45">
        <v>111.5</v>
      </c>
      <c r="I48" s="45">
        <v>141.9</v>
      </c>
      <c r="J48" s="45">
        <v>143.4</v>
      </c>
      <c r="K48" s="45">
        <v>143.6</v>
      </c>
      <c r="L48" s="45">
        <v>143.5</v>
      </c>
      <c r="M48" s="45">
        <v>143.5</v>
      </c>
      <c r="N48" s="45">
        <v>143.5</v>
      </c>
      <c r="O48" s="45">
        <v>143.5</v>
      </c>
      <c r="P48" s="45">
        <v>143.5</v>
      </c>
      <c r="Q48" s="45">
        <v>143.5</v>
      </c>
      <c r="R48" s="45">
        <v>143.5</v>
      </c>
      <c r="S48" s="45">
        <v>143.5</v>
      </c>
      <c r="T48" s="45">
        <v>143.5</v>
      </c>
      <c r="U48" s="45">
        <v>143.5</v>
      </c>
      <c r="V48" s="45">
        <v>143.5</v>
      </c>
      <c r="W48" s="45">
        <v>143.5</v>
      </c>
      <c r="X48" s="45">
        <v>143.5</v>
      </c>
      <c r="Y48" s="45">
        <v>143.5</v>
      </c>
      <c r="Z48" s="45">
        <v>143.5</v>
      </c>
      <c r="AA48" s="45">
        <v>143.5</v>
      </c>
      <c r="AB48" s="45">
        <v>143.5</v>
      </c>
      <c r="AC48" s="45">
        <v>141.5</v>
      </c>
      <c r="AD48" s="45">
        <v>141.5</v>
      </c>
      <c r="AE48" s="45">
        <v>101</v>
      </c>
      <c r="AF48" s="45">
        <v>101</v>
      </c>
      <c r="AG48" s="52">
        <v>144</v>
      </c>
      <c r="AH48" s="48">
        <f t="shared" si="2"/>
        <v>143.6</v>
      </c>
      <c r="AI48" s="49">
        <f t="shared" si="3"/>
        <v>91.4</v>
      </c>
      <c r="AK48" s="50"/>
    </row>
    <row r="49" spans="1:41" x14ac:dyDescent="0.25">
      <c r="A49" s="54" t="s">
        <v>54</v>
      </c>
      <c r="B49" s="65">
        <v>35</v>
      </c>
      <c r="C49" s="65">
        <v>35</v>
      </c>
      <c r="D49" s="65">
        <v>34.700000000000003</v>
      </c>
      <c r="E49" s="65">
        <v>52.2</v>
      </c>
      <c r="F49" s="65">
        <v>60.1</v>
      </c>
      <c r="G49" s="65">
        <v>60</v>
      </c>
      <c r="H49" s="65">
        <v>60.4</v>
      </c>
      <c r="I49" s="65">
        <v>71</v>
      </c>
      <c r="J49" s="65">
        <v>71.5</v>
      </c>
      <c r="K49" s="65">
        <v>73.099999999999994</v>
      </c>
      <c r="L49" s="65">
        <v>71.099999999999994</v>
      </c>
      <c r="M49" s="65">
        <v>71.099999999999994</v>
      </c>
      <c r="N49" s="65">
        <v>71.099999999999994</v>
      </c>
      <c r="O49" s="65">
        <v>71.099999999999994</v>
      </c>
      <c r="P49" s="65">
        <v>71.099999999999994</v>
      </c>
      <c r="Q49" s="65">
        <v>71.099999999999994</v>
      </c>
      <c r="R49" s="65">
        <v>71.099999999999994</v>
      </c>
      <c r="S49" s="65">
        <v>71.099999999999994</v>
      </c>
      <c r="T49" s="65">
        <v>71.099999999999994</v>
      </c>
      <c r="U49" s="65">
        <v>71.099999999999994</v>
      </c>
      <c r="V49" s="65">
        <v>71.099999999999994</v>
      </c>
      <c r="W49" s="65">
        <v>71.099999999999994</v>
      </c>
      <c r="X49" s="65">
        <v>71.099999999999994</v>
      </c>
      <c r="Y49" s="65">
        <v>71.099999999999994</v>
      </c>
      <c r="Z49" s="65">
        <v>71.099999999999994</v>
      </c>
      <c r="AA49" s="65">
        <v>71.099999999999994</v>
      </c>
      <c r="AB49" s="65">
        <v>71.099999999999994</v>
      </c>
      <c r="AC49" s="65">
        <v>71.099999999999994</v>
      </c>
      <c r="AD49" s="65">
        <v>71.099999999999994</v>
      </c>
      <c r="AE49" s="65">
        <v>34.4</v>
      </c>
      <c r="AF49" s="65">
        <v>34.4</v>
      </c>
      <c r="AG49" s="55">
        <v>70</v>
      </c>
      <c r="AH49" s="48">
        <f t="shared" si="2"/>
        <v>73.099999999999994</v>
      </c>
      <c r="AI49" s="49">
        <f t="shared" si="3"/>
        <v>34.4</v>
      </c>
      <c r="AK49" s="50"/>
    </row>
    <row r="50" spans="1:41" x14ac:dyDescent="0.25">
      <c r="A50" s="54" t="s">
        <v>55</v>
      </c>
      <c r="B50" s="65">
        <v>70.599999999999994</v>
      </c>
      <c r="C50" s="65">
        <v>70</v>
      </c>
      <c r="D50" s="65">
        <v>70.599999999999994</v>
      </c>
      <c r="E50" s="65">
        <v>70</v>
      </c>
      <c r="F50" s="65">
        <v>70.900000000000006</v>
      </c>
      <c r="G50" s="65">
        <v>33.200000000000003</v>
      </c>
      <c r="H50" s="65">
        <v>33.6</v>
      </c>
      <c r="I50" s="65">
        <v>33.700000000000003</v>
      </c>
      <c r="J50" s="65">
        <v>69</v>
      </c>
      <c r="K50" s="65">
        <v>69.2</v>
      </c>
      <c r="L50" s="65">
        <v>69.8</v>
      </c>
      <c r="M50" s="65">
        <v>69.8</v>
      </c>
      <c r="N50" s="65">
        <v>69.8</v>
      </c>
      <c r="O50" s="65">
        <v>69.8</v>
      </c>
      <c r="P50" s="65">
        <v>69.8</v>
      </c>
      <c r="Q50" s="65">
        <v>69.8</v>
      </c>
      <c r="R50" s="65">
        <v>69.8</v>
      </c>
      <c r="S50" s="65">
        <v>69.8</v>
      </c>
      <c r="T50" s="65">
        <v>69.8</v>
      </c>
      <c r="U50" s="65">
        <v>69.8</v>
      </c>
      <c r="V50" s="65">
        <v>69.8</v>
      </c>
      <c r="W50" s="65">
        <v>69.8</v>
      </c>
      <c r="X50" s="65">
        <v>69.8</v>
      </c>
      <c r="Y50" s="65">
        <v>69.8</v>
      </c>
      <c r="Z50" s="65">
        <v>69.8</v>
      </c>
      <c r="AA50" s="65">
        <v>69.8</v>
      </c>
      <c r="AB50" s="65">
        <v>69.8</v>
      </c>
      <c r="AC50" s="65">
        <v>69.8</v>
      </c>
      <c r="AD50" s="65">
        <v>69.8</v>
      </c>
      <c r="AE50" s="65">
        <v>70</v>
      </c>
      <c r="AF50" s="65">
        <v>70</v>
      </c>
      <c r="AG50" s="55">
        <v>69</v>
      </c>
      <c r="AH50" s="48">
        <f t="shared" si="2"/>
        <v>70.900000000000006</v>
      </c>
      <c r="AI50" s="49">
        <f t="shared" si="3"/>
        <v>33.200000000000003</v>
      </c>
      <c r="AK50" s="50"/>
    </row>
    <row r="51" spans="1:41" x14ac:dyDescent="0.25">
      <c r="A51" s="54" t="s">
        <v>56</v>
      </c>
      <c r="B51" s="57">
        <v>61.5</v>
      </c>
      <c r="C51" s="57">
        <v>61.5</v>
      </c>
      <c r="D51" s="57">
        <v>61.5</v>
      </c>
      <c r="E51" s="57">
        <v>61.5</v>
      </c>
      <c r="F51" s="57">
        <v>61.5</v>
      </c>
      <c r="G51" s="57">
        <v>61.5</v>
      </c>
      <c r="H51" s="57">
        <v>61.5</v>
      </c>
      <c r="I51" s="57">
        <v>61.5</v>
      </c>
      <c r="J51" s="57">
        <v>61.5</v>
      </c>
      <c r="K51" s="57">
        <v>61.5</v>
      </c>
      <c r="L51" s="57">
        <v>61.5</v>
      </c>
      <c r="M51" s="65">
        <v>61.5</v>
      </c>
      <c r="N51" s="65">
        <v>61.5</v>
      </c>
      <c r="O51" s="65">
        <v>61.5</v>
      </c>
      <c r="P51" s="65">
        <v>61.5</v>
      </c>
      <c r="Q51" s="65">
        <v>61.5</v>
      </c>
      <c r="R51" s="65">
        <v>61.5</v>
      </c>
      <c r="S51" s="65">
        <v>61.5</v>
      </c>
      <c r="T51" s="65">
        <v>61.5</v>
      </c>
      <c r="U51" s="65">
        <v>61.5</v>
      </c>
      <c r="V51" s="65">
        <v>61.5</v>
      </c>
      <c r="W51" s="65">
        <v>61.5</v>
      </c>
      <c r="X51" s="65">
        <v>61.5</v>
      </c>
      <c r="Y51" s="65">
        <v>61.5</v>
      </c>
      <c r="Z51" s="65">
        <v>61.5</v>
      </c>
      <c r="AA51" s="65">
        <v>61.5</v>
      </c>
      <c r="AB51" s="65">
        <v>61.5</v>
      </c>
      <c r="AC51" s="65">
        <v>61.5</v>
      </c>
      <c r="AD51" s="65">
        <v>61.5</v>
      </c>
      <c r="AE51" s="65">
        <v>61.5</v>
      </c>
      <c r="AF51" s="65">
        <v>61.5</v>
      </c>
      <c r="AG51" s="55">
        <v>60</v>
      </c>
      <c r="AH51" s="48">
        <f t="shared" si="2"/>
        <v>61.5</v>
      </c>
      <c r="AI51" s="49">
        <f t="shared" si="3"/>
        <v>61.5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13.5</v>
      </c>
      <c r="J52" s="57">
        <v>15</v>
      </c>
      <c r="K52" s="57">
        <v>30</v>
      </c>
      <c r="L52" s="57">
        <v>30</v>
      </c>
      <c r="M52" s="65">
        <v>30</v>
      </c>
      <c r="N52" s="65">
        <v>30</v>
      </c>
      <c r="O52" s="65">
        <v>14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15</v>
      </c>
      <c r="X52" s="65">
        <v>30</v>
      </c>
      <c r="Y52" s="65">
        <v>30</v>
      </c>
      <c r="Z52" s="65">
        <v>30</v>
      </c>
      <c r="AA52" s="65">
        <v>30</v>
      </c>
      <c r="AB52" s="65">
        <v>30</v>
      </c>
      <c r="AC52" s="65">
        <v>30</v>
      </c>
      <c r="AD52" s="65">
        <v>0</v>
      </c>
      <c r="AE52" s="65">
        <v>0</v>
      </c>
      <c r="AF52" s="65">
        <v>0</v>
      </c>
      <c r="AG52" s="55">
        <v>30</v>
      </c>
      <c r="AH52" s="48">
        <f t="shared" si="2"/>
        <v>30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18</v>
      </c>
      <c r="T53" s="65">
        <v>18</v>
      </c>
      <c r="U53" s="65">
        <v>18</v>
      </c>
      <c r="V53" s="65">
        <v>18</v>
      </c>
      <c r="W53" s="6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55">
        <v>25</v>
      </c>
      <c r="AH53" s="48">
        <f t="shared" si="2"/>
        <v>18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17.5</v>
      </c>
      <c r="C54" s="65">
        <v>17.5</v>
      </c>
      <c r="D54" s="65">
        <v>17.5</v>
      </c>
      <c r="E54" s="65">
        <v>17.5</v>
      </c>
      <c r="F54" s="65">
        <v>17.5</v>
      </c>
      <c r="G54" s="65">
        <v>17.5</v>
      </c>
      <c r="H54" s="65">
        <v>17.5</v>
      </c>
      <c r="I54" s="65">
        <v>17.5</v>
      </c>
      <c r="J54" s="65">
        <v>17.5</v>
      </c>
      <c r="K54" s="65">
        <v>17.5</v>
      </c>
      <c r="L54" s="65">
        <v>17.5</v>
      </c>
      <c r="M54" s="65">
        <v>17.5</v>
      </c>
      <c r="N54" s="65">
        <v>17.5</v>
      </c>
      <c r="O54" s="65">
        <v>17.5</v>
      </c>
      <c r="P54" s="65">
        <v>17.5</v>
      </c>
      <c r="Q54" s="65">
        <v>17.5</v>
      </c>
      <c r="R54" s="65">
        <v>17.5</v>
      </c>
      <c r="S54" s="65">
        <v>17.5</v>
      </c>
      <c r="T54" s="65">
        <v>17.5</v>
      </c>
      <c r="U54" s="65">
        <v>17.5</v>
      </c>
      <c r="V54" s="65">
        <v>17.5</v>
      </c>
      <c r="W54" s="65">
        <v>17.5</v>
      </c>
      <c r="X54" s="45">
        <v>17.5</v>
      </c>
      <c r="Y54" s="45">
        <v>17.5</v>
      </c>
      <c r="Z54" s="45">
        <v>17.5</v>
      </c>
      <c r="AA54" s="45">
        <v>17.5</v>
      </c>
      <c r="AB54" s="45">
        <v>17.5</v>
      </c>
      <c r="AC54" s="45">
        <v>17.5</v>
      </c>
      <c r="AD54" s="45">
        <v>17.5</v>
      </c>
      <c r="AE54" s="45">
        <v>17.5</v>
      </c>
      <c r="AF54" s="45">
        <v>17.5</v>
      </c>
      <c r="AG54" s="55">
        <v>24</v>
      </c>
      <c r="AH54" s="48">
        <f t="shared" si="2"/>
        <v>17.5</v>
      </c>
      <c r="AI54" s="49">
        <f t="shared" si="3"/>
        <v>17.5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13.9</v>
      </c>
      <c r="C56" s="65">
        <v>13.9</v>
      </c>
      <c r="D56" s="65">
        <v>13.9</v>
      </c>
      <c r="E56" s="65">
        <v>13.9</v>
      </c>
      <c r="F56" s="65">
        <v>13.9</v>
      </c>
      <c r="G56" s="65">
        <v>13.9</v>
      </c>
      <c r="H56" s="65">
        <v>13.9</v>
      </c>
      <c r="I56" s="65">
        <v>13.9</v>
      </c>
      <c r="J56" s="65">
        <v>13.9</v>
      </c>
      <c r="K56" s="65">
        <v>13.9</v>
      </c>
      <c r="L56" s="65">
        <v>13.9</v>
      </c>
      <c r="M56" s="65">
        <v>13.9</v>
      </c>
      <c r="N56" s="65">
        <v>13.9</v>
      </c>
      <c r="O56" s="65">
        <v>13.9</v>
      </c>
      <c r="P56" s="65">
        <v>13.9</v>
      </c>
      <c r="Q56" s="65">
        <v>13.9</v>
      </c>
      <c r="R56" s="65">
        <v>13.9</v>
      </c>
      <c r="S56" s="65">
        <v>13.9</v>
      </c>
      <c r="T56" s="65">
        <v>13.9</v>
      </c>
      <c r="U56" s="65">
        <v>13.9</v>
      </c>
      <c r="V56" s="65">
        <v>13.9</v>
      </c>
      <c r="W56" s="65">
        <v>13.9</v>
      </c>
      <c r="X56" s="65">
        <v>13.9</v>
      </c>
      <c r="Y56" s="65">
        <v>13.9</v>
      </c>
      <c r="Z56" s="65">
        <v>13.9</v>
      </c>
      <c r="AA56" s="65">
        <v>13.9</v>
      </c>
      <c r="AB56" s="65">
        <v>13.9</v>
      </c>
      <c r="AC56" s="65">
        <v>13.9</v>
      </c>
      <c r="AD56" s="65">
        <v>13.9</v>
      </c>
      <c r="AE56" s="65">
        <v>13.9</v>
      </c>
      <c r="AF56" s="65">
        <v>13.9</v>
      </c>
      <c r="AG56" s="55">
        <v>14.1</v>
      </c>
      <c r="AH56" s="48">
        <f t="shared" si="2"/>
        <v>13.9</v>
      </c>
      <c r="AI56" s="49">
        <f t="shared" si="3"/>
        <v>13.9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9.9</v>
      </c>
      <c r="C57" s="65">
        <v>9.9</v>
      </c>
      <c r="D57" s="65">
        <v>8.6999999999999993</v>
      </c>
      <c r="E57" s="65">
        <v>8.6999999999999993</v>
      </c>
      <c r="F57" s="65">
        <v>8.6999999999999993</v>
      </c>
      <c r="G57" s="65">
        <v>8.6999999999999993</v>
      </c>
      <c r="H57" s="65">
        <v>8.6999999999999993</v>
      </c>
      <c r="I57" s="65">
        <v>8.6999999999999993</v>
      </c>
      <c r="J57" s="65">
        <v>8.6999999999999993</v>
      </c>
      <c r="K57" s="65">
        <v>8.6999999999999993</v>
      </c>
      <c r="L57" s="65">
        <v>8.6999999999999993</v>
      </c>
      <c r="M57" s="65">
        <v>8.6999999999999993</v>
      </c>
      <c r="N57" s="65">
        <v>8.6999999999999993</v>
      </c>
      <c r="O57" s="65">
        <v>8.6999999999999993</v>
      </c>
      <c r="P57" s="65">
        <v>8.6999999999999993</v>
      </c>
      <c r="Q57" s="65">
        <v>8.6999999999999993</v>
      </c>
      <c r="R57" s="65">
        <v>8.6999999999999993</v>
      </c>
      <c r="S57" s="65">
        <v>8.6999999999999993</v>
      </c>
      <c r="T57" s="65">
        <v>8.6999999999999993</v>
      </c>
      <c r="U57" s="65">
        <v>8.6999999999999993</v>
      </c>
      <c r="V57" s="65">
        <v>8.6999999999999993</v>
      </c>
      <c r="W57" s="65">
        <v>8.6999999999999993</v>
      </c>
      <c r="X57" s="65">
        <v>8.6999999999999993</v>
      </c>
      <c r="Y57" s="65">
        <v>8.6999999999999993</v>
      </c>
      <c r="Z57" s="65">
        <v>8.6999999999999993</v>
      </c>
      <c r="AA57" s="65">
        <v>8.6999999999999993</v>
      </c>
      <c r="AB57" s="65">
        <v>8.6999999999999993</v>
      </c>
      <c r="AC57" s="65">
        <v>8.6999999999999993</v>
      </c>
      <c r="AD57" s="65">
        <v>8.6999999999999993</v>
      </c>
      <c r="AE57" s="65">
        <v>8.6999999999999993</v>
      </c>
      <c r="AF57" s="65">
        <v>8.6999999999999993</v>
      </c>
      <c r="AG57" s="55">
        <v>14</v>
      </c>
      <c r="AH57" s="48">
        <f t="shared" si="2"/>
        <v>9.9</v>
      </c>
      <c r="AI57" s="49">
        <f t="shared" si="3"/>
        <v>8.6999999999999993</v>
      </c>
      <c r="AK57" s="50"/>
    </row>
    <row r="58" spans="1:41" x14ac:dyDescent="0.25">
      <c r="A58" s="54" t="s">
        <v>63</v>
      </c>
      <c r="B58" s="65">
        <v>6.8</v>
      </c>
      <c r="C58" s="65">
        <v>6.8</v>
      </c>
      <c r="D58" s="65">
        <v>6.8</v>
      </c>
      <c r="E58" s="65">
        <v>6.8</v>
      </c>
      <c r="F58" s="65">
        <v>6.8</v>
      </c>
      <c r="G58" s="65">
        <v>6.8</v>
      </c>
      <c r="H58" s="65">
        <v>6.8</v>
      </c>
      <c r="I58" s="65">
        <v>6.8</v>
      </c>
      <c r="J58" s="65">
        <v>6.8</v>
      </c>
      <c r="K58" s="65">
        <v>6.8</v>
      </c>
      <c r="L58" s="65">
        <v>6.8</v>
      </c>
      <c r="M58" s="65">
        <v>6.8</v>
      </c>
      <c r="N58" s="65">
        <v>6.8</v>
      </c>
      <c r="O58" s="65">
        <v>6.8</v>
      </c>
      <c r="P58" s="65">
        <v>6.8</v>
      </c>
      <c r="Q58" s="65">
        <v>6.8</v>
      </c>
      <c r="R58" s="65">
        <v>6.8</v>
      </c>
      <c r="S58" s="65">
        <v>6.8</v>
      </c>
      <c r="T58" s="65">
        <v>6.8</v>
      </c>
      <c r="U58" s="65">
        <v>6.8</v>
      </c>
      <c r="V58" s="65">
        <v>6.8</v>
      </c>
      <c r="W58" s="65">
        <v>6.8</v>
      </c>
      <c r="X58" s="65">
        <v>6.8</v>
      </c>
      <c r="Y58" s="65">
        <v>6.8</v>
      </c>
      <c r="Z58" s="65">
        <v>6.8</v>
      </c>
      <c r="AA58" s="65">
        <v>6.8</v>
      </c>
      <c r="AB58" s="65">
        <v>6.8</v>
      </c>
      <c r="AC58" s="65">
        <v>6.8</v>
      </c>
      <c r="AD58" s="65">
        <v>6.8</v>
      </c>
      <c r="AE58" s="65">
        <v>6.8</v>
      </c>
      <c r="AF58" s="65">
        <v>6.8</v>
      </c>
      <c r="AG58" s="55">
        <v>10.050000000000001</v>
      </c>
      <c r="AH58" s="48">
        <f t="shared" si="2"/>
        <v>6.8</v>
      </c>
      <c r="AI58" s="49">
        <f t="shared" si="3"/>
        <v>6.8</v>
      </c>
      <c r="AK58" s="50"/>
    </row>
    <row r="59" spans="1:41" x14ac:dyDescent="0.25">
      <c r="A59" s="54" t="s">
        <v>64</v>
      </c>
      <c r="B59" s="65">
        <v>4.5999999999999996</v>
      </c>
      <c r="C59" s="65">
        <v>4.5999999999999996</v>
      </c>
      <c r="D59" s="65">
        <v>4.5999999999999996</v>
      </c>
      <c r="E59" s="65">
        <v>4.5999999999999996</v>
      </c>
      <c r="F59" s="65">
        <v>4.5999999999999996</v>
      </c>
      <c r="G59" s="65">
        <v>4.5999999999999996</v>
      </c>
      <c r="H59" s="65">
        <v>4.5999999999999996</v>
      </c>
      <c r="I59" s="65">
        <v>4.5999999999999996</v>
      </c>
      <c r="J59" s="65">
        <v>4.5999999999999996</v>
      </c>
      <c r="K59" s="65">
        <v>4.5999999999999996</v>
      </c>
      <c r="L59" s="65">
        <v>4.5999999999999996</v>
      </c>
      <c r="M59" s="65">
        <v>4.5999999999999996</v>
      </c>
      <c r="N59" s="65">
        <v>4.5999999999999996</v>
      </c>
      <c r="O59" s="65">
        <v>4.5999999999999996</v>
      </c>
      <c r="P59" s="65">
        <v>4.5999999999999996</v>
      </c>
      <c r="Q59" s="65">
        <v>4.5999999999999996</v>
      </c>
      <c r="R59" s="65">
        <v>4.5999999999999996</v>
      </c>
      <c r="S59" s="65">
        <v>4.5999999999999996</v>
      </c>
      <c r="T59" s="65">
        <v>4.5999999999999996</v>
      </c>
      <c r="U59" s="65">
        <v>4.5999999999999996</v>
      </c>
      <c r="V59" s="65">
        <v>4.5999999999999996</v>
      </c>
      <c r="W59" s="65">
        <v>4.5999999999999996</v>
      </c>
      <c r="X59" s="65">
        <v>4.5999999999999996</v>
      </c>
      <c r="Y59" s="65">
        <v>4.5999999999999996</v>
      </c>
      <c r="Z59" s="65">
        <v>4.5999999999999996</v>
      </c>
      <c r="AA59" s="65">
        <v>4.5999999999999996</v>
      </c>
      <c r="AB59" s="65">
        <v>4.5999999999999996</v>
      </c>
      <c r="AC59" s="65">
        <v>4.5999999999999996</v>
      </c>
      <c r="AD59" s="65">
        <v>4.5999999999999996</v>
      </c>
      <c r="AE59" s="65">
        <v>4.5999999999999996</v>
      </c>
      <c r="AF59" s="65">
        <v>4.5999999999999996</v>
      </c>
      <c r="AG59" s="55">
        <v>6.2</v>
      </c>
      <c r="AH59" s="48">
        <f t="shared" si="2"/>
        <v>4.5999999999999996</v>
      </c>
      <c r="AI59" s="49">
        <f t="shared" si="3"/>
        <v>4.5999999999999996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>SUM(B48:B60)</f>
        <v>343.34000000000003</v>
      </c>
      <c r="C61" s="61">
        <f t="shared" ref="C61:AG61" si="11">SUM(C48:C60)</f>
        <v>332.74</v>
      </c>
      <c r="D61" s="61">
        <f t="shared" si="11"/>
        <v>324.94</v>
      </c>
      <c r="E61" s="61">
        <f t="shared" si="11"/>
        <v>330.14000000000004</v>
      </c>
      <c r="F61" s="61">
        <f t="shared" si="11"/>
        <v>349.24000000000007</v>
      </c>
      <c r="G61" s="61">
        <f t="shared" si="11"/>
        <v>321.24</v>
      </c>
      <c r="H61" s="61">
        <f t="shared" si="11"/>
        <v>322.04000000000002</v>
      </c>
      <c r="I61" s="61">
        <f t="shared" si="11"/>
        <v>376.64000000000004</v>
      </c>
      <c r="J61" s="61">
        <f t="shared" si="11"/>
        <v>415.44</v>
      </c>
      <c r="K61" s="61">
        <f t="shared" si="11"/>
        <v>432.44</v>
      </c>
      <c r="L61" s="61">
        <f t="shared" si="11"/>
        <v>430.94</v>
      </c>
      <c r="M61" s="61">
        <f t="shared" si="11"/>
        <v>430.94</v>
      </c>
      <c r="N61" s="61">
        <f t="shared" si="11"/>
        <v>430.94</v>
      </c>
      <c r="O61" s="61">
        <f t="shared" si="11"/>
        <v>414.94</v>
      </c>
      <c r="P61" s="61">
        <f t="shared" si="11"/>
        <v>400.94</v>
      </c>
      <c r="Q61" s="61">
        <f t="shared" si="11"/>
        <v>400.94</v>
      </c>
      <c r="R61" s="61">
        <f t="shared" si="11"/>
        <v>400.94</v>
      </c>
      <c r="S61" s="61">
        <f t="shared" si="11"/>
        <v>418.94</v>
      </c>
      <c r="T61" s="61">
        <f t="shared" si="11"/>
        <v>418.94</v>
      </c>
      <c r="U61" s="61">
        <f t="shared" si="11"/>
        <v>418.94</v>
      </c>
      <c r="V61" s="61">
        <f t="shared" si="11"/>
        <v>418.94</v>
      </c>
      <c r="W61" s="61">
        <f t="shared" si="11"/>
        <v>415.94</v>
      </c>
      <c r="X61" s="61">
        <f t="shared" si="11"/>
        <v>430.94</v>
      </c>
      <c r="Y61" s="61">
        <f t="shared" si="11"/>
        <v>430.94</v>
      </c>
      <c r="Z61" s="61">
        <f t="shared" si="11"/>
        <v>430.94</v>
      </c>
      <c r="AA61" s="61">
        <f t="shared" si="11"/>
        <v>430.94</v>
      </c>
      <c r="AB61" s="61">
        <f t="shared" si="11"/>
        <v>430.94</v>
      </c>
      <c r="AC61" s="61">
        <f t="shared" si="11"/>
        <v>428.94</v>
      </c>
      <c r="AD61" s="61">
        <f t="shared" si="11"/>
        <v>398.94</v>
      </c>
      <c r="AE61" s="61">
        <f t="shared" si="11"/>
        <v>321.94</v>
      </c>
      <c r="AF61" s="61">
        <f t="shared" si="11"/>
        <v>321.94</v>
      </c>
      <c r="AG61" s="62">
        <f t="shared" si="11"/>
        <v>489.91</v>
      </c>
      <c r="AH61" s="48">
        <f t="shared" si="2"/>
        <v>432.44</v>
      </c>
      <c r="AI61" s="49">
        <f t="shared" si="3"/>
        <v>321.24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/>
      <c r="T62" s="45"/>
      <c r="U62" s="45"/>
      <c r="V62" s="45"/>
      <c r="W62" s="45">
        <v>10.4</v>
      </c>
      <c r="X62" s="45">
        <v>59.4</v>
      </c>
      <c r="Y62" s="45">
        <v>10.199999999999999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/>
      <c r="AG62" s="52">
        <v>60</v>
      </c>
      <c r="AH62" s="48">
        <f t="shared" si="2"/>
        <v>59.4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/>
      <c r="T63" s="65"/>
      <c r="U63" s="65"/>
      <c r="V63" s="65"/>
      <c r="W63" s="65">
        <v>5.4</v>
      </c>
      <c r="X63" s="65">
        <v>27.1</v>
      </c>
      <c r="Y63" s="65">
        <v>7.8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/>
      <c r="AG63" s="55">
        <v>32</v>
      </c>
      <c r="AH63" s="48">
        <f t="shared" si="2"/>
        <v>27.1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/>
      <c r="T64" s="67"/>
      <c r="U64" s="67"/>
      <c r="V64" s="67"/>
      <c r="W64" s="67">
        <v>2</v>
      </c>
      <c r="X64" s="67">
        <v>9.9</v>
      </c>
      <c r="Y64" s="67">
        <v>2.8</v>
      </c>
      <c r="Z64" s="67">
        <v>0</v>
      </c>
      <c r="AA64" s="67">
        <v>0</v>
      </c>
      <c r="AB64" s="67">
        <v>0</v>
      </c>
      <c r="AC64" s="67">
        <v>0</v>
      </c>
      <c r="AD64" s="67">
        <v>0</v>
      </c>
      <c r="AE64" s="67">
        <v>0</v>
      </c>
      <c r="AF64" s="67"/>
      <c r="AG64" s="68">
        <v>14</v>
      </c>
      <c r="AH64" s="48">
        <f t="shared" si="2"/>
        <v>9.9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>SUM(B62:B64)</f>
        <v>0</v>
      </c>
      <c r="C65" s="61">
        <f t="shared" ref="C65:AG65" si="12">SUM(C62:C64)</f>
        <v>0</v>
      </c>
      <c r="D65" s="61">
        <f t="shared" si="12"/>
        <v>0</v>
      </c>
      <c r="E65" s="61">
        <f t="shared" si="12"/>
        <v>0</v>
      </c>
      <c r="F65" s="61">
        <f t="shared" si="12"/>
        <v>0</v>
      </c>
      <c r="G65" s="61">
        <f t="shared" si="12"/>
        <v>0</v>
      </c>
      <c r="H65" s="61">
        <f t="shared" si="12"/>
        <v>0</v>
      </c>
      <c r="I65" s="61">
        <f t="shared" si="12"/>
        <v>0</v>
      </c>
      <c r="J65" s="61">
        <f t="shared" si="12"/>
        <v>0</v>
      </c>
      <c r="K65" s="61">
        <f t="shared" si="12"/>
        <v>0</v>
      </c>
      <c r="L65" s="61">
        <f t="shared" si="12"/>
        <v>0</v>
      </c>
      <c r="M65" s="61">
        <f t="shared" si="12"/>
        <v>0</v>
      </c>
      <c r="N65" s="61">
        <f t="shared" si="12"/>
        <v>0</v>
      </c>
      <c r="O65" s="61">
        <f t="shared" si="12"/>
        <v>0</v>
      </c>
      <c r="P65" s="61">
        <f t="shared" si="12"/>
        <v>0</v>
      </c>
      <c r="Q65" s="61">
        <f t="shared" si="12"/>
        <v>0</v>
      </c>
      <c r="R65" s="61">
        <f t="shared" si="12"/>
        <v>0</v>
      </c>
      <c r="S65" s="61">
        <f t="shared" si="12"/>
        <v>0</v>
      </c>
      <c r="T65" s="61">
        <f t="shared" si="12"/>
        <v>0</v>
      </c>
      <c r="U65" s="61">
        <f t="shared" si="12"/>
        <v>0</v>
      </c>
      <c r="V65" s="61">
        <f t="shared" si="12"/>
        <v>0</v>
      </c>
      <c r="W65" s="61">
        <f t="shared" si="12"/>
        <v>17.8</v>
      </c>
      <c r="X65" s="61">
        <f t="shared" si="12"/>
        <v>96.4</v>
      </c>
      <c r="Y65" s="61">
        <f t="shared" si="12"/>
        <v>20.8</v>
      </c>
      <c r="Z65" s="61">
        <f t="shared" si="12"/>
        <v>0</v>
      </c>
      <c r="AA65" s="61">
        <f t="shared" si="12"/>
        <v>0</v>
      </c>
      <c r="AB65" s="61">
        <f t="shared" si="12"/>
        <v>0</v>
      </c>
      <c r="AC65" s="61">
        <f t="shared" si="12"/>
        <v>0</v>
      </c>
      <c r="AD65" s="61">
        <f t="shared" si="12"/>
        <v>0</v>
      </c>
      <c r="AE65" s="61">
        <f t="shared" si="12"/>
        <v>0</v>
      </c>
      <c r="AF65" s="61">
        <f t="shared" si="12"/>
        <v>0</v>
      </c>
      <c r="AG65" s="62">
        <f t="shared" si="12"/>
        <v>106</v>
      </c>
      <c r="AH65" s="48">
        <f t="shared" si="2"/>
        <v>96.4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52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-199.1</v>
      </c>
      <c r="C68" s="65">
        <v>-100</v>
      </c>
      <c r="D68" s="65">
        <v>-102.1</v>
      </c>
      <c r="E68" s="65">
        <v>-103.3</v>
      </c>
      <c r="F68" s="65">
        <v>-101</v>
      </c>
      <c r="G68" s="65">
        <v>-96.4</v>
      </c>
      <c r="H68" s="65">
        <v>-100.3</v>
      </c>
      <c r="I68" s="65">
        <v>-99.9</v>
      </c>
      <c r="J68" s="65">
        <v>-100</v>
      </c>
      <c r="K68" s="65">
        <v>-246</v>
      </c>
      <c r="L68" s="65">
        <v>-256.5</v>
      </c>
      <c r="M68" s="65">
        <v>-223.2</v>
      </c>
      <c r="N68" s="65">
        <v>-211.4</v>
      </c>
      <c r="O68" s="65">
        <v>-124.6</v>
      </c>
      <c r="P68" s="65">
        <v>-159.6</v>
      </c>
      <c r="Q68" s="65">
        <v>-190</v>
      </c>
      <c r="R68" s="65">
        <v>-202.8</v>
      </c>
      <c r="S68" s="65">
        <v>-105</v>
      </c>
      <c r="T68" s="65">
        <v>-92</v>
      </c>
      <c r="U68" s="65">
        <v>-108</v>
      </c>
      <c r="V68" s="65">
        <v>-92.5</v>
      </c>
      <c r="W68" s="65">
        <v>-100.3</v>
      </c>
      <c r="X68" s="65">
        <v>-229</v>
      </c>
      <c r="Y68" s="65">
        <v>-208</v>
      </c>
      <c r="Z68" s="65">
        <v>-96</v>
      </c>
      <c r="AA68" s="65">
        <v>-96</v>
      </c>
      <c r="AB68" s="65">
        <v>-190</v>
      </c>
      <c r="AC68" s="65">
        <v>-170</v>
      </c>
      <c r="AD68" s="65">
        <v>-228</v>
      </c>
      <c r="AE68" s="65">
        <v>-170</v>
      </c>
      <c r="AF68" s="65">
        <v>-180</v>
      </c>
      <c r="AG68" s="75"/>
      <c r="AH68" s="48">
        <f t="shared" si="2"/>
        <v>-92</v>
      </c>
      <c r="AI68" s="49">
        <f t="shared" si="3"/>
        <v>-256.5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/>
      <c r="AF73" s="76"/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:AF77" si="13">SUMIF(B66:B76,"&gt;0")</f>
        <v>0</v>
      </c>
      <c r="C77" s="61">
        <f t="shared" si="13"/>
        <v>0</v>
      </c>
      <c r="D77" s="61">
        <f>SUMIF(D66:D76,"&gt;0")</f>
        <v>0</v>
      </c>
      <c r="E77" s="61">
        <f t="shared" si="13"/>
        <v>0</v>
      </c>
      <c r="F77" s="61">
        <f t="shared" si="13"/>
        <v>0</v>
      </c>
      <c r="G77" s="61">
        <f t="shared" si="13"/>
        <v>0</v>
      </c>
      <c r="H77" s="61">
        <f t="shared" si="13"/>
        <v>0</v>
      </c>
      <c r="I77" s="61">
        <f t="shared" si="13"/>
        <v>0</v>
      </c>
      <c r="J77" s="61">
        <f t="shared" si="13"/>
        <v>0</v>
      </c>
      <c r="K77" s="61">
        <f t="shared" si="13"/>
        <v>0</v>
      </c>
      <c r="L77" s="61">
        <f t="shared" si="13"/>
        <v>0</v>
      </c>
      <c r="M77" s="61">
        <f t="shared" si="13"/>
        <v>0</v>
      </c>
      <c r="N77" s="61">
        <f t="shared" si="13"/>
        <v>0</v>
      </c>
      <c r="O77" s="61">
        <f t="shared" si="13"/>
        <v>0</v>
      </c>
      <c r="P77" s="61">
        <f t="shared" si="13"/>
        <v>0</v>
      </c>
      <c r="Q77" s="61">
        <f t="shared" si="13"/>
        <v>0</v>
      </c>
      <c r="R77" s="61">
        <f t="shared" si="13"/>
        <v>0</v>
      </c>
      <c r="S77" s="61">
        <f t="shared" si="13"/>
        <v>0</v>
      </c>
      <c r="T77" s="61">
        <f t="shared" si="13"/>
        <v>0</v>
      </c>
      <c r="U77" s="61">
        <f t="shared" si="13"/>
        <v>0</v>
      </c>
      <c r="V77" s="61">
        <f t="shared" si="13"/>
        <v>0</v>
      </c>
      <c r="W77" s="61">
        <f t="shared" si="13"/>
        <v>0</v>
      </c>
      <c r="X77" s="61">
        <f t="shared" si="13"/>
        <v>0</v>
      </c>
      <c r="Y77" s="61">
        <f t="shared" si="13"/>
        <v>0</v>
      </c>
      <c r="Z77" s="61">
        <f t="shared" si="13"/>
        <v>0</v>
      </c>
      <c r="AA77" s="61">
        <f t="shared" si="13"/>
        <v>0</v>
      </c>
      <c r="AB77" s="61">
        <f t="shared" si="13"/>
        <v>0</v>
      </c>
      <c r="AC77" s="61">
        <f t="shared" si="13"/>
        <v>0</v>
      </c>
      <c r="AD77" s="61">
        <f t="shared" si="13"/>
        <v>0</v>
      </c>
      <c r="AE77" s="61">
        <f t="shared" si="13"/>
        <v>0</v>
      </c>
      <c r="AF77" s="61">
        <f t="shared" si="13"/>
        <v>0</v>
      </c>
      <c r="AG77" s="81">
        <f>SUM(AG66:AG76)</f>
        <v>0</v>
      </c>
      <c r="AH77" s="48">
        <f t="shared" si="2"/>
        <v>0</v>
      </c>
      <c r="AI77" s="49">
        <f t="shared" si="3"/>
        <v>0</v>
      </c>
      <c r="AK77" s="50"/>
    </row>
    <row r="78" spans="1:37" x14ac:dyDescent="0.25">
      <c r="A78" s="44" t="s">
        <v>83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>
        <v>14.4</v>
      </c>
      <c r="AH79" s="48">
        <f t="shared" ref="AH79:AH112" si="14">MAX(B79:AF79)</f>
        <v>0</v>
      </c>
      <c r="AI79" s="49">
        <f t="shared" ref="AI79:AI112" si="15">MIN(B79:AF79)</f>
        <v>0</v>
      </c>
      <c r="AK79" s="50"/>
    </row>
    <row r="80" spans="1:37" ht="15.75" thickBot="1" x14ac:dyDescent="0.3">
      <c r="A80" s="78" t="s">
        <v>85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80">
        <v>2</v>
      </c>
      <c r="AH80" s="48">
        <f t="shared" si="14"/>
        <v>0</v>
      </c>
      <c r="AI80" s="49">
        <f t="shared" si="15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4"/>
        <v>0</v>
      </c>
      <c r="AI81" s="49">
        <f t="shared" si="15"/>
        <v>0</v>
      </c>
    </row>
    <row r="82" spans="1:37" ht="15.75" thickBot="1" x14ac:dyDescent="0.3">
      <c r="A82" s="74" t="s">
        <v>87</v>
      </c>
      <c r="B82" s="83">
        <f t="shared" ref="B82:AG82" si="16">B43+B47+B65+B61+B77+B81</f>
        <v>1119.44</v>
      </c>
      <c r="C82" s="83">
        <f t="shared" si="16"/>
        <v>1033.74</v>
      </c>
      <c r="D82" s="83">
        <f t="shared" si="16"/>
        <v>1005.94</v>
      </c>
      <c r="E82" s="83">
        <f t="shared" si="16"/>
        <v>1004.6400000000001</v>
      </c>
      <c r="F82" s="83">
        <f t="shared" si="16"/>
        <v>1033.6400000000001</v>
      </c>
      <c r="G82" s="83">
        <f t="shared" si="16"/>
        <v>1080.6400000000001</v>
      </c>
      <c r="H82" s="83">
        <f t="shared" si="16"/>
        <v>1122.04</v>
      </c>
      <c r="I82" s="83">
        <f t="shared" si="16"/>
        <v>1206.3400000000001</v>
      </c>
      <c r="J82" s="83">
        <f t="shared" si="16"/>
        <v>1288.74</v>
      </c>
      <c r="K82" s="83">
        <f t="shared" si="16"/>
        <v>1565.44</v>
      </c>
      <c r="L82" s="83">
        <f t="shared" si="16"/>
        <v>1564.0400000000002</v>
      </c>
      <c r="M82" s="83">
        <f t="shared" si="16"/>
        <v>1636.8400000000001</v>
      </c>
      <c r="N82" s="83">
        <f t="shared" si="16"/>
        <v>1531.3400000000001</v>
      </c>
      <c r="O82" s="83">
        <f t="shared" si="16"/>
        <v>1392.3400000000001</v>
      </c>
      <c r="P82" s="83">
        <f t="shared" si="16"/>
        <v>1378.3400000000001</v>
      </c>
      <c r="Q82" s="83">
        <f t="shared" si="16"/>
        <v>1326.3400000000001</v>
      </c>
      <c r="R82" s="83">
        <f t="shared" si="16"/>
        <v>1316.44</v>
      </c>
      <c r="S82" s="83">
        <f t="shared" si="16"/>
        <v>1244.44</v>
      </c>
      <c r="T82" s="83">
        <f t="shared" si="16"/>
        <v>1232.44</v>
      </c>
      <c r="U82" s="83">
        <f t="shared" si="16"/>
        <v>1292.44</v>
      </c>
      <c r="V82" s="83">
        <f t="shared" si="16"/>
        <v>1324.44</v>
      </c>
      <c r="W82" s="83">
        <f t="shared" si="16"/>
        <v>1509.24</v>
      </c>
      <c r="X82" s="83">
        <f t="shared" si="16"/>
        <v>1713.9400000000003</v>
      </c>
      <c r="Y82" s="83">
        <f t="shared" si="16"/>
        <v>1638.3400000000001</v>
      </c>
      <c r="Z82" s="83">
        <f t="shared" si="16"/>
        <v>1381.3400000000001</v>
      </c>
      <c r="AA82" s="83">
        <f t="shared" si="16"/>
        <v>1361.3400000000001</v>
      </c>
      <c r="AB82" s="83">
        <f t="shared" si="16"/>
        <v>1362.54</v>
      </c>
      <c r="AC82" s="83">
        <f t="shared" si="16"/>
        <v>1330.54</v>
      </c>
      <c r="AD82" s="83">
        <f t="shared" si="16"/>
        <v>1300.54</v>
      </c>
      <c r="AE82" s="83">
        <f t="shared" si="16"/>
        <v>1145.6400000000001</v>
      </c>
      <c r="AF82" s="83">
        <f t="shared" si="16"/>
        <v>1138.6400000000001</v>
      </c>
      <c r="AG82" s="62">
        <f t="shared" si="16"/>
        <v>1986.1900000000003</v>
      </c>
      <c r="AH82" s="48">
        <f t="shared" si="14"/>
        <v>1713.9400000000003</v>
      </c>
      <c r="AI82" s="49">
        <f t="shared" si="15"/>
        <v>1004.6400000000001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14"/>
        <v>0</v>
      </c>
      <c r="AI83" s="49">
        <f t="shared" si="15"/>
        <v>0</v>
      </c>
    </row>
    <row r="84" spans="1:37" ht="15.75" thickBot="1" x14ac:dyDescent="0.3">
      <c r="A84" s="74" t="s">
        <v>89</v>
      </c>
      <c r="B84" s="83">
        <f t="shared" ref="B84:AF84" si="17">B82+B83</f>
        <v>1119.44</v>
      </c>
      <c r="C84" s="83">
        <f t="shared" si="17"/>
        <v>1033.74</v>
      </c>
      <c r="D84" s="83">
        <f t="shared" si="17"/>
        <v>1005.94</v>
      </c>
      <c r="E84" s="83">
        <f t="shared" si="17"/>
        <v>1004.6400000000001</v>
      </c>
      <c r="F84" s="83">
        <f t="shared" si="17"/>
        <v>1033.6400000000001</v>
      </c>
      <c r="G84" s="83">
        <f t="shared" si="17"/>
        <v>1080.6400000000001</v>
      </c>
      <c r="H84" s="83">
        <f t="shared" si="17"/>
        <v>1122.04</v>
      </c>
      <c r="I84" s="83">
        <f t="shared" si="17"/>
        <v>1206.3400000000001</v>
      </c>
      <c r="J84" s="83">
        <f t="shared" si="17"/>
        <v>1288.74</v>
      </c>
      <c r="K84" s="83">
        <f t="shared" si="17"/>
        <v>1565.44</v>
      </c>
      <c r="L84" s="83">
        <f t="shared" si="17"/>
        <v>1564.0400000000002</v>
      </c>
      <c r="M84" s="83">
        <f t="shared" si="17"/>
        <v>1636.8400000000001</v>
      </c>
      <c r="N84" s="83">
        <f t="shared" si="17"/>
        <v>1531.3400000000001</v>
      </c>
      <c r="O84" s="83">
        <f t="shared" si="17"/>
        <v>1392.3400000000001</v>
      </c>
      <c r="P84" s="83">
        <f t="shared" si="17"/>
        <v>1378.3400000000001</v>
      </c>
      <c r="Q84" s="83">
        <f t="shared" si="17"/>
        <v>1326.3400000000001</v>
      </c>
      <c r="R84" s="83">
        <f t="shared" si="17"/>
        <v>1316.44</v>
      </c>
      <c r="S84" s="83">
        <f t="shared" si="17"/>
        <v>1244.44</v>
      </c>
      <c r="T84" s="83">
        <f t="shared" si="17"/>
        <v>1232.44</v>
      </c>
      <c r="U84" s="83">
        <f t="shared" si="17"/>
        <v>1292.44</v>
      </c>
      <c r="V84" s="83">
        <f t="shared" si="17"/>
        <v>1324.44</v>
      </c>
      <c r="W84" s="83">
        <f t="shared" si="17"/>
        <v>1509.24</v>
      </c>
      <c r="X84" s="83">
        <f t="shared" si="17"/>
        <v>1713.9400000000003</v>
      </c>
      <c r="Y84" s="83">
        <f t="shared" si="17"/>
        <v>1638.3400000000001</v>
      </c>
      <c r="Z84" s="83">
        <f t="shared" si="17"/>
        <v>1381.3400000000001</v>
      </c>
      <c r="AA84" s="83">
        <f t="shared" si="17"/>
        <v>1361.3400000000001</v>
      </c>
      <c r="AB84" s="83">
        <f t="shared" si="17"/>
        <v>1362.54</v>
      </c>
      <c r="AC84" s="83">
        <f t="shared" si="17"/>
        <v>1330.54</v>
      </c>
      <c r="AD84" s="83">
        <f t="shared" si="17"/>
        <v>1300.54</v>
      </c>
      <c r="AE84" s="83">
        <f t="shared" si="17"/>
        <v>1145.6400000000001</v>
      </c>
      <c r="AF84" s="83">
        <f t="shared" si="17"/>
        <v>1138.6400000000001</v>
      </c>
      <c r="AG84" s="81">
        <f>AG81+AG77+AG65+AG61+AG43+AG83</f>
        <v>1448.0900000000001</v>
      </c>
      <c r="AH84" s="48">
        <f t="shared" si="14"/>
        <v>1713.9400000000003</v>
      </c>
      <c r="AI84" s="49">
        <f t="shared" si="15"/>
        <v>1004.6400000000001</v>
      </c>
    </row>
    <row r="85" spans="1:37" ht="15.75" thickBot="1" x14ac:dyDescent="0.3">
      <c r="A85" s="74" t="s">
        <v>90</v>
      </c>
      <c r="B85" s="83">
        <f t="shared" ref="B85:AF85" si="18">B84-B92</f>
        <v>920.34</v>
      </c>
      <c r="C85" s="83">
        <f t="shared" si="18"/>
        <v>933.74</v>
      </c>
      <c r="D85" s="83">
        <f t="shared" si="18"/>
        <v>903.84</v>
      </c>
      <c r="E85" s="83">
        <f t="shared" si="18"/>
        <v>901.34000000000015</v>
      </c>
      <c r="F85" s="83">
        <f t="shared" si="18"/>
        <v>932.6400000000001</v>
      </c>
      <c r="G85" s="83">
        <f t="shared" si="18"/>
        <v>984.24000000000012</v>
      </c>
      <c r="H85" s="83">
        <f t="shared" si="18"/>
        <v>1021.74</v>
      </c>
      <c r="I85" s="83">
        <f t="shared" si="18"/>
        <v>1106.44</v>
      </c>
      <c r="J85" s="83">
        <f t="shared" si="18"/>
        <v>1188.74</v>
      </c>
      <c r="K85" s="83">
        <f t="shared" si="18"/>
        <v>1319.44</v>
      </c>
      <c r="L85" s="83">
        <f t="shared" si="18"/>
        <v>1307.5400000000002</v>
      </c>
      <c r="M85" s="83">
        <f t="shared" si="18"/>
        <v>1413.64</v>
      </c>
      <c r="N85" s="83">
        <f t="shared" si="18"/>
        <v>1319.94</v>
      </c>
      <c r="O85" s="83">
        <f t="shared" si="18"/>
        <v>1267.7400000000002</v>
      </c>
      <c r="P85" s="83">
        <f t="shared" si="18"/>
        <v>1218.7400000000002</v>
      </c>
      <c r="Q85" s="83">
        <f t="shared" si="18"/>
        <v>1136.3400000000001</v>
      </c>
      <c r="R85" s="83">
        <f t="shared" si="18"/>
        <v>1113.6400000000001</v>
      </c>
      <c r="S85" s="83">
        <f t="shared" si="18"/>
        <v>1139.44</v>
      </c>
      <c r="T85" s="83">
        <f t="shared" si="18"/>
        <v>1140.44</v>
      </c>
      <c r="U85" s="83">
        <f t="shared" si="18"/>
        <v>1184.44</v>
      </c>
      <c r="V85" s="83">
        <f t="shared" si="18"/>
        <v>1231.94</v>
      </c>
      <c r="W85" s="83">
        <f t="shared" si="18"/>
        <v>1408.94</v>
      </c>
      <c r="X85" s="83">
        <f t="shared" si="18"/>
        <v>1484.9400000000003</v>
      </c>
      <c r="Y85" s="83">
        <f t="shared" si="18"/>
        <v>1430.3400000000001</v>
      </c>
      <c r="Z85" s="83">
        <f t="shared" si="18"/>
        <v>1285.3400000000001</v>
      </c>
      <c r="AA85" s="83">
        <f t="shared" si="18"/>
        <v>1265.3400000000001</v>
      </c>
      <c r="AB85" s="83">
        <f t="shared" si="18"/>
        <v>1172.54</v>
      </c>
      <c r="AC85" s="83">
        <f t="shared" si="18"/>
        <v>1160.54</v>
      </c>
      <c r="AD85" s="83">
        <f t="shared" si="18"/>
        <v>1072.54</v>
      </c>
      <c r="AE85" s="83">
        <f t="shared" si="18"/>
        <v>975.6400000000001</v>
      </c>
      <c r="AF85" s="83">
        <f t="shared" si="18"/>
        <v>958.6400000000001</v>
      </c>
      <c r="AG85" s="81"/>
      <c r="AH85" s="48">
        <f t="shared" si="14"/>
        <v>1484.9400000000003</v>
      </c>
      <c r="AI85" s="49">
        <f t="shared" si="15"/>
        <v>901.34000000000015</v>
      </c>
    </row>
    <row r="86" spans="1:37" x14ac:dyDescent="0.25">
      <c r="A86" s="44" t="s">
        <v>74</v>
      </c>
      <c r="B86" s="76">
        <f t="shared" ref="B86:AF86" si="19">IF(B69&lt;0,B69*-1,0)</f>
        <v>0</v>
      </c>
      <c r="C86" s="76">
        <f t="shared" si="19"/>
        <v>0</v>
      </c>
      <c r="D86" s="76">
        <f t="shared" si="19"/>
        <v>0</v>
      </c>
      <c r="E86" s="76">
        <f t="shared" si="19"/>
        <v>0</v>
      </c>
      <c r="F86" s="76">
        <f t="shared" si="19"/>
        <v>0</v>
      </c>
      <c r="G86" s="76">
        <f t="shared" si="19"/>
        <v>0</v>
      </c>
      <c r="H86" s="76">
        <f t="shared" si="19"/>
        <v>0</v>
      </c>
      <c r="I86" s="76">
        <f t="shared" si="19"/>
        <v>0</v>
      </c>
      <c r="J86" s="76">
        <f t="shared" si="19"/>
        <v>0</v>
      </c>
      <c r="K86" s="76">
        <f t="shared" si="19"/>
        <v>0</v>
      </c>
      <c r="L86" s="76">
        <f t="shared" si="19"/>
        <v>0</v>
      </c>
      <c r="M86" s="76">
        <f t="shared" si="19"/>
        <v>0</v>
      </c>
      <c r="N86" s="76">
        <f t="shared" si="19"/>
        <v>0</v>
      </c>
      <c r="O86" s="76">
        <f t="shared" si="19"/>
        <v>0</v>
      </c>
      <c r="P86" s="76">
        <f t="shared" si="19"/>
        <v>0</v>
      </c>
      <c r="Q86" s="76">
        <f t="shared" si="19"/>
        <v>0</v>
      </c>
      <c r="R86" s="76">
        <f t="shared" si="19"/>
        <v>0</v>
      </c>
      <c r="S86" s="76">
        <f t="shared" si="19"/>
        <v>0</v>
      </c>
      <c r="T86" s="76">
        <f t="shared" si="19"/>
        <v>0</v>
      </c>
      <c r="U86" s="76">
        <f t="shared" si="19"/>
        <v>0</v>
      </c>
      <c r="V86" s="76">
        <f t="shared" si="19"/>
        <v>0</v>
      </c>
      <c r="W86" s="76">
        <f t="shared" si="19"/>
        <v>0</v>
      </c>
      <c r="X86" s="76">
        <f t="shared" si="19"/>
        <v>0</v>
      </c>
      <c r="Y86" s="76">
        <f t="shared" si="19"/>
        <v>0</v>
      </c>
      <c r="Z86" s="76">
        <f t="shared" si="19"/>
        <v>0</v>
      </c>
      <c r="AA86" s="76">
        <f t="shared" si="19"/>
        <v>0</v>
      </c>
      <c r="AB86" s="76">
        <f t="shared" si="19"/>
        <v>0</v>
      </c>
      <c r="AC86" s="76">
        <f t="shared" si="19"/>
        <v>0</v>
      </c>
      <c r="AD86" s="76">
        <f t="shared" si="19"/>
        <v>0</v>
      </c>
      <c r="AE86" s="76">
        <f t="shared" si="19"/>
        <v>0</v>
      </c>
      <c r="AF86" s="76">
        <f t="shared" si="19"/>
        <v>0</v>
      </c>
      <c r="AG86" s="52"/>
      <c r="AH86" s="48">
        <f t="shared" si="14"/>
        <v>0</v>
      </c>
      <c r="AI86" s="49">
        <f t="shared" si="15"/>
        <v>0</v>
      </c>
    </row>
    <row r="87" spans="1:37" x14ac:dyDescent="0.25">
      <c r="A87" s="54" t="s">
        <v>72</v>
      </c>
      <c r="B87" s="76">
        <f t="shared" ref="B87:AF87" si="20">IF(B67&lt;0,B67*-1,0)</f>
        <v>0</v>
      </c>
      <c r="C87" s="76">
        <f>IF(C67&lt;0,C67*-1,0)</f>
        <v>0</v>
      </c>
      <c r="D87" s="76">
        <f>IF(D67&lt;0,D67*-1,0)</f>
        <v>0</v>
      </c>
      <c r="E87" s="76">
        <f t="shared" si="20"/>
        <v>0</v>
      </c>
      <c r="F87" s="76">
        <f t="shared" si="20"/>
        <v>0</v>
      </c>
      <c r="G87" s="76">
        <f t="shared" si="20"/>
        <v>0</v>
      </c>
      <c r="H87" s="76">
        <f t="shared" si="20"/>
        <v>0</v>
      </c>
      <c r="I87" s="76">
        <f t="shared" si="20"/>
        <v>0</v>
      </c>
      <c r="J87" s="76">
        <f t="shared" si="20"/>
        <v>0</v>
      </c>
      <c r="K87" s="76">
        <f t="shared" si="20"/>
        <v>0</v>
      </c>
      <c r="L87" s="76">
        <f t="shared" si="20"/>
        <v>0</v>
      </c>
      <c r="M87" s="76">
        <f t="shared" si="20"/>
        <v>0</v>
      </c>
      <c r="N87" s="76">
        <f t="shared" si="20"/>
        <v>0</v>
      </c>
      <c r="O87" s="76">
        <f t="shared" si="20"/>
        <v>0</v>
      </c>
      <c r="P87" s="76">
        <f t="shared" si="20"/>
        <v>0</v>
      </c>
      <c r="Q87" s="76">
        <f t="shared" si="20"/>
        <v>0</v>
      </c>
      <c r="R87" s="76">
        <f t="shared" si="20"/>
        <v>0</v>
      </c>
      <c r="S87" s="76">
        <f t="shared" si="20"/>
        <v>0</v>
      </c>
      <c r="T87" s="76">
        <f t="shared" si="20"/>
        <v>0</v>
      </c>
      <c r="U87" s="76">
        <f t="shared" si="20"/>
        <v>0</v>
      </c>
      <c r="V87" s="76">
        <f t="shared" si="20"/>
        <v>0</v>
      </c>
      <c r="W87" s="76">
        <f t="shared" si="20"/>
        <v>0</v>
      </c>
      <c r="X87" s="76">
        <f t="shared" si="20"/>
        <v>0</v>
      </c>
      <c r="Y87" s="76">
        <f t="shared" si="20"/>
        <v>0</v>
      </c>
      <c r="Z87" s="76">
        <f t="shared" si="20"/>
        <v>0</v>
      </c>
      <c r="AA87" s="76">
        <f t="shared" si="20"/>
        <v>0</v>
      </c>
      <c r="AB87" s="76">
        <f t="shared" si="20"/>
        <v>0</v>
      </c>
      <c r="AC87" s="76">
        <f t="shared" si="20"/>
        <v>0</v>
      </c>
      <c r="AD87" s="76">
        <f t="shared" si="20"/>
        <v>0</v>
      </c>
      <c r="AE87" s="76">
        <f t="shared" si="20"/>
        <v>0</v>
      </c>
      <c r="AF87" s="76">
        <f t="shared" si="20"/>
        <v>0</v>
      </c>
      <c r="AG87" s="55"/>
      <c r="AH87" s="48">
        <f t="shared" si="14"/>
        <v>0</v>
      </c>
      <c r="AI87" s="49">
        <f t="shared" si="15"/>
        <v>0</v>
      </c>
    </row>
    <row r="88" spans="1:37" x14ac:dyDescent="0.25">
      <c r="A88" s="78" t="s">
        <v>91</v>
      </c>
      <c r="B88" s="76">
        <f t="shared" ref="B88:AF88" si="21">IF(B70&lt;0,B70*-1,0)</f>
        <v>0</v>
      </c>
      <c r="C88" s="76">
        <f t="shared" si="21"/>
        <v>0</v>
      </c>
      <c r="D88" s="76">
        <f t="shared" si="21"/>
        <v>0</v>
      </c>
      <c r="E88" s="76">
        <f t="shared" si="21"/>
        <v>0</v>
      </c>
      <c r="F88" s="76">
        <f t="shared" si="21"/>
        <v>0</v>
      </c>
      <c r="G88" s="76">
        <f t="shared" si="21"/>
        <v>0</v>
      </c>
      <c r="H88" s="76">
        <f t="shared" si="21"/>
        <v>0</v>
      </c>
      <c r="I88" s="76">
        <f t="shared" si="21"/>
        <v>0</v>
      </c>
      <c r="J88" s="76">
        <f t="shared" si="21"/>
        <v>0</v>
      </c>
      <c r="K88" s="76">
        <f t="shared" si="21"/>
        <v>0</v>
      </c>
      <c r="L88" s="76">
        <f t="shared" si="21"/>
        <v>0</v>
      </c>
      <c r="M88" s="76">
        <f t="shared" si="21"/>
        <v>0</v>
      </c>
      <c r="N88" s="76">
        <f t="shared" si="21"/>
        <v>0</v>
      </c>
      <c r="O88" s="76">
        <f t="shared" si="21"/>
        <v>0</v>
      </c>
      <c r="P88" s="76">
        <f t="shared" si="21"/>
        <v>0</v>
      </c>
      <c r="Q88" s="76">
        <f t="shared" si="21"/>
        <v>0</v>
      </c>
      <c r="R88" s="76">
        <f t="shared" si="21"/>
        <v>0</v>
      </c>
      <c r="S88" s="76">
        <f t="shared" si="21"/>
        <v>0</v>
      </c>
      <c r="T88" s="76">
        <f t="shared" si="21"/>
        <v>0</v>
      </c>
      <c r="U88" s="76">
        <f t="shared" si="21"/>
        <v>0</v>
      </c>
      <c r="V88" s="76">
        <f t="shared" si="21"/>
        <v>0</v>
      </c>
      <c r="W88" s="76">
        <f t="shared" si="21"/>
        <v>0</v>
      </c>
      <c r="X88" s="76">
        <f t="shared" si="21"/>
        <v>0</v>
      </c>
      <c r="Y88" s="76">
        <f t="shared" si="21"/>
        <v>0</v>
      </c>
      <c r="Z88" s="76">
        <f t="shared" si="21"/>
        <v>0</v>
      </c>
      <c r="AA88" s="76">
        <f t="shared" si="21"/>
        <v>0</v>
      </c>
      <c r="AB88" s="76">
        <f t="shared" si="21"/>
        <v>0</v>
      </c>
      <c r="AC88" s="76">
        <f t="shared" si="21"/>
        <v>0</v>
      </c>
      <c r="AD88" s="76">
        <f t="shared" si="21"/>
        <v>0</v>
      </c>
      <c r="AE88" s="76">
        <f t="shared" si="21"/>
        <v>0</v>
      </c>
      <c r="AF88" s="76">
        <f t="shared" si="21"/>
        <v>0</v>
      </c>
      <c r="AG88" s="86"/>
      <c r="AH88" s="48">
        <f t="shared" si="14"/>
        <v>0</v>
      </c>
      <c r="AI88" s="49">
        <f t="shared" si="15"/>
        <v>0</v>
      </c>
    </row>
    <row r="89" spans="1:37" x14ac:dyDescent="0.25">
      <c r="A89" s="78" t="s">
        <v>92</v>
      </c>
      <c r="B89" s="76">
        <f t="shared" ref="B89:AF89" si="22">IF(B68&lt;0,B68*-1,0)</f>
        <v>199.1</v>
      </c>
      <c r="C89" s="76">
        <f t="shared" si="22"/>
        <v>100</v>
      </c>
      <c r="D89" s="76">
        <f t="shared" si="22"/>
        <v>102.1</v>
      </c>
      <c r="E89" s="76">
        <f t="shared" si="22"/>
        <v>103.3</v>
      </c>
      <c r="F89" s="76">
        <f t="shared" si="22"/>
        <v>101</v>
      </c>
      <c r="G89" s="76">
        <f t="shared" si="22"/>
        <v>96.4</v>
      </c>
      <c r="H89" s="76">
        <f t="shared" si="22"/>
        <v>100.3</v>
      </c>
      <c r="I89" s="76">
        <f t="shared" si="22"/>
        <v>99.9</v>
      </c>
      <c r="J89" s="76">
        <f t="shared" si="22"/>
        <v>100</v>
      </c>
      <c r="K89" s="76">
        <f t="shared" si="22"/>
        <v>246</v>
      </c>
      <c r="L89" s="76">
        <f t="shared" si="22"/>
        <v>256.5</v>
      </c>
      <c r="M89" s="76">
        <f t="shared" si="22"/>
        <v>223.2</v>
      </c>
      <c r="N89" s="76">
        <f t="shared" si="22"/>
        <v>211.4</v>
      </c>
      <c r="O89" s="76">
        <f t="shared" si="22"/>
        <v>124.6</v>
      </c>
      <c r="P89" s="76">
        <f t="shared" si="22"/>
        <v>159.6</v>
      </c>
      <c r="Q89" s="76">
        <f t="shared" si="22"/>
        <v>190</v>
      </c>
      <c r="R89" s="76">
        <f t="shared" si="22"/>
        <v>202.8</v>
      </c>
      <c r="S89" s="76">
        <f t="shared" si="22"/>
        <v>105</v>
      </c>
      <c r="T89" s="76">
        <f t="shared" si="22"/>
        <v>92</v>
      </c>
      <c r="U89" s="76">
        <f t="shared" si="22"/>
        <v>108</v>
      </c>
      <c r="V89" s="76">
        <f t="shared" si="22"/>
        <v>92.5</v>
      </c>
      <c r="W89" s="76">
        <f t="shared" si="22"/>
        <v>100.3</v>
      </c>
      <c r="X89" s="76">
        <f t="shared" si="22"/>
        <v>229</v>
      </c>
      <c r="Y89" s="76">
        <f t="shared" si="22"/>
        <v>208</v>
      </c>
      <c r="Z89" s="76">
        <f t="shared" si="22"/>
        <v>96</v>
      </c>
      <c r="AA89" s="76">
        <f t="shared" si="22"/>
        <v>96</v>
      </c>
      <c r="AB89" s="76">
        <f t="shared" si="22"/>
        <v>190</v>
      </c>
      <c r="AC89" s="76">
        <f t="shared" si="22"/>
        <v>170</v>
      </c>
      <c r="AD89" s="76">
        <f t="shared" si="22"/>
        <v>228</v>
      </c>
      <c r="AE89" s="76">
        <f t="shared" si="22"/>
        <v>170</v>
      </c>
      <c r="AF89" s="76">
        <f t="shared" si="22"/>
        <v>180</v>
      </c>
      <c r="AG89" s="86"/>
      <c r="AH89" s="48">
        <f t="shared" si="14"/>
        <v>256.5</v>
      </c>
      <c r="AI89" s="49">
        <f t="shared" si="15"/>
        <v>92</v>
      </c>
    </row>
    <row r="90" spans="1:37" x14ac:dyDescent="0.25">
      <c r="A90" s="78" t="s">
        <v>71</v>
      </c>
      <c r="B90" s="76">
        <f t="shared" ref="B90:AF90" si="23">IF(B66&lt;0,B66*-1,0)</f>
        <v>0</v>
      </c>
      <c r="C90" s="76">
        <f>IF(C66&lt;0,C66*-1,0)</f>
        <v>0</v>
      </c>
      <c r="D90" s="76">
        <f>IF(D66&lt;0,D66*-1,0)</f>
        <v>0</v>
      </c>
      <c r="E90" s="76">
        <f t="shared" si="23"/>
        <v>0</v>
      </c>
      <c r="F90" s="76">
        <f t="shared" si="23"/>
        <v>0</v>
      </c>
      <c r="G90" s="76">
        <f t="shared" si="23"/>
        <v>0</v>
      </c>
      <c r="H90" s="76">
        <f t="shared" si="23"/>
        <v>0</v>
      </c>
      <c r="I90" s="76">
        <f t="shared" si="23"/>
        <v>0</v>
      </c>
      <c r="J90" s="76">
        <f t="shared" si="23"/>
        <v>0</v>
      </c>
      <c r="K90" s="76">
        <f t="shared" si="23"/>
        <v>0</v>
      </c>
      <c r="L90" s="76">
        <f t="shared" si="23"/>
        <v>0</v>
      </c>
      <c r="M90" s="76">
        <f t="shared" si="23"/>
        <v>0</v>
      </c>
      <c r="N90" s="76">
        <f t="shared" si="23"/>
        <v>0</v>
      </c>
      <c r="O90" s="76">
        <f t="shared" si="23"/>
        <v>0</v>
      </c>
      <c r="P90" s="76">
        <f t="shared" si="23"/>
        <v>0</v>
      </c>
      <c r="Q90" s="76">
        <f t="shared" si="23"/>
        <v>0</v>
      </c>
      <c r="R90" s="76">
        <f t="shared" si="23"/>
        <v>0</v>
      </c>
      <c r="S90" s="76">
        <f t="shared" si="23"/>
        <v>0</v>
      </c>
      <c r="T90" s="76">
        <f t="shared" si="23"/>
        <v>0</v>
      </c>
      <c r="U90" s="76">
        <f t="shared" si="23"/>
        <v>0</v>
      </c>
      <c r="V90" s="76">
        <f t="shared" si="23"/>
        <v>0</v>
      </c>
      <c r="W90" s="76">
        <f t="shared" si="23"/>
        <v>0</v>
      </c>
      <c r="X90" s="76">
        <f t="shared" si="23"/>
        <v>0</v>
      </c>
      <c r="Y90" s="76">
        <f t="shared" si="23"/>
        <v>0</v>
      </c>
      <c r="Z90" s="76">
        <f t="shared" si="23"/>
        <v>0</v>
      </c>
      <c r="AA90" s="76">
        <f t="shared" si="23"/>
        <v>0</v>
      </c>
      <c r="AB90" s="76">
        <f t="shared" si="23"/>
        <v>0</v>
      </c>
      <c r="AC90" s="76">
        <f t="shared" si="23"/>
        <v>0</v>
      </c>
      <c r="AD90" s="76">
        <f t="shared" si="23"/>
        <v>0</v>
      </c>
      <c r="AE90" s="76">
        <f t="shared" si="23"/>
        <v>0</v>
      </c>
      <c r="AF90" s="76">
        <f t="shared" si="23"/>
        <v>0</v>
      </c>
      <c r="AG90" s="86"/>
      <c r="AH90" s="48">
        <f t="shared" si="14"/>
        <v>0</v>
      </c>
      <c r="AI90" s="49">
        <f t="shared" si="15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4"/>
        <v>0</v>
      </c>
      <c r="AI91" s="49">
        <f t="shared" si="15"/>
        <v>0</v>
      </c>
    </row>
    <row r="92" spans="1:37" ht="15.75" thickBot="1" x14ac:dyDescent="0.3">
      <c r="A92" s="87" t="s">
        <v>94</v>
      </c>
      <c r="B92" s="61">
        <f t="shared" ref="B92:AF92" si="24">SUM(B86:B91)</f>
        <v>199.1</v>
      </c>
      <c r="C92" s="61">
        <f t="shared" si="24"/>
        <v>100</v>
      </c>
      <c r="D92" s="61">
        <f t="shared" si="24"/>
        <v>102.1</v>
      </c>
      <c r="E92" s="61">
        <f t="shared" si="24"/>
        <v>103.3</v>
      </c>
      <c r="F92" s="61">
        <f t="shared" si="24"/>
        <v>101</v>
      </c>
      <c r="G92" s="61">
        <f t="shared" si="24"/>
        <v>96.4</v>
      </c>
      <c r="H92" s="61">
        <f t="shared" si="24"/>
        <v>100.3</v>
      </c>
      <c r="I92" s="61">
        <f t="shared" si="24"/>
        <v>99.9</v>
      </c>
      <c r="J92" s="61">
        <f t="shared" si="24"/>
        <v>100</v>
      </c>
      <c r="K92" s="61">
        <f t="shared" si="24"/>
        <v>246</v>
      </c>
      <c r="L92" s="61">
        <f t="shared" si="24"/>
        <v>256.5</v>
      </c>
      <c r="M92" s="61">
        <f t="shared" si="24"/>
        <v>223.2</v>
      </c>
      <c r="N92" s="61">
        <f t="shared" si="24"/>
        <v>211.4</v>
      </c>
      <c r="O92" s="61">
        <f t="shared" si="24"/>
        <v>124.6</v>
      </c>
      <c r="P92" s="61">
        <f t="shared" si="24"/>
        <v>159.6</v>
      </c>
      <c r="Q92" s="61">
        <f t="shared" si="24"/>
        <v>190</v>
      </c>
      <c r="R92" s="61">
        <f t="shared" si="24"/>
        <v>202.8</v>
      </c>
      <c r="S92" s="61">
        <f t="shared" si="24"/>
        <v>105</v>
      </c>
      <c r="T92" s="61">
        <f t="shared" si="24"/>
        <v>92</v>
      </c>
      <c r="U92" s="61">
        <f t="shared" si="24"/>
        <v>108</v>
      </c>
      <c r="V92" s="61">
        <f t="shared" si="24"/>
        <v>92.5</v>
      </c>
      <c r="W92" s="61">
        <f t="shared" si="24"/>
        <v>100.3</v>
      </c>
      <c r="X92" s="61">
        <f t="shared" si="24"/>
        <v>229</v>
      </c>
      <c r="Y92" s="61">
        <f t="shared" si="24"/>
        <v>208</v>
      </c>
      <c r="Z92" s="61">
        <f t="shared" si="24"/>
        <v>96</v>
      </c>
      <c r="AA92" s="61">
        <f t="shared" si="24"/>
        <v>96</v>
      </c>
      <c r="AB92" s="61">
        <f t="shared" si="24"/>
        <v>190</v>
      </c>
      <c r="AC92" s="61">
        <f t="shared" si="24"/>
        <v>170</v>
      </c>
      <c r="AD92" s="61">
        <f t="shared" si="24"/>
        <v>228</v>
      </c>
      <c r="AE92" s="61">
        <f t="shared" si="24"/>
        <v>170</v>
      </c>
      <c r="AF92" s="61">
        <f t="shared" si="24"/>
        <v>180</v>
      </c>
      <c r="AG92" s="81"/>
      <c r="AH92" s="48">
        <f t="shared" si="14"/>
        <v>256.5</v>
      </c>
      <c r="AI92" s="49">
        <f t="shared" si="15"/>
        <v>92</v>
      </c>
      <c r="AK92" s="50"/>
    </row>
    <row r="93" spans="1:37" ht="15.75" thickBot="1" x14ac:dyDescent="0.3">
      <c r="A93" s="74" t="s">
        <v>95</v>
      </c>
      <c r="B93" s="61">
        <f t="shared" ref="B93:AF93" si="25">B77-B92</f>
        <v>-199.1</v>
      </c>
      <c r="C93" s="61">
        <f t="shared" si="25"/>
        <v>-100</v>
      </c>
      <c r="D93" s="61">
        <f t="shared" si="25"/>
        <v>-102.1</v>
      </c>
      <c r="E93" s="61">
        <f t="shared" si="25"/>
        <v>-103.3</v>
      </c>
      <c r="F93" s="61">
        <f t="shared" si="25"/>
        <v>-101</v>
      </c>
      <c r="G93" s="61">
        <f t="shared" si="25"/>
        <v>-96.4</v>
      </c>
      <c r="H93" s="61">
        <f t="shared" si="25"/>
        <v>-100.3</v>
      </c>
      <c r="I93" s="61">
        <f t="shared" si="25"/>
        <v>-99.9</v>
      </c>
      <c r="J93" s="61">
        <f t="shared" si="25"/>
        <v>-100</v>
      </c>
      <c r="K93" s="61">
        <f t="shared" si="25"/>
        <v>-246</v>
      </c>
      <c r="L93" s="61">
        <f t="shared" si="25"/>
        <v>-256.5</v>
      </c>
      <c r="M93" s="61">
        <f t="shared" si="25"/>
        <v>-223.2</v>
      </c>
      <c r="N93" s="61">
        <f t="shared" si="25"/>
        <v>-211.4</v>
      </c>
      <c r="O93" s="61">
        <f t="shared" si="25"/>
        <v>-124.6</v>
      </c>
      <c r="P93" s="61">
        <f t="shared" si="25"/>
        <v>-159.6</v>
      </c>
      <c r="Q93" s="61">
        <f t="shared" si="25"/>
        <v>-190</v>
      </c>
      <c r="R93" s="61">
        <f t="shared" si="25"/>
        <v>-202.8</v>
      </c>
      <c r="S93" s="61">
        <f t="shared" si="25"/>
        <v>-105</v>
      </c>
      <c r="T93" s="61">
        <f t="shared" si="25"/>
        <v>-92</v>
      </c>
      <c r="U93" s="61">
        <f t="shared" si="25"/>
        <v>-108</v>
      </c>
      <c r="V93" s="61">
        <f t="shared" si="25"/>
        <v>-92.5</v>
      </c>
      <c r="W93" s="61">
        <f t="shared" si="25"/>
        <v>-100.3</v>
      </c>
      <c r="X93" s="61">
        <f t="shared" si="25"/>
        <v>-229</v>
      </c>
      <c r="Y93" s="61">
        <f t="shared" si="25"/>
        <v>-208</v>
      </c>
      <c r="Z93" s="61">
        <f t="shared" si="25"/>
        <v>-96</v>
      </c>
      <c r="AA93" s="61">
        <f t="shared" si="25"/>
        <v>-96</v>
      </c>
      <c r="AB93" s="61">
        <f t="shared" si="25"/>
        <v>-190</v>
      </c>
      <c r="AC93" s="61">
        <f t="shared" si="25"/>
        <v>-170</v>
      </c>
      <c r="AD93" s="61">
        <f t="shared" si="25"/>
        <v>-228</v>
      </c>
      <c r="AE93" s="61">
        <f t="shared" si="25"/>
        <v>-170</v>
      </c>
      <c r="AF93" s="61">
        <f t="shared" si="25"/>
        <v>-180</v>
      </c>
      <c r="AG93" s="81"/>
      <c r="AH93" s="48">
        <f t="shared" si="14"/>
        <v>-92</v>
      </c>
      <c r="AI93" s="49">
        <f t="shared" si="15"/>
        <v>-256.5</v>
      </c>
    </row>
    <row r="94" spans="1:37" x14ac:dyDescent="0.25">
      <c r="A94" s="88" t="s">
        <v>96</v>
      </c>
      <c r="B94" s="89">
        <v>50.045000000000002</v>
      </c>
      <c r="C94" s="89">
        <v>49.987000000000002</v>
      </c>
      <c r="D94" s="89">
        <v>50.024000000000001</v>
      </c>
      <c r="E94" s="89">
        <v>49.917999999999999</v>
      </c>
      <c r="F94" s="89">
        <v>49.98</v>
      </c>
      <c r="G94" s="89">
        <v>50.081000000000003</v>
      </c>
      <c r="H94" s="89">
        <v>50.029000000000003</v>
      </c>
      <c r="I94" s="89">
        <v>50.06</v>
      </c>
      <c r="J94" s="89">
        <v>49.906999999999996</v>
      </c>
      <c r="K94" s="89">
        <v>49.881999999999998</v>
      </c>
      <c r="L94" s="89">
        <v>49.904000000000003</v>
      </c>
      <c r="M94" s="89">
        <v>49.929000000000002</v>
      </c>
      <c r="N94" s="89">
        <v>49.973999999999997</v>
      </c>
      <c r="O94" s="89">
        <v>50.029000000000003</v>
      </c>
      <c r="P94" s="89">
        <v>50.040999999999997</v>
      </c>
      <c r="Q94" s="89">
        <v>50.024999999999999</v>
      </c>
      <c r="R94" s="89">
        <v>49.911999999999999</v>
      </c>
      <c r="S94" s="89">
        <v>49.911999999999999</v>
      </c>
      <c r="T94" s="89">
        <v>49.981000000000002</v>
      </c>
      <c r="U94" s="89">
        <v>49.991</v>
      </c>
      <c r="V94" s="89">
        <v>50.024000000000001</v>
      </c>
      <c r="W94" s="89">
        <v>50.081000000000003</v>
      </c>
      <c r="X94" s="89">
        <v>50.033999999999999</v>
      </c>
      <c r="Y94" s="89">
        <v>50.030999999999999</v>
      </c>
      <c r="Z94" s="89">
        <v>49.94</v>
      </c>
      <c r="AA94" s="89">
        <v>50.076000000000001</v>
      </c>
      <c r="AB94" s="89">
        <v>49.97</v>
      </c>
      <c r="AC94" s="89">
        <v>49.96</v>
      </c>
      <c r="AD94" s="89">
        <v>49.97</v>
      </c>
      <c r="AE94" s="89">
        <v>50.1</v>
      </c>
      <c r="AF94" s="89">
        <v>50.03</v>
      </c>
      <c r="AG94" s="90"/>
      <c r="AH94" s="48">
        <f t="shared" si="14"/>
        <v>50.1</v>
      </c>
      <c r="AI94" s="49">
        <f t="shared" si="15"/>
        <v>49.881999999999998</v>
      </c>
    </row>
    <row r="95" spans="1:37" x14ac:dyDescent="0.25">
      <c r="A95" s="91" t="s">
        <v>97</v>
      </c>
      <c r="B95" s="65">
        <v>129.19999999999999</v>
      </c>
      <c r="C95" s="65">
        <v>128.4</v>
      </c>
      <c r="D95" s="65">
        <v>128.5</v>
      </c>
      <c r="E95" s="65">
        <v>128.69999999999999</v>
      </c>
      <c r="F95" s="65">
        <v>128.69999999999999</v>
      </c>
      <c r="G95" s="65">
        <v>127</v>
      </c>
      <c r="H95" s="65">
        <v>126.2</v>
      </c>
      <c r="I95" s="65">
        <v>124.9</v>
      </c>
      <c r="J95" s="65">
        <v>124</v>
      </c>
      <c r="K95" s="65">
        <v>123.7</v>
      </c>
      <c r="L95" s="65">
        <v>123.3</v>
      </c>
      <c r="M95" s="65">
        <v>122.8</v>
      </c>
      <c r="N95" s="65">
        <v>123.9</v>
      </c>
      <c r="O95" s="65">
        <v>124.6</v>
      </c>
      <c r="P95" s="65">
        <v>125.8</v>
      </c>
      <c r="Q95" s="65">
        <v>125</v>
      </c>
      <c r="R95" s="65">
        <v>124.6</v>
      </c>
      <c r="S95" s="65">
        <v>124.6</v>
      </c>
      <c r="T95" s="65">
        <v>125.2</v>
      </c>
      <c r="U95" s="65">
        <v>126</v>
      </c>
      <c r="V95" s="65">
        <v>126.8</v>
      </c>
      <c r="W95" s="65">
        <v>125.3</v>
      </c>
      <c r="X95" s="65">
        <v>127.3</v>
      </c>
      <c r="Y95" s="65">
        <v>126.3</v>
      </c>
      <c r="Z95" s="65">
        <v>127</v>
      </c>
      <c r="AA95" s="65">
        <v>128.19999999999999</v>
      </c>
      <c r="AB95" s="65">
        <v>128.19999999999999</v>
      </c>
      <c r="AC95" s="65">
        <v>128.69999999999999</v>
      </c>
      <c r="AD95" s="65">
        <v>128</v>
      </c>
      <c r="AE95" s="65">
        <v>128</v>
      </c>
      <c r="AF95" s="65">
        <v>128</v>
      </c>
      <c r="AG95" s="92"/>
      <c r="AH95" s="48">
        <f t="shared" si="14"/>
        <v>129.19999999999999</v>
      </c>
      <c r="AI95" s="49">
        <f t="shared" si="15"/>
        <v>122.8</v>
      </c>
    </row>
    <row r="96" spans="1:37" x14ac:dyDescent="0.25">
      <c r="A96" s="91" t="s">
        <v>98</v>
      </c>
      <c r="B96" s="65">
        <v>132.80000000000001</v>
      </c>
      <c r="C96" s="65">
        <v>132.4</v>
      </c>
      <c r="D96" s="65">
        <v>132.80000000000001</v>
      </c>
      <c r="E96" s="65">
        <v>132.80000000000001</v>
      </c>
      <c r="F96" s="65">
        <v>132.80000000000001</v>
      </c>
      <c r="G96" s="65">
        <v>131.6</v>
      </c>
      <c r="H96" s="65">
        <v>130.30000000000001</v>
      </c>
      <c r="I96" s="65">
        <v>128.9</v>
      </c>
      <c r="J96" s="65">
        <v>127.8</v>
      </c>
      <c r="K96" s="65">
        <v>127</v>
      </c>
      <c r="L96" s="65">
        <v>126.8</v>
      </c>
      <c r="M96" s="65">
        <v>125.9</v>
      </c>
      <c r="N96" s="65">
        <v>127.5</v>
      </c>
      <c r="O96" s="65">
        <v>127.7</v>
      </c>
      <c r="P96" s="65">
        <v>128.9</v>
      </c>
      <c r="Q96" s="65">
        <v>127.9</v>
      </c>
      <c r="R96" s="65">
        <v>127.8</v>
      </c>
      <c r="S96" s="65">
        <v>127.8</v>
      </c>
      <c r="T96" s="65">
        <v>128.4</v>
      </c>
      <c r="U96" s="65">
        <v>129.19999999999999</v>
      </c>
      <c r="V96" s="65">
        <v>129.30000000000001</v>
      </c>
      <c r="W96" s="65">
        <v>128</v>
      </c>
      <c r="X96" s="65">
        <v>129.1</v>
      </c>
      <c r="Y96" s="65">
        <v>128.6</v>
      </c>
      <c r="Z96" s="65">
        <v>129.1</v>
      </c>
      <c r="AA96" s="65">
        <v>130.5</v>
      </c>
      <c r="AB96" s="65">
        <v>130.5</v>
      </c>
      <c r="AC96" s="65">
        <v>131.1</v>
      </c>
      <c r="AD96" s="65">
        <v>130.80000000000001</v>
      </c>
      <c r="AE96" s="65">
        <v>131.6</v>
      </c>
      <c r="AF96" s="65">
        <v>131.6</v>
      </c>
      <c r="AG96" s="92"/>
      <c r="AH96" s="48">
        <f t="shared" si="14"/>
        <v>132.80000000000001</v>
      </c>
      <c r="AI96" s="49">
        <f t="shared" si="15"/>
        <v>125.9</v>
      </c>
    </row>
    <row r="97" spans="1:35" x14ac:dyDescent="0.25">
      <c r="A97" s="91" t="s">
        <v>99</v>
      </c>
      <c r="B97" s="65">
        <v>130.19999999999999</v>
      </c>
      <c r="C97" s="65">
        <v>131.9</v>
      </c>
      <c r="D97" s="65">
        <v>130.9</v>
      </c>
      <c r="E97" s="65">
        <v>132.6</v>
      </c>
      <c r="F97" s="65">
        <v>132.6</v>
      </c>
      <c r="G97" s="65">
        <v>131.5</v>
      </c>
      <c r="H97" s="65">
        <v>130.69999999999999</v>
      </c>
      <c r="I97" s="65">
        <v>130.69999999999999</v>
      </c>
      <c r="J97" s="65">
        <v>128.80000000000001</v>
      </c>
      <c r="K97" s="65">
        <v>127.8</v>
      </c>
      <c r="L97" s="65">
        <v>124.6</v>
      </c>
      <c r="M97" s="65">
        <v>127</v>
      </c>
      <c r="N97" s="65">
        <v>128.80000000000001</v>
      </c>
      <c r="O97" s="65">
        <v>129.69999999999999</v>
      </c>
      <c r="P97" s="65">
        <v>130.4</v>
      </c>
      <c r="Q97" s="65">
        <v>130.19999999999999</v>
      </c>
      <c r="R97" s="65">
        <v>130.9</v>
      </c>
      <c r="S97" s="65">
        <v>128.69999999999999</v>
      </c>
      <c r="T97" s="65">
        <v>128.69999999999999</v>
      </c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92"/>
      <c r="AH97" s="48">
        <f t="shared" si="14"/>
        <v>132.6</v>
      </c>
      <c r="AI97" s="49">
        <f t="shared" si="15"/>
        <v>124.6</v>
      </c>
    </row>
    <row r="98" spans="1:35" x14ac:dyDescent="0.25">
      <c r="A98" s="93" t="s">
        <v>100</v>
      </c>
      <c r="B98" s="65">
        <v>133.6</v>
      </c>
      <c r="C98" s="65">
        <v>133.9</v>
      </c>
      <c r="D98" s="65">
        <v>133.30000000000001</v>
      </c>
      <c r="E98" s="65">
        <v>134.69999999999999</v>
      </c>
      <c r="F98" s="65">
        <v>134.69999999999999</v>
      </c>
      <c r="G98" s="65">
        <v>133.9</v>
      </c>
      <c r="H98" s="65">
        <v>132.9</v>
      </c>
      <c r="I98" s="65">
        <v>132.9</v>
      </c>
      <c r="J98" s="65">
        <v>130.30000000000001</v>
      </c>
      <c r="K98" s="65">
        <v>131.69999999999999</v>
      </c>
      <c r="L98" s="65">
        <v>128.6</v>
      </c>
      <c r="M98" s="65">
        <v>129.69999999999999</v>
      </c>
      <c r="N98" s="65">
        <v>130.5</v>
      </c>
      <c r="O98" s="65">
        <v>131.4</v>
      </c>
      <c r="P98" s="65">
        <v>131.80000000000001</v>
      </c>
      <c r="Q98" s="65">
        <v>132.9</v>
      </c>
      <c r="R98" s="65">
        <v>133.9</v>
      </c>
      <c r="S98" s="65">
        <v>130.69999999999999</v>
      </c>
      <c r="T98" s="65">
        <v>130.69999999999999</v>
      </c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4"/>
        <v>134.69999999999999</v>
      </c>
      <c r="AI98" s="49">
        <f t="shared" si="15"/>
        <v>128.6</v>
      </c>
    </row>
    <row r="99" spans="1:35" x14ac:dyDescent="0.25">
      <c r="A99" s="93" t="s">
        <v>101</v>
      </c>
      <c r="B99" s="94">
        <v>134.5</v>
      </c>
      <c r="C99" s="94">
        <v>133.19999999999999</v>
      </c>
      <c r="D99" s="94">
        <v>134.5</v>
      </c>
      <c r="E99" s="94">
        <v>134</v>
      </c>
      <c r="F99" s="94">
        <v>134</v>
      </c>
      <c r="G99" s="94">
        <v>133</v>
      </c>
      <c r="H99" s="94">
        <v>131.69999999999999</v>
      </c>
      <c r="I99" s="94">
        <v>131.69999999999999</v>
      </c>
      <c r="J99" s="94">
        <v>131.30000000000001</v>
      </c>
      <c r="K99" s="94">
        <v>131.80000000000001</v>
      </c>
      <c r="L99" s="94">
        <v>130.69999999999999</v>
      </c>
      <c r="M99" s="94">
        <v>129.69999999999999</v>
      </c>
      <c r="N99" s="94">
        <v>133</v>
      </c>
      <c r="O99" s="94">
        <v>132.30000000000001</v>
      </c>
      <c r="P99" s="94">
        <v>133.9</v>
      </c>
      <c r="Q99" s="94">
        <v>133.6</v>
      </c>
      <c r="R99" s="94">
        <v>134.6</v>
      </c>
      <c r="S99" s="94">
        <v>134.5</v>
      </c>
      <c r="T99" s="94">
        <v>134.5</v>
      </c>
      <c r="U99" s="94">
        <v>134.19999999999999</v>
      </c>
      <c r="V99" s="94">
        <v>133.9</v>
      </c>
      <c r="W99" s="94">
        <v>133.30000000000001</v>
      </c>
      <c r="X99" s="94">
        <v>131.6</v>
      </c>
      <c r="Y99" s="94">
        <v>133.80000000000001</v>
      </c>
      <c r="Z99" s="94">
        <v>134.1</v>
      </c>
      <c r="AA99" s="94">
        <v>133.1</v>
      </c>
      <c r="AB99" s="94">
        <v>133.1</v>
      </c>
      <c r="AC99" s="94">
        <v>133</v>
      </c>
      <c r="AD99" s="94">
        <v>133</v>
      </c>
      <c r="AE99" s="94">
        <v>133</v>
      </c>
      <c r="AF99" s="94">
        <v>133</v>
      </c>
      <c r="AG99" s="95"/>
      <c r="AH99" s="48">
        <f t="shared" si="14"/>
        <v>134.6</v>
      </c>
      <c r="AI99" s="49">
        <f t="shared" si="15"/>
        <v>129.69999999999999</v>
      </c>
    </row>
    <row r="100" spans="1:35" x14ac:dyDescent="0.25">
      <c r="A100" s="91" t="s">
        <v>102</v>
      </c>
      <c r="B100" s="65">
        <v>134.4</v>
      </c>
      <c r="C100" s="65">
        <v>133.5</v>
      </c>
      <c r="D100" s="65">
        <v>134.9</v>
      </c>
      <c r="E100" s="65">
        <v>135</v>
      </c>
      <c r="F100" s="65">
        <v>135</v>
      </c>
      <c r="G100" s="65">
        <v>133.80000000000001</v>
      </c>
      <c r="H100" s="65">
        <v>132.5</v>
      </c>
      <c r="I100" s="65">
        <v>132.5</v>
      </c>
      <c r="J100" s="65">
        <v>130.19999999999999</v>
      </c>
      <c r="K100" s="65">
        <v>128.80000000000001</v>
      </c>
      <c r="L100" s="65">
        <v>128.19999999999999</v>
      </c>
      <c r="M100" s="65">
        <v>126.4</v>
      </c>
      <c r="N100" s="65">
        <v>128.5</v>
      </c>
      <c r="O100" s="65">
        <v>129.69999999999999</v>
      </c>
      <c r="P100" s="65">
        <v>131.30000000000001</v>
      </c>
      <c r="Q100" s="65">
        <v>133.6</v>
      </c>
      <c r="R100" s="65">
        <v>131.69999999999999</v>
      </c>
      <c r="S100" s="65">
        <v>130.9</v>
      </c>
      <c r="T100" s="65">
        <v>130.9</v>
      </c>
      <c r="U100" s="65">
        <v>130.5</v>
      </c>
      <c r="V100" s="65">
        <v>129.1</v>
      </c>
      <c r="W100" s="65">
        <v>131.5</v>
      </c>
      <c r="X100" s="65">
        <v>130.4</v>
      </c>
      <c r="Y100" s="65">
        <v>134.6</v>
      </c>
      <c r="Z100" s="65">
        <v>134.80000000000001</v>
      </c>
      <c r="AA100" s="65">
        <v>133.69999999999999</v>
      </c>
      <c r="AB100" s="65">
        <v>133.69999999999999</v>
      </c>
      <c r="AC100" s="65">
        <v>132.5</v>
      </c>
      <c r="AD100" s="65">
        <v>133</v>
      </c>
      <c r="AE100" s="65">
        <v>133</v>
      </c>
      <c r="AF100" s="65">
        <v>133</v>
      </c>
      <c r="AG100" s="92"/>
      <c r="AH100" s="48">
        <f t="shared" si="14"/>
        <v>135</v>
      </c>
      <c r="AI100" s="49">
        <f t="shared" si="15"/>
        <v>126.4</v>
      </c>
    </row>
    <row r="101" spans="1:35" ht="15.75" thickBot="1" x14ac:dyDescent="0.3">
      <c r="A101" s="91" t="s">
        <v>104</v>
      </c>
      <c r="B101" s="96">
        <v>67.099999999999994</v>
      </c>
      <c r="C101" s="96">
        <v>67</v>
      </c>
      <c r="D101" s="96">
        <v>67.099999999999994</v>
      </c>
      <c r="E101" s="96">
        <v>67</v>
      </c>
      <c r="F101" s="96">
        <v>67</v>
      </c>
      <c r="G101" s="96">
        <v>66.7</v>
      </c>
      <c r="H101" s="96">
        <v>65.8</v>
      </c>
      <c r="I101" s="96">
        <v>65</v>
      </c>
      <c r="J101" s="96">
        <v>64.2</v>
      </c>
      <c r="K101" s="96">
        <v>64.2</v>
      </c>
      <c r="L101" s="96">
        <v>63.8</v>
      </c>
      <c r="M101" s="96">
        <v>63.2</v>
      </c>
      <c r="N101" s="96">
        <v>64.099999999999994</v>
      </c>
      <c r="O101" s="96">
        <v>64.099999999999994</v>
      </c>
      <c r="P101" s="96">
        <v>64.400000000000006</v>
      </c>
      <c r="Q101" s="96">
        <v>64.099999999999994</v>
      </c>
      <c r="R101" s="96">
        <v>64.3</v>
      </c>
      <c r="S101" s="96">
        <v>64.8</v>
      </c>
      <c r="T101" s="96">
        <v>64.8</v>
      </c>
      <c r="U101" s="96">
        <v>64.900000000000006</v>
      </c>
      <c r="V101" s="96">
        <v>65.3</v>
      </c>
      <c r="W101" s="96">
        <v>64.5</v>
      </c>
      <c r="X101" s="96">
        <v>64.8</v>
      </c>
      <c r="Y101" s="96">
        <v>64.8</v>
      </c>
      <c r="Z101" s="96">
        <v>65.099999999999994</v>
      </c>
      <c r="AA101" s="96">
        <v>65.900000000000006</v>
      </c>
      <c r="AB101" s="96">
        <v>65.900000000000006</v>
      </c>
      <c r="AC101" s="96">
        <v>66.2</v>
      </c>
      <c r="AD101" s="96">
        <v>65.8</v>
      </c>
      <c r="AE101" s="96">
        <v>65.8</v>
      </c>
      <c r="AF101" s="96">
        <v>65.8</v>
      </c>
      <c r="AG101" s="97"/>
      <c r="AH101" s="48">
        <f t="shared" si="14"/>
        <v>67.099999999999994</v>
      </c>
      <c r="AI101" s="49">
        <f t="shared" si="15"/>
        <v>63.2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4"/>
        <v>0</v>
      </c>
      <c r="AI102" s="49">
        <f t="shared" si="15"/>
        <v>0</v>
      </c>
    </row>
    <row r="103" spans="1:35" ht="15.75" thickBot="1" x14ac:dyDescent="0.3">
      <c r="A103" s="99" t="s">
        <v>105</v>
      </c>
      <c r="B103" s="100">
        <f t="shared" ref="B103:AF103" si="26">SUM(B16,B22,B25:B26,B51,B53:B54,B56,B58,B104:B108,B130,B136,B142,B151,B153,B165,B172,B175:B176,B183,B185,B187,B191:B193,B195:B197,B202,B208:B209,B211:B213,B221,B226)</f>
        <v>57.800000000000004</v>
      </c>
      <c r="C103" s="100">
        <f t="shared" si="26"/>
        <v>53.840000000000018</v>
      </c>
      <c r="D103" s="100">
        <f t="shared" si="26"/>
        <v>52.839999999999989</v>
      </c>
      <c r="E103" s="100">
        <f t="shared" si="26"/>
        <v>51.240000000000016</v>
      </c>
      <c r="F103" s="100">
        <f t="shared" si="26"/>
        <v>54.44</v>
      </c>
      <c r="G103" s="100">
        <f t="shared" si="26"/>
        <v>75.040000000000035</v>
      </c>
      <c r="H103" s="100">
        <f t="shared" si="26"/>
        <v>112.54</v>
      </c>
      <c r="I103" s="100">
        <f t="shared" si="26"/>
        <v>154.03999999999996</v>
      </c>
      <c r="J103" s="100">
        <f t="shared" si="26"/>
        <v>181.44</v>
      </c>
      <c r="K103" s="100">
        <f t="shared" si="26"/>
        <v>239.03999999999996</v>
      </c>
      <c r="L103" s="100">
        <f t="shared" si="26"/>
        <v>240.94000000000005</v>
      </c>
      <c r="M103" s="100">
        <f t="shared" si="26"/>
        <v>250.74000000000004</v>
      </c>
      <c r="N103" s="100">
        <f t="shared" si="26"/>
        <v>228.14000000000001</v>
      </c>
      <c r="O103" s="100">
        <f t="shared" si="26"/>
        <v>215.04</v>
      </c>
      <c r="P103" s="100">
        <f t="shared" si="26"/>
        <v>210.94</v>
      </c>
      <c r="Q103" s="100">
        <f t="shared" si="26"/>
        <v>153.39999999999998</v>
      </c>
      <c r="R103" s="100">
        <f t="shared" si="26"/>
        <v>185.60000000000002</v>
      </c>
      <c r="S103" s="100">
        <f t="shared" si="26"/>
        <v>197.8</v>
      </c>
      <c r="T103" s="100">
        <f t="shared" si="26"/>
        <v>197.8</v>
      </c>
      <c r="U103" s="100">
        <f t="shared" si="26"/>
        <v>206.1</v>
      </c>
      <c r="V103" s="100">
        <f t="shared" si="26"/>
        <v>236.40000000000003</v>
      </c>
      <c r="W103" s="100">
        <f t="shared" si="26"/>
        <v>281.3</v>
      </c>
      <c r="X103" s="100">
        <f t="shared" si="26"/>
        <v>299.5</v>
      </c>
      <c r="Y103" s="100">
        <f t="shared" si="26"/>
        <v>291.70000000000005</v>
      </c>
      <c r="Z103" s="100">
        <f t="shared" si="26"/>
        <v>275.40000000000003</v>
      </c>
      <c r="AA103" s="100">
        <f t="shared" si="26"/>
        <v>257.70000000000005</v>
      </c>
      <c r="AB103" s="100">
        <f t="shared" si="26"/>
        <v>226.70000000000005</v>
      </c>
      <c r="AC103" s="100">
        <f t="shared" si="26"/>
        <v>214.10000000000002</v>
      </c>
      <c r="AD103" s="100">
        <f t="shared" si="26"/>
        <v>187.70000000000005</v>
      </c>
      <c r="AE103" s="100">
        <f t="shared" si="26"/>
        <v>105.80000000000001</v>
      </c>
      <c r="AF103" s="100">
        <f t="shared" si="26"/>
        <v>80.800000000000011</v>
      </c>
      <c r="AG103" s="101"/>
      <c r="AH103" s="48">
        <f t="shared" si="14"/>
        <v>299.5</v>
      </c>
      <c r="AI103" s="49">
        <f t="shared" si="15"/>
        <v>51.240000000000016</v>
      </c>
    </row>
    <row r="104" spans="1:35" x14ac:dyDescent="0.25">
      <c r="A104" s="88" t="s">
        <v>106</v>
      </c>
      <c r="B104" s="102">
        <v>27</v>
      </c>
      <c r="C104" s="102">
        <v>24.5</v>
      </c>
      <c r="D104" s="102">
        <v>28.2</v>
      </c>
      <c r="E104" s="102">
        <v>27.5</v>
      </c>
      <c r="F104" s="102">
        <v>31.1</v>
      </c>
      <c r="G104" s="102">
        <v>27.9</v>
      </c>
      <c r="H104" s="102">
        <v>39.1</v>
      </c>
      <c r="I104" s="102">
        <v>50</v>
      </c>
      <c r="J104" s="102">
        <v>52.5</v>
      </c>
      <c r="K104" s="102">
        <v>49</v>
      </c>
      <c r="L104" s="102">
        <v>43.9</v>
      </c>
      <c r="M104" s="102">
        <v>42.7</v>
      </c>
      <c r="N104" s="102">
        <v>49</v>
      </c>
      <c r="O104" s="102">
        <v>43.7</v>
      </c>
      <c r="P104" s="102">
        <v>44.7</v>
      </c>
      <c r="Q104" s="102" t="s">
        <v>252</v>
      </c>
      <c r="R104" s="102">
        <v>49.1</v>
      </c>
      <c r="S104" s="102">
        <v>47</v>
      </c>
      <c r="T104" s="102">
        <v>47</v>
      </c>
      <c r="U104" s="102">
        <v>43</v>
      </c>
      <c r="V104" s="102">
        <v>39.1</v>
      </c>
      <c r="W104" s="102">
        <v>38.5</v>
      </c>
      <c r="X104" s="102">
        <v>32.1</v>
      </c>
      <c r="Y104" s="102">
        <v>37.6</v>
      </c>
      <c r="Z104" s="102">
        <v>48</v>
      </c>
      <c r="AA104" s="102">
        <v>53.8</v>
      </c>
      <c r="AB104" s="102">
        <v>55</v>
      </c>
      <c r="AC104" s="102">
        <v>56.9</v>
      </c>
      <c r="AD104" s="102">
        <v>59</v>
      </c>
      <c r="AE104" s="102">
        <v>39</v>
      </c>
      <c r="AF104" s="102">
        <v>31</v>
      </c>
      <c r="AG104" s="103">
        <v>75</v>
      </c>
      <c r="AH104" s="48">
        <f t="shared" si="14"/>
        <v>59</v>
      </c>
      <c r="AI104" s="49">
        <f t="shared" si="15"/>
        <v>24.5</v>
      </c>
    </row>
    <row r="105" spans="1:35" x14ac:dyDescent="0.25">
      <c r="A105" s="91" t="s">
        <v>107</v>
      </c>
      <c r="B105" s="104">
        <v>43.6</v>
      </c>
      <c r="C105" s="104">
        <v>38.9</v>
      </c>
      <c r="D105" s="104">
        <v>44.1</v>
      </c>
      <c r="E105" s="104">
        <v>45.1</v>
      </c>
      <c r="F105" s="104">
        <v>50.1</v>
      </c>
      <c r="G105" s="104">
        <v>49.2</v>
      </c>
      <c r="H105" s="104">
        <v>65.8</v>
      </c>
      <c r="I105" s="104">
        <v>82</v>
      </c>
      <c r="J105" s="104">
        <v>81.8</v>
      </c>
      <c r="K105" s="104">
        <v>75</v>
      </c>
      <c r="L105" s="104">
        <v>66.400000000000006</v>
      </c>
      <c r="M105" s="104">
        <v>65.8</v>
      </c>
      <c r="N105" s="104">
        <v>74.900000000000006</v>
      </c>
      <c r="O105" s="104">
        <v>68.7</v>
      </c>
      <c r="P105" s="104">
        <v>71.2</v>
      </c>
      <c r="Q105" s="104">
        <v>76.3</v>
      </c>
      <c r="R105" s="104">
        <v>76.5</v>
      </c>
      <c r="S105" s="104">
        <v>74.400000000000006</v>
      </c>
      <c r="T105" s="104">
        <v>74.400000000000006</v>
      </c>
      <c r="U105" s="104">
        <v>67.8</v>
      </c>
      <c r="V105" s="104">
        <v>60.6</v>
      </c>
      <c r="W105" s="104">
        <v>54.5</v>
      </c>
      <c r="X105" s="104">
        <v>45.6</v>
      </c>
      <c r="Y105" s="104">
        <v>52</v>
      </c>
      <c r="Z105" s="104">
        <v>68.2</v>
      </c>
      <c r="AA105" s="104">
        <v>76.8</v>
      </c>
      <c r="AB105" s="104">
        <v>81</v>
      </c>
      <c r="AC105" s="104">
        <v>83.5</v>
      </c>
      <c r="AD105" s="104">
        <v>86</v>
      </c>
      <c r="AE105" s="104">
        <v>58</v>
      </c>
      <c r="AF105" s="104">
        <v>48</v>
      </c>
      <c r="AG105" s="103">
        <v>240</v>
      </c>
      <c r="AH105" s="48">
        <f t="shared" si="14"/>
        <v>86</v>
      </c>
      <c r="AI105" s="49">
        <f t="shared" si="15"/>
        <v>38.9</v>
      </c>
    </row>
    <row r="106" spans="1:35" x14ac:dyDescent="0.25">
      <c r="A106" s="91" t="s">
        <v>108</v>
      </c>
      <c r="B106" s="104">
        <f>-66-70</f>
        <v>-136</v>
      </c>
      <c r="C106" s="104">
        <f>-65-68</f>
        <v>-133</v>
      </c>
      <c r="D106" s="104">
        <f>-68-73</f>
        <v>-141</v>
      </c>
      <c r="E106" s="104">
        <v>-143.19999999999999</v>
      </c>
      <c r="F106" s="104">
        <v>-148</v>
      </c>
      <c r="G106" s="104">
        <v>-135</v>
      </c>
      <c r="H106" s="104">
        <v>-136</v>
      </c>
      <c r="I106" s="104">
        <v>-125</v>
      </c>
      <c r="J106" s="104">
        <v>-102</v>
      </c>
      <c r="K106" s="104">
        <v>-42</v>
      </c>
      <c r="L106" s="104">
        <v>-32</v>
      </c>
      <c r="M106" s="104">
        <v>-14.7</v>
      </c>
      <c r="N106" s="104">
        <v>-50</v>
      </c>
      <c r="O106" s="104">
        <v>-52</v>
      </c>
      <c r="P106" s="104">
        <v>-58.6</v>
      </c>
      <c r="Q106" s="104">
        <v>-73.8</v>
      </c>
      <c r="R106" s="104">
        <v>-90</v>
      </c>
      <c r="S106" s="104">
        <f>-43-46</f>
        <v>-89</v>
      </c>
      <c r="T106" s="104">
        <f>-43-46</f>
        <v>-89</v>
      </c>
      <c r="U106" s="104">
        <f>-35.7-38.4</f>
        <v>-74.099999999999994</v>
      </c>
      <c r="V106" s="104">
        <f>-18-20</f>
        <v>-38</v>
      </c>
      <c r="W106" s="104">
        <f>7.6+7</f>
        <v>14.6</v>
      </c>
      <c r="X106" s="104">
        <v>16.799999999999997</v>
      </c>
      <c r="Y106" s="104">
        <f>12.9+12.2</f>
        <v>25.1</v>
      </c>
      <c r="Z106" s="104">
        <f>-3.3-3</f>
        <v>-6.3</v>
      </c>
      <c r="AA106" s="104">
        <f>-16.2-18.4</f>
        <v>-34.599999999999994</v>
      </c>
      <c r="AB106" s="104">
        <v>-66</v>
      </c>
      <c r="AC106" s="104">
        <v>-80</v>
      </c>
      <c r="AD106" s="104">
        <v>-106</v>
      </c>
      <c r="AE106" s="104">
        <v>-123</v>
      </c>
      <c r="AF106" s="104">
        <v>-135</v>
      </c>
      <c r="AG106" s="103">
        <v>240</v>
      </c>
      <c r="AH106" s="48">
        <f t="shared" si="14"/>
        <v>25.1</v>
      </c>
      <c r="AI106" s="49">
        <f t="shared" si="15"/>
        <v>-148</v>
      </c>
    </row>
    <row r="107" spans="1:35" x14ac:dyDescent="0.25">
      <c r="A107" s="91" t="s">
        <v>109</v>
      </c>
      <c r="B107" s="104">
        <v>-9.6</v>
      </c>
      <c r="C107" s="104">
        <v>-10.3</v>
      </c>
      <c r="D107" s="104">
        <v>-12.2</v>
      </c>
      <c r="E107" s="104">
        <v>-11.9</v>
      </c>
      <c r="F107" s="104">
        <v>-12.5</v>
      </c>
      <c r="G107" s="104">
        <v>-10.8</v>
      </c>
      <c r="H107" s="104">
        <v>-8.6999999999999993</v>
      </c>
      <c r="I107" s="104">
        <v>-5.3</v>
      </c>
      <c r="J107" s="104">
        <v>-3.7</v>
      </c>
      <c r="K107" s="104">
        <v>4.2</v>
      </c>
      <c r="L107" s="104">
        <v>9.8000000000000007</v>
      </c>
      <c r="M107" s="104">
        <v>9.1</v>
      </c>
      <c r="N107" s="104">
        <v>6.4</v>
      </c>
      <c r="O107" s="104">
        <v>8.4</v>
      </c>
      <c r="P107" s="104">
        <v>7.4</v>
      </c>
      <c r="Q107" s="104">
        <v>6.2</v>
      </c>
      <c r="R107" s="104">
        <v>4.3</v>
      </c>
      <c r="S107" s="104">
        <v>1.7</v>
      </c>
      <c r="T107" s="104">
        <v>1.7</v>
      </c>
      <c r="U107" s="104">
        <v>5.7</v>
      </c>
      <c r="V107" s="104">
        <v>11</v>
      </c>
      <c r="W107" s="104">
        <v>28</v>
      </c>
      <c r="X107" s="104">
        <v>59.3</v>
      </c>
      <c r="Y107" s="104">
        <v>31.3</v>
      </c>
      <c r="Z107" s="104">
        <v>19.8</v>
      </c>
      <c r="AA107" s="104">
        <v>16</v>
      </c>
      <c r="AB107" s="104">
        <v>11</v>
      </c>
      <c r="AC107" s="104">
        <v>8</v>
      </c>
      <c r="AD107" s="104">
        <v>3</v>
      </c>
      <c r="AE107" s="104">
        <v>-6</v>
      </c>
      <c r="AF107" s="104">
        <v>-8</v>
      </c>
      <c r="AG107" s="103">
        <v>60</v>
      </c>
      <c r="AH107" s="48">
        <f t="shared" si="14"/>
        <v>59.3</v>
      </c>
      <c r="AI107" s="49">
        <f t="shared" si="15"/>
        <v>-12.5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14"/>
        <v>0</v>
      </c>
      <c r="AI108" s="49">
        <f t="shared" si="15"/>
        <v>0</v>
      </c>
    </row>
    <row r="109" spans="1:35" x14ac:dyDescent="0.25">
      <c r="A109" s="105" t="s">
        <v>111</v>
      </c>
      <c r="B109" s="106">
        <v>-26</v>
      </c>
      <c r="C109" s="106">
        <v>-2.7</v>
      </c>
      <c r="D109" s="106">
        <v>-11</v>
      </c>
      <c r="E109" s="106">
        <v>-12.9</v>
      </c>
      <c r="F109" s="106">
        <v>-21.6</v>
      </c>
      <c r="G109" s="106">
        <v>-5.8</v>
      </c>
      <c r="H109" s="106">
        <v>-7</v>
      </c>
      <c r="I109" s="106">
        <v>5.0999999999999996</v>
      </c>
      <c r="J109" s="106">
        <v>22.6</v>
      </c>
      <c r="K109" s="106">
        <v>69.3</v>
      </c>
      <c r="L109" s="106">
        <v>74.599999999999994</v>
      </c>
      <c r="M109" s="106">
        <v>98.7</v>
      </c>
      <c r="N109" s="106">
        <v>58.4</v>
      </c>
      <c r="O109" s="106">
        <v>65.5</v>
      </c>
      <c r="P109" s="106">
        <v>52</v>
      </c>
      <c r="Q109" s="106">
        <v>27.3</v>
      </c>
      <c r="R109" s="106">
        <v>14.9</v>
      </c>
      <c r="S109" s="106">
        <v>14.9</v>
      </c>
      <c r="T109" s="106">
        <v>16.2</v>
      </c>
      <c r="U109" s="106">
        <v>30.4</v>
      </c>
      <c r="V109" s="106">
        <v>43</v>
      </c>
      <c r="W109" s="106">
        <v>93</v>
      </c>
      <c r="X109" s="106">
        <v>68.8</v>
      </c>
      <c r="Y109" s="106">
        <v>87</v>
      </c>
      <c r="Z109" s="106">
        <v>61.2</v>
      </c>
      <c r="AA109" s="106">
        <v>34</v>
      </c>
      <c r="AB109" s="106">
        <v>5</v>
      </c>
      <c r="AC109" s="106">
        <v>-4.5</v>
      </c>
      <c r="AD109" s="106">
        <v>-27</v>
      </c>
      <c r="AE109" s="106">
        <v>-15</v>
      </c>
      <c r="AF109" s="106">
        <v>-2</v>
      </c>
      <c r="AG109" s="107"/>
      <c r="AH109" s="48">
        <f t="shared" si="14"/>
        <v>98.7</v>
      </c>
      <c r="AI109" s="49">
        <f t="shared" si="15"/>
        <v>-27</v>
      </c>
    </row>
    <row r="110" spans="1:35" x14ac:dyDescent="0.25">
      <c r="A110" s="105" t="s">
        <v>112</v>
      </c>
      <c r="B110" s="106">
        <v>6.2</v>
      </c>
      <c r="C110" s="106">
        <v>10.199999999999999</v>
      </c>
      <c r="D110" s="106">
        <v>4.5999999999999996</v>
      </c>
      <c r="E110" s="106">
        <v>11.7</v>
      </c>
      <c r="F110" s="106">
        <v>15.2</v>
      </c>
      <c r="G110" s="106">
        <v>3.2</v>
      </c>
      <c r="H110" s="106">
        <v>2.5</v>
      </c>
      <c r="I110" s="106">
        <v>6.3</v>
      </c>
      <c r="J110" s="106">
        <v>11.1</v>
      </c>
      <c r="K110" s="106">
        <v>23</v>
      </c>
      <c r="L110" s="106">
        <v>29.5</v>
      </c>
      <c r="M110" s="106">
        <v>33.700000000000003</v>
      </c>
      <c r="N110" s="106">
        <v>12.2</v>
      </c>
      <c r="O110" s="106">
        <v>30.8</v>
      </c>
      <c r="P110" s="106">
        <v>26.1</v>
      </c>
      <c r="Q110" s="106">
        <v>17.899999999999999</v>
      </c>
      <c r="R110" s="106">
        <v>13.6</v>
      </c>
      <c r="S110" s="106">
        <v>13.6</v>
      </c>
      <c r="T110" s="106">
        <v>18.3</v>
      </c>
      <c r="U110" s="106">
        <v>20.2</v>
      </c>
      <c r="V110" s="106">
        <v>41</v>
      </c>
      <c r="W110" s="106">
        <v>49</v>
      </c>
      <c r="X110" s="106">
        <v>53.2</v>
      </c>
      <c r="Y110" s="106">
        <v>46</v>
      </c>
      <c r="Z110" s="106">
        <v>29.2</v>
      </c>
      <c r="AA110" s="106">
        <v>14</v>
      </c>
      <c r="AB110" s="106">
        <v>12</v>
      </c>
      <c r="AC110" s="106">
        <v>7</v>
      </c>
      <c r="AD110" s="106">
        <v>-1</v>
      </c>
      <c r="AE110" s="106">
        <v>5</v>
      </c>
      <c r="AF110" s="106">
        <v>2.4</v>
      </c>
      <c r="AG110" s="108"/>
      <c r="AH110" s="48">
        <f t="shared" si="14"/>
        <v>53.2</v>
      </c>
      <c r="AI110" s="49">
        <f t="shared" si="15"/>
        <v>-1</v>
      </c>
    </row>
    <row r="111" spans="1:35" x14ac:dyDescent="0.25">
      <c r="A111" s="109" t="s">
        <v>113</v>
      </c>
      <c r="B111" s="94">
        <v>60.1</v>
      </c>
      <c r="C111" s="94">
        <v>61.4</v>
      </c>
      <c r="D111" s="94">
        <v>63.7</v>
      </c>
      <c r="E111" s="94">
        <v>65.400000000000006</v>
      </c>
      <c r="F111" s="94">
        <v>65.400000000000006</v>
      </c>
      <c r="G111" s="94">
        <v>61.1</v>
      </c>
      <c r="H111" s="94">
        <v>59.4</v>
      </c>
      <c r="I111" s="94">
        <v>49.3</v>
      </c>
      <c r="J111" s="94">
        <v>47.4</v>
      </c>
      <c r="K111" s="94">
        <v>41.9</v>
      </c>
      <c r="L111" s="94">
        <v>36.4</v>
      </c>
      <c r="M111" s="94">
        <v>33.700000000000003</v>
      </c>
      <c r="N111" s="94">
        <v>42.1</v>
      </c>
      <c r="O111" s="94">
        <v>43.8</v>
      </c>
      <c r="P111" s="94">
        <v>43.1</v>
      </c>
      <c r="Q111" s="94">
        <v>47.7</v>
      </c>
      <c r="R111" s="94">
        <v>51.7</v>
      </c>
      <c r="S111" s="94">
        <v>51.7</v>
      </c>
      <c r="T111" s="94">
        <v>47</v>
      </c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108"/>
      <c r="AH111" s="48">
        <f t="shared" si="14"/>
        <v>65.400000000000006</v>
      </c>
      <c r="AI111" s="49">
        <f t="shared" si="15"/>
        <v>33.700000000000003</v>
      </c>
    </row>
    <row r="112" spans="1:35" ht="15.75" thickBot="1" x14ac:dyDescent="0.3">
      <c r="A112" s="109" t="s">
        <v>114</v>
      </c>
      <c r="B112" s="94">
        <v>93.6</v>
      </c>
      <c r="C112" s="94">
        <v>92.1</v>
      </c>
      <c r="D112" s="94">
        <v>96.5</v>
      </c>
      <c r="E112" s="94">
        <v>97.6</v>
      </c>
      <c r="F112" s="94">
        <v>101.2</v>
      </c>
      <c r="G112" s="94">
        <v>95.2</v>
      </c>
      <c r="H112" s="94">
        <v>100.3</v>
      </c>
      <c r="I112" s="94">
        <v>95</v>
      </c>
      <c r="J112" s="94">
        <v>74.400000000000006</v>
      </c>
      <c r="K112" s="94">
        <v>32.5</v>
      </c>
      <c r="L112" s="94">
        <v>24.3</v>
      </c>
      <c r="M112" s="94">
        <v>9</v>
      </c>
      <c r="N112" s="94">
        <v>38.6</v>
      </c>
      <c r="O112" s="94">
        <v>33.799999999999997</v>
      </c>
      <c r="P112" s="94">
        <v>41.7</v>
      </c>
      <c r="Q112" s="94">
        <v>56.3</v>
      </c>
      <c r="R112" s="94">
        <v>64.7</v>
      </c>
      <c r="S112" s="94">
        <v>64.7</v>
      </c>
      <c r="T112" s="94">
        <v>62.5</v>
      </c>
      <c r="U112" s="94">
        <v>57.9</v>
      </c>
      <c r="V112" s="94">
        <v>25</v>
      </c>
      <c r="W112" s="94">
        <v>-12.5</v>
      </c>
      <c r="X112" s="94"/>
      <c r="Y112" s="94">
        <v>-10.6</v>
      </c>
      <c r="Z112" s="94">
        <v>8.3000000000000007</v>
      </c>
      <c r="AA112" s="94">
        <v>29.2</v>
      </c>
      <c r="AB112" s="94">
        <v>54</v>
      </c>
      <c r="AC112" s="94">
        <v>64</v>
      </c>
      <c r="AD112" s="94">
        <v>83</v>
      </c>
      <c r="AE112" s="94">
        <v>95</v>
      </c>
      <c r="AF112" s="94">
        <v>93</v>
      </c>
      <c r="AG112" s="108"/>
      <c r="AH112" s="48">
        <f t="shared" si="14"/>
        <v>101.2</v>
      </c>
      <c r="AI112" s="49">
        <f t="shared" si="15"/>
        <v>-12.5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27">SUM(B114:B218)</f>
        <v>0</v>
      </c>
      <c r="C219" s="125">
        <f t="shared" si="27"/>
        <v>0</v>
      </c>
      <c r="D219" s="125">
        <f t="shared" si="27"/>
        <v>0</v>
      </c>
      <c r="E219" s="125">
        <f t="shared" si="27"/>
        <v>0</v>
      </c>
      <c r="F219" s="125">
        <f t="shared" si="27"/>
        <v>0</v>
      </c>
      <c r="G219" s="125">
        <f t="shared" si="27"/>
        <v>0</v>
      </c>
      <c r="H219" s="125">
        <f t="shared" si="27"/>
        <v>0</v>
      </c>
      <c r="I219" s="125">
        <f t="shared" si="27"/>
        <v>0</v>
      </c>
      <c r="J219" s="125">
        <f t="shared" si="27"/>
        <v>0</v>
      </c>
      <c r="K219" s="125">
        <f t="shared" si="27"/>
        <v>0</v>
      </c>
      <c r="L219" s="125">
        <f t="shared" si="27"/>
        <v>0</v>
      </c>
      <c r="M219" s="125">
        <f t="shared" si="27"/>
        <v>0</v>
      </c>
      <c r="N219" s="125">
        <f t="shared" si="27"/>
        <v>0</v>
      </c>
      <c r="O219" s="125">
        <f t="shared" si="27"/>
        <v>0</v>
      </c>
      <c r="P219" s="125">
        <f t="shared" si="27"/>
        <v>0</v>
      </c>
      <c r="Q219" s="125">
        <f t="shared" si="27"/>
        <v>0</v>
      </c>
      <c r="R219" s="125">
        <f t="shared" si="27"/>
        <v>0</v>
      </c>
      <c r="S219" s="125">
        <f t="shared" si="27"/>
        <v>0</v>
      </c>
      <c r="T219" s="125">
        <f t="shared" si="27"/>
        <v>0</v>
      </c>
      <c r="U219" s="125">
        <f t="shared" si="27"/>
        <v>0</v>
      </c>
      <c r="V219" s="125">
        <f t="shared" si="27"/>
        <v>0</v>
      </c>
      <c r="W219" s="125">
        <f t="shared" si="27"/>
        <v>0</v>
      </c>
      <c r="X219" s="125">
        <f t="shared" si="27"/>
        <v>0</v>
      </c>
      <c r="Y219" s="125">
        <f t="shared" si="27"/>
        <v>0</v>
      </c>
      <c r="Z219" s="125">
        <f t="shared" si="27"/>
        <v>0</v>
      </c>
      <c r="AA219" s="125">
        <f t="shared" si="27"/>
        <v>0</v>
      </c>
      <c r="AB219" s="125">
        <f t="shared" si="27"/>
        <v>0</v>
      </c>
      <c r="AC219" s="125">
        <f t="shared" si="27"/>
        <v>0</v>
      </c>
      <c r="AD219" s="125">
        <f t="shared" si="27"/>
        <v>0</v>
      </c>
      <c r="AE219" s="125">
        <f t="shared" si="27"/>
        <v>0</v>
      </c>
      <c r="AF219" s="126">
        <f t="shared" si="27"/>
        <v>0</v>
      </c>
      <c r="AG219" s="127">
        <f t="shared" si="27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28">AF221</f>
        <v>0</v>
      </c>
      <c r="C221" s="129">
        <v>0.3</v>
      </c>
      <c r="D221" s="129">
        <f t="shared" ref="D221:P226" si="29">C221</f>
        <v>0.3</v>
      </c>
      <c r="E221" s="129">
        <f t="shared" si="29"/>
        <v>0.3</v>
      </c>
      <c r="F221" s="129">
        <f t="shared" si="29"/>
        <v>0.3</v>
      </c>
      <c r="G221" s="129">
        <f t="shared" si="29"/>
        <v>0.3</v>
      </c>
      <c r="H221" s="129">
        <f t="shared" si="29"/>
        <v>0.3</v>
      </c>
      <c r="I221" s="129">
        <f t="shared" si="29"/>
        <v>0.3</v>
      </c>
      <c r="J221" s="129">
        <f t="shared" si="29"/>
        <v>0.3</v>
      </c>
      <c r="K221" s="129">
        <f t="shared" si="29"/>
        <v>0.3</v>
      </c>
      <c r="L221" s="129">
        <f t="shared" si="29"/>
        <v>0.3</v>
      </c>
      <c r="M221" s="129">
        <f t="shared" si="29"/>
        <v>0.3</v>
      </c>
      <c r="N221" s="129">
        <f t="shared" si="29"/>
        <v>0.3</v>
      </c>
      <c r="O221" s="129">
        <f t="shared" si="29"/>
        <v>0.3</v>
      </c>
      <c r="P221" s="129">
        <f t="shared" si="29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28"/>
        <v>0</v>
      </c>
      <c r="C222" s="117">
        <v>0.4</v>
      </c>
      <c r="D222" s="117">
        <f t="shared" si="29"/>
        <v>0.4</v>
      </c>
      <c r="E222" s="117">
        <f t="shared" si="29"/>
        <v>0.4</v>
      </c>
      <c r="F222" s="117">
        <f t="shared" si="29"/>
        <v>0.4</v>
      </c>
      <c r="G222" s="117">
        <f t="shared" si="29"/>
        <v>0.4</v>
      </c>
      <c r="H222" s="117">
        <f t="shared" si="29"/>
        <v>0.4</v>
      </c>
      <c r="I222" s="117">
        <f t="shared" si="29"/>
        <v>0.4</v>
      </c>
      <c r="J222" s="117">
        <f t="shared" si="29"/>
        <v>0.4</v>
      </c>
      <c r="K222" s="117">
        <f t="shared" si="29"/>
        <v>0.4</v>
      </c>
      <c r="L222" s="117">
        <f t="shared" si="29"/>
        <v>0.4</v>
      </c>
      <c r="M222" s="117">
        <f t="shared" si="29"/>
        <v>0.4</v>
      </c>
      <c r="N222" s="117">
        <f t="shared" si="29"/>
        <v>0.4</v>
      </c>
      <c r="O222" s="117">
        <f t="shared" si="29"/>
        <v>0.4</v>
      </c>
      <c r="P222" s="117">
        <f t="shared" si="29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28"/>
        <v>0</v>
      </c>
      <c r="C223" s="117">
        <v>1.5</v>
      </c>
      <c r="D223" s="117">
        <f t="shared" si="29"/>
        <v>1.5</v>
      </c>
      <c r="E223" s="117">
        <f t="shared" si="29"/>
        <v>1.5</v>
      </c>
      <c r="F223" s="117">
        <f t="shared" si="29"/>
        <v>1.5</v>
      </c>
      <c r="G223" s="117">
        <f t="shared" si="29"/>
        <v>1.5</v>
      </c>
      <c r="H223" s="117">
        <f t="shared" si="29"/>
        <v>1.5</v>
      </c>
      <c r="I223" s="117">
        <f t="shared" si="29"/>
        <v>1.5</v>
      </c>
      <c r="J223" s="117">
        <f t="shared" si="29"/>
        <v>1.5</v>
      </c>
      <c r="K223" s="117">
        <f t="shared" si="29"/>
        <v>1.5</v>
      </c>
      <c r="L223" s="117">
        <f t="shared" si="29"/>
        <v>1.5</v>
      </c>
      <c r="M223" s="117">
        <f t="shared" si="29"/>
        <v>1.5</v>
      </c>
      <c r="N223" s="117">
        <f t="shared" si="29"/>
        <v>1.5</v>
      </c>
      <c r="O223" s="117">
        <f t="shared" si="29"/>
        <v>1.5</v>
      </c>
      <c r="P223" s="117">
        <f t="shared" si="29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28"/>
        <v>0</v>
      </c>
      <c r="C224" s="117">
        <v>0.3</v>
      </c>
      <c r="D224" s="117">
        <f t="shared" si="29"/>
        <v>0.3</v>
      </c>
      <c r="E224" s="117">
        <f t="shared" si="29"/>
        <v>0.3</v>
      </c>
      <c r="F224" s="117">
        <f t="shared" si="29"/>
        <v>0.3</v>
      </c>
      <c r="G224" s="117">
        <f t="shared" si="29"/>
        <v>0.3</v>
      </c>
      <c r="H224" s="117">
        <f t="shared" si="29"/>
        <v>0.3</v>
      </c>
      <c r="I224" s="117">
        <f t="shared" si="29"/>
        <v>0.3</v>
      </c>
      <c r="J224" s="117">
        <f t="shared" si="29"/>
        <v>0.3</v>
      </c>
      <c r="K224" s="117">
        <f t="shared" si="29"/>
        <v>0.3</v>
      </c>
      <c r="L224" s="117">
        <f t="shared" si="29"/>
        <v>0.3</v>
      </c>
      <c r="M224" s="117">
        <f t="shared" si="29"/>
        <v>0.3</v>
      </c>
      <c r="N224" s="117">
        <f t="shared" si="29"/>
        <v>0.3</v>
      </c>
      <c r="O224" s="117">
        <f t="shared" si="29"/>
        <v>0.3</v>
      </c>
      <c r="P224" s="117">
        <f t="shared" si="29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28"/>
        <v>0</v>
      </c>
      <c r="C225" s="117">
        <v>0.4</v>
      </c>
      <c r="D225" s="117">
        <f t="shared" si="29"/>
        <v>0.4</v>
      </c>
      <c r="E225" s="117">
        <f t="shared" si="29"/>
        <v>0.4</v>
      </c>
      <c r="F225" s="117">
        <f t="shared" si="29"/>
        <v>0.4</v>
      </c>
      <c r="G225" s="117">
        <f t="shared" si="29"/>
        <v>0.4</v>
      </c>
      <c r="H225" s="117">
        <f t="shared" si="29"/>
        <v>0.4</v>
      </c>
      <c r="I225" s="117">
        <f t="shared" si="29"/>
        <v>0.4</v>
      </c>
      <c r="J225" s="117">
        <f t="shared" si="29"/>
        <v>0.4</v>
      </c>
      <c r="K225" s="117">
        <f t="shared" si="29"/>
        <v>0.4</v>
      </c>
      <c r="L225" s="117">
        <f t="shared" si="29"/>
        <v>0.4</v>
      </c>
      <c r="M225" s="117">
        <f t="shared" si="29"/>
        <v>0.4</v>
      </c>
      <c r="N225" s="117">
        <f t="shared" si="29"/>
        <v>0.4</v>
      </c>
      <c r="O225" s="117">
        <f t="shared" si="29"/>
        <v>0.4</v>
      </c>
      <c r="P225" s="117">
        <f t="shared" si="29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28"/>
        <v>0</v>
      </c>
      <c r="C226" s="121">
        <v>0.64</v>
      </c>
      <c r="D226" s="121">
        <f t="shared" si="29"/>
        <v>0.64</v>
      </c>
      <c r="E226" s="121">
        <f t="shared" si="29"/>
        <v>0.64</v>
      </c>
      <c r="F226" s="121">
        <f t="shared" si="29"/>
        <v>0.64</v>
      </c>
      <c r="G226" s="121">
        <f t="shared" si="29"/>
        <v>0.64</v>
      </c>
      <c r="H226" s="121">
        <f t="shared" si="29"/>
        <v>0.64</v>
      </c>
      <c r="I226" s="121">
        <f t="shared" si="29"/>
        <v>0.64</v>
      </c>
      <c r="J226" s="121">
        <f t="shared" si="29"/>
        <v>0.64</v>
      </c>
      <c r="K226" s="121">
        <f t="shared" si="29"/>
        <v>0.64</v>
      </c>
      <c r="L226" s="121">
        <f t="shared" si="29"/>
        <v>0.64</v>
      </c>
      <c r="M226" s="121">
        <f t="shared" si="29"/>
        <v>0.64</v>
      </c>
      <c r="N226" s="121">
        <f t="shared" si="29"/>
        <v>0.64</v>
      </c>
      <c r="O226" s="121">
        <f t="shared" si="29"/>
        <v>0.64</v>
      </c>
      <c r="P226" s="121">
        <f t="shared" si="29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30">SUM(B221:B226)</f>
        <v>0</v>
      </c>
      <c r="C227" s="125">
        <f t="shared" si="30"/>
        <v>3.54</v>
      </c>
      <c r="D227" s="125">
        <f t="shared" si="30"/>
        <v>3.54</v>
      </c>
      <c r="E227" s="125">
        <f t="shared" si="30"/>
        <v>3.54</v>
      </c>
      <c r="F227" s="125">
        <f t="shared" si="30"/>
        <v>3.54</v>
      </c>
      <c r="G227" s="125">
        <f t="shared" si="30"/>
        <v>3.54</v>
      </c>
      <c r="H227" s="125">
        <f t="shared" si="30"/>
        <v>3.54</v>
      </c>
      <c r="I227" s="125">
        <f t="shared" si="30"/>
        <v>3.54</v>
      </c>
      <c r="J227" s="125">
        <f t="shared" si="30"/>
        <v>3.54</v>
      </c>
      <c r="K227" s="125">
        <f t="shared" si="30"/>
        <v>3.54</v>
      </c>
      <c r="L227" s="125">
        <f t="shared" si="30"/>
        <v>3.54</v>
      </c>
      <c r="M227" s="125">
        <f t="shared" si="30"/>
        <v>3.54</v>
      </c>
      <c r="N227" s="125">
        <f t="shared" si="30"/>
        <v>3.54</v>
      </c>
      <c r="O227" s="125">
        <f t="shared" si="30"/>
        <v>3.54</v>
      </c>
      <c r="P227" s="125">
        <f t="shared" si="30"/>
        <v>3.54</v>
      </c>
      <c r="Q227" s="125">
        <f t="shared" si="30"/>
        <v>0</v>
      </c>
      <c r="R227" s="125">
        <f t="shared" si="30"/>
        <v>0</v>
      </c>
      <c r="S227" s="125">
        <f t="shared" si="30"/>
        <v>0</v>
      </c>
      <c r="T227" s="125">
        <f t="shared" si="30"/>
        <v>0</v>
      </c>
      <c r="U227" s="125">
        <f t="shared" si="30"/>
        <v>0</v>
      </c>
      <c r="V227" s="125">
        <f t="shared" si="30"/>
        <v>0</v>
      </c>
      <c r="W227" s="125">
        <f t="shared" si="30"/>
        <v>0</v>
      </c>
      <c r="X227" s="125">
        <f t="shared" si="30"/>
        <v>0</v>
      </c>
      <c r="Y227" s="125">
        <f t="shared" si="30"/>
        <v>0</v>
      </c>
      <c r="Z227" s="125">
        <f t="shared" si="30"/>
        <v>0</v>
      </c>
      <c r="AA227" s="125">
        <f t="shared" si="30"/>
        <v>0</v>
      </c>
      <c r="AB227" s="125">
        <f t="shared" si="30"/>
        <v>0</v>
      </c>
      <c r="AC227" s="125">
        <f t="shared" si="30"/>
        <v>0</v>
      </c>
      <c r="AD227" s="125">
        <f t="shared" si="30"/>
        <v>0</v>
      </c>
      <c r="AE227" s="125">
        <f t="shared" si="30"/>
        <v>0</v>
      </c>
      <c r="AF227" s="125">
        <f t="shared" si="30"/>
        <v>0</v>
      </c>
      <c r="AG227" s="134">
        <f t="shared" si="30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1636.8400000000001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9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2079/08/9)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2079/08/9)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31">B84</f>
        <v>1119.44</v>
      </c>
      <c r="U241" s="159">
        <f t="shared" si="31"/>
        <v>1033.74</v>
      </c>
      <c r="V241" s="159">
        <f t="shared" si="31"/>
        <v>1005.94</v>
      </c>
      <c r="W241" s="159">
        <f t="shared" si="31"/>
        <v>1004.6400000000001</v>
      </c>
      <c r="X241" s="159">
        <f t="shared" si="31"/>
        <v>1033.6400000000001</v>
      </c>
      <c r="Y241" s="159">
        <f t="shared" si="31"/>
        <v>1080.6400000000001</v>
      </c>
      <c r="Z241" s="159">
        <f t="shared" si="31"/>
        <v>1122.04</v>
      </c>
      <c r="AA241" s="159">
        <f t="shared" si="31"/>
        <v>1206.3400000000001</v>
      </c>
      <c r="AB241" s="159">
        <f t="shared" si="31"/>
        <v>1288.74</v>
      </c>
      <c r="AC241" s="159">
        <f t="shared" si="31"/>
        <v>1565.44</v>
      </c>
      <c r="AD241" s="159">
        <f t="shared" si="31"/>
        <v>1564.0400000000002</v>
      </c>
      <c r="AE241" s="159">
        <f t="shared" si="31"/>
        <v>1636.8400000000001</v>
      </c>
      <c r="AF241" s="159">
        <f t="shared" si="31"/>
        <v>1531.3400000000001</v>
      </c>
      <c r="AG241" s="159">
        <f t="shared" si="31"/>
        <v>1392.3400000000001</v>
      </c>
      <c r="AH241" s="159">
        <f t="shared" si="31"/>
        <v>1378.3400000000001</v>
      </c>
      <c r="AI241" s="159">
        <f t="shared" si="31"/>
        <v>1326.3400000000001</v>
      </c>
      <c r="AJ241" s="159">
        <f t="shared" si="31"/>
        <v>1316.44</v>
      </c>
      <c r="AK241" s="159">
        <f t="shared" si="31"/>
        <v>1244.44</v>
      </c>
      <c r="AL241" s="159">
        <f t="shared" si="31"/>
        <v>1232.44</v>
      </c>
      <c r="AM241" s="159">
        <f t="shared" si="31"/>
        <v>1292.44</v>
      </c>
      <c r="AN241" s="159">
        <f t="shared" si="31"/>
        <v>1324.44</v>
      </c>
      <c r="AO241" s="159">
        <f t="shared" si="31"/>
        <v>1509.24</v>
      </c>
      <c r="AP241" s="159">
        <f t="shared" si="31"/>
        <v>1713.9400000000003</v>
      </c>
      <c r="AQ241" s="159">
        <f t="shared" si="31"/>
        <v>1638.3400000000001</v>
      </c>
      <c r="AR241" s="159">
        <f t="shared" si="31"/>
        <v>1381.3400000000001</v>
      </c>
      <c r="AS241" s="159">
        <f t="shared" si="31"/>
        <v>1361.3400000000001</v>
      </c>
      <c r="AT241" s="159">
        <f t="shared" si="31"/>
        <v>1362.54</v>
      </c>
      <c r="AU241" s="159">
        <f t="shared" si="31"/>
        <v>1330.54</v>
      </c>
      <c r="AV241" s="159">
        <f t="shared" si="31"/>
        <v>1300.54</v>
      </c>
      <c r="AW241" s="159">
        <f t="shared" si="31"/>
        <v>1145.6400000000001</v>
      </c>
      <c r="AX241" s="159">
        <f t="shared" si="31"/>
        <v>1138.6400000000001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32">C226</f>
        <v>0.64</v>
      </c>
      <c r="C262" s="162">
        <f t="shared" si="32"/>
        <v>0.64</v>
      </c>
      <c r="D262" s="162">
        <f t="shared" si="32"/>
        <v>0.64</v>
      </c>
      <c r="E262" s="162">
        <f t="shared" si="32"/>
        <v>0.64</v>
      </c>
      <c r="F262" s="162">
        <f t="shared" si="32"/>
        <v>0.64</v>
      </c>
      <c r="G262" s="162">
        <f t="shared" si="32"/>
        <v>0.64</v>
      </c>
      <c r="H262" s="162">
        <f t="shared" si="32"/>
        <v>0.64</v>
      </c>
      <c r="I262" s="162">
        <f t="shared" si="32"/>
        <v>0.64</v>
      </c>
      <c r="J262" s="162">
        <f t="shared" si="32"/>
        <v>0.64</v>
      </c>
      <c r="K262" s="162">
        <f t="shared" si="32"/>
        <v>0.64</v>
      </c>
      <c r="L262" s="162">
        <f t="shared" si="32"/>
        <v>0.64</v>
      </c>
      <c r="M262" s="162">
        <f t="shared" si="32"/>
        <v>0.64</v>
      </c>
      <c r="N262" s="162">
        <f t="shared" si="32"/>
        <v>0.64</v>
      </c>
      <c r="O262" s="162">
        <f t="shared" si="32"/>
        <v>0.64</v>
      </c>
      <c r="P262" s="162">
        <f t="shared" si="32"/>
        <v>0</v>
      </c>
      <c r="Q262" s="162">
        <f t="shared" si="32"/>
        <v>0</v>
      </c>
      <c r="R262" s="162">
        <f t="shared" si="32"/>
        <v>0</v>
      </c>
      <c r="S262" s="162">
        <f t="shared" si="32"/>
        <v>0</v>
      </c>
      <c r="T262" s="162">
        <f t="shared" si="32"/>
        <v>0</v>
      </c>
      <c r="U262" s="162">
        <f t="shared" si="32"/>
        <v>0</v>
      </c>
      <c r="V262" s="162">
        <f t="shared" si="32"/>
        <v>0</v>
      </c>
      <c r="W262" s="162">
        <f t="shared" si="32"/>
        <v>0</v>
      </c>
      <c r="X262" s="162">
        <f t="shared" si="32"/>
        <v>0</v>
      </c>
      <c r="Y262" s="162">
        <f t="shared" si="32"/>
        <v>0</v>
      </c>
      <c r="Z262" s="162">
        <f t="shared" si="32"/>
        <v>0</v>
      </c>
      <c r="AA262" s="162">
        <f t="shared" si="32"/>
        <v>0</v>
      </c>
      <c r="AB262" s="162">
        <f t="shared" si="32"/>
        <v>0</v>
      </c>
      <c r="AC262" s="162">
        <f t="shared" si="32"/>
        <v>0</v>
      </c>
      <c r="AD262" s="162">
        <f t="shared" si="32"/>
        <v>0</v>
      </c>
      <c r="AE262" s="162">
        <f t="shared" si="32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33">IF(B230&lt;100,"",B230-520)</f>
        <v/>
      </c>
      <c r="C263" s="163" t="str">
        <f t="shared" si="33"/>
        <v/>
      </c>
      <c r="D263" s="163" t="str">
        <f t="shared" si="33"/>
        <v/>
      </c>
      <c r="E263" s="163" t="str">
        <f t="shared" si="33"/>
        <v/>
      </c>
      <c r="F263" s="163" t="str">
        <f t="shared" si="33"/>
        <v/>
      </c>
      <c r="G263" s="163" t="str">
        <f t="shared" si="33"/>
        <v/>
      </c>
      <c r="H263" s="163" t="str">
        <f t="shared" si="33"/>
        <v/>
      </c>
      <c r="I263" s="163" t="str">
        <f t="shared" si="33"/>
        <v/>
      </c>
      <c r="J263" s="163" t="str">
        <f t="shared" si="33"/>
        <v/>
      </c>
      <c r="K263" s="163" t="str">
        <f t="shared" si="33"/>
        <v/>
      </c>
      <c r="L263" s="163" t="str">
        <f t="shared" si="33"/>
        <v/>
      </c>
      <c r="M263" s="163" t="str">
        <f t="shared" si="33"/>
        <v/>
      </c>
      <c r="N263" s="163" t="str">
        <f t="shared" si="33"/>
        <v/>
      </c>
      <c r="O263" s="163" t="str">
        <f t="shared" si="33"/>
        <v/>
      </c>
      <c r="P263" s="163" t="str">
        <f t="shared" si="33"/>
        <v/>
      </c>
      <c r="Q263" s="163" t="str">
        <f t="shared" si="33"/>
        <v/>
      </c>
      <c r="R263" s="163" t="str">
        <f t="shared" si="33"/>
        <v/>
      </c>
      <c r="S263" s="163" t="str">
        <f t="shared" si="33"/>
        <v/>
      </c>
      <c r="T263" s="163" t="str">
        <f t="shared" si="33"/>
        <v/>
      </c>
      <c r="U263" s="163" t="str">
        <f t="shared" si="33"/>
        <v/>
      </c>
      <c r="V263" s="163" t="str">
        <f t="shared" si="33"/>
        <v/>
      </c>
      <c r="W263" s="163" t="str">
        <f t="shared" si="33"/>
        <v/>
      </c>
      <c r="X263" s="163" t="str">
        <f t="shared" si="33"/>
        <v/>
      </c>
      <c r="Y263" s="163" t="str">
        <f t="shared" si="33"/>
        <v/>
      </c>
      <c r="Z263" s="163" t="str">
        <f t="shared" si="33"/>
        <v/>
      </c>
      <c r="AA263" s="163" t="str">
        <f t="shared" si="33"/>
        <v/>
      </c>
      <c r="AB263" s="163" t="str">
        <f t="shared" si="33"/>
        <v/>
      </c>
      <c r="AC263" s="163" t="str">
        <f t="shared" si="33"/>
        <v/>
      </c>
      <c r="AD263" s="163" t="str">
        <f t="shared" si="33"/>
        <v/>
      </c>
      <c r="AE263" s="163" t="str">
        <f t="shared" si="33"/>
        <v/>
      </c>
      <c r="AF263" s="163" t="str">
        <f t="shared" si="33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34">IF(B231&lt;100,"",B231-620)</f>
        <v/>
      </c>
      <c r="C264" s="163" t="str">
        <f t="shared" si="34"/>
        <v/>
      </c>
      <c r="D264" s="163" t="str">
        <f t="shared" si="34"/>
        <v/>
      </c>
      <c r="E264" s="163" t="str">
        <f t="shared" si="34"/>
        <v/>
      </c>
      <c r="F264" s="163" t="str">
        <f t="shared" si="34"/>
        <v/>
      </c>
      <c r="G264" s="163" t="str">
        <f t="shared" si="34"/>
        <v/>
      </c>
      <c r="H264" s="163" t="str">
        <f t="shared" si="34"/>
        <v/>
      </c>
      <c r="I264" s="163" t="str">
        <f t="shared" si="34"/>
        <v/>
      </c>
      <c r="J264" s="163" t="str">
        <f t="shared" si="34"/>
        <v/>
      </c>
      <c r="K264" s="163" t="str">
        <f t="shared" si="34"/>
        <v/>
      </c>
      <c r="L264" s="163" t="str">
        <f t="shared" si="34"/>
        <v/>
      </c>
      <c r="M264" s="163" t="str">
        <f t="shared" si="34"/>
        <v/>
      </c>
      <c r="N264" s="163" t="str">
        <f t="shared" si="34"/>
        <v/>
      </c>
      <c r="O264" s="163" t="str">
        <f t="shared" si="34"/>
        <v/>
      </c>
      <c r="P264" s="163" t="str">
        <f t="shared" si="34"/>
        <v/>
      </c>
      <c r="Q264" s="163" t="str">
        <f t="shared" si="34"/>
        <v/>
      </c>
      <c r="R264" s="163" t="str">
        <f t="shared" si="34"/>
        <v/>
      </c>
      <c r="S264" s="163" t="str">
        <f t="shared" si="34"/>
        <v/>
      </c>
      <c r="T264" s="163" t="str">
        <f t="shared" si="34"/>
        <v/>
      </c>
      <c r="U264" s="163" t="str">
        <f t="shared" si="34"/>
        <v/>
      </c>
      <c r="V264" s="163" t="str">
        <f t="shared" si="34"/>
        <v/>
      </c>
      <c r="W264" s="163" t="str">
        <f t="shared" si="34"/>
        <v/>
      </c>
      <c r="X264" s="163" t="str">
        <f t="shared" si="34"/>
        <v/>
      </c>
      <c r="Y264" s="163" t="str">
        <f t="shared" si="34"/>
        <v/>
      </c>
      <c r="Z264" s="163" t="str">
        <f t="shared" si="34"/>
        <v/>
      </c>
      <c r="AA264" s="163" t="str">
        <f t="shared" si="34"/>
        <v/>
      </c>
      <c r="AB264" s="163" t="str">
        <f t="shared" si="34"/>
        <v/>
      </c>
      <c r="AC264" s="163" t="str">
        <f t="shared" si="34"/>
        <v/>
      </c>
      <c r="AD264" s="163" t="str">
        <f t="shared" si="34"/>
        <v/>
      </c>
      <c r="AE264" s="163" t="str">
        <f t="shared" si="34"/>
        <v/>
      </c>
      <c r="AF264" s="163" t="str">
        <f t="shared" si="34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35">IF(B232&lt;100,"",B232-330)</f>
        <v/>
      </c>
      <c r="C265" s="163" t="str">
        <f t="shared" si="35"/>
        <v/>
      </c>
      <c r="D265" s="163" t="str">
        <f t="shared" si="35"/>
        <v/>
      </c>
      <c r="E265" s="163" t="str">
        <f t="shared" si="35"/>
        <v/>
      </c>
      <c r="F265" s="163" t="str">
        <f t="shared" si="35"/>
        <v/>
      </c>
      <c r="G265" s="163" t="str">
        <f t="shared" si="35"/>
        <v/>
      </c>
      <c r="H265" s="163" t="str">
        <f t="shared" si="35"/>
        <v/>
      </c>
      <c r="I265" s="163" t="str">
        <f t="shared" si="35"/>
        <v/>
      </c>
      <c r="J265" s="163" t="str">
        <f t="shared" si="35"/>
        <v/>
      </c>
      <c r="K265" s="163" t="str">
        <f t="shared" si="35"/>
        <v/>
      </c>
      <c r="L265" s="163" t="str">
        <f t="shared" si="35"/>
        <v/>
      </c>
      <c r="M265" s="163" t="str">
        <f t="shared" si="35"/>
        <v/>
      </c>
      <c r="N265" s="163" t="str">
        <f t="shared" si="35"/>
        <v/>
      </c>
      <c r="O265" s="163" t="str">
        <f t="shared" si="35"/>
        <v/>
      </c>
      <c r="P265" s="163" t="str">
        <f t="shared" si="35"/>
        <v/>
      </c>
      <c r="Q265" s="163" t="str">
        <f t="shared" si="35"/>
        <v/>
      </c>
      <c r="R265" s="163" t="str">
        <f t="shared" si="35"/>
        <v/>
      </c>
      <c r="S265" s="163" t="str">
        <f t="shared" si="35"/>
        <v/>
      </c>
      <c r="T265" s="163" t="str">
        <f t="shared" si="35"/>
        <v/>
      </c>
      <c r="U265" s="163" t="str">
        <f t="shared" si="35"/>
        <v/>
      </c>
      <c r="V265" s="163" t="str">
        <f t="shared" si="35"/>
        <v/>
      </c>
      <c r="W265" s="163" t="str">
        <f t="shared" si="35"/>
        <v/>
      </c>
      <c r="X265" s="163" t="str">
        <f t="shared" si="35"/>
        <v/>
      </c>
      <c r="Y265" s="163" t="str">
        <f t="shared" si="35"/>
        <v/>
      </c>
      <c r="Z265" s="163" t="str">
        <f t="shared" si="35"/>
        <v/>
      </c>
      <c r="AA265" s="163" t="str">
        <f t="shared" si="35"/>
        <v/>
      </c>
      <c r="AB265" s="163" t="str">
        <f t="shared" si="35"/>
        <v/>
      </c>
      <c r="AC265" s="163" t="str">
        <f t="shared" si="35"/>
        <v/>
      </c>
      <c r="AD265" s="163" t="str">
        <f t="shared" si="35"/>
        <v/>
      </c>
      <c r="AE265" s="163" t="str">
        <f t="shared" si="35"/>
        <v/>
      </c>
      <c r="AF265" s="163" t="str">
        <f t="shared" si="35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36">IF(B233&lt;100,"",B233-1500)</f>
        <v/>
      </c>
      <c r="C266" s="163" t="str">
        <f t="shared" si="36"/>
        <v/>
      </c>
      <c r="D266" s="163" t="str">
        <f t="shared" si="36"/>
        <v/>
      </c>
      <c r="E266" s="163" t="str">
        <f t="shared" si="36"/>
        <v/>
      </c>
      <c r="F266" s="163" t="str">
        <f t="shared" si="36"/>
        <v/>
      </c>
      <c r="G266" s="163" t="str">
        <f t="shared" si="36"/>
        <v/>
      </c>
      <c r="H266" s="163" t="str">
        <f t="shared" si="36"/>
        <v/>
      </c>
      <c r="I266" s="163" t="str">
        <f t="shared" si="36"/>
        <v/>
      </c>
      <c r="J266" s="163" t="str">
        <f t="shared" si="36"/>
        <v/>
      </c>
      <c r="K266" s="163" t="str">
        <f t="shared" si="36"/>
        <v/>
      </c>
      <c r="L266" s="163" t="str">
        <f t="shared" si="36"/>
        <v/>
      </c>
      <c r="M266" s="163" t="str">
        <f t="shared" si="36"/>
        <v/>
      </c>
      <c r="N266" s="163" t="str">
        <f t="shared" si="36"/>
        <v/>
      </c>
      <c r="O266" s="163" t="str">
        <f t="shared" si="36"/>
        <v/>
      </c>
      <c r="P266" s="163" t="str">
        <f t="shared" si="36"/>
        <v/>
      </c>
      <c r="Q266" s="163" t="str">
        <f t="shared" si="36"/>
        <v/>
      </c>
      <c r="R266" s="163" t="str">
        <f t="shared" si="36"/>
        <v/>
      </c>
      <c r="S266" s="163" t="str">
        <f t="shared" si="36"/>
        <v/>
      </c>
      <c r="T266" s="163" t="str">
        <f t="shared" si="36"/>
        <v/>
      </c>
      <c r="U266" s="163" t="str">
        <f t="shared" si="36"/>
        <v/>
      </c>
      <c r="V266" s="163" t="str">
        <f t="shared" si="36"/>
        <v/>
      </c>
      <c r="W266" s="163" t="str">
        <f t="shared" si="36"/>
        <v/>
      </c>
      <c r="X266" s="163" t="str">
        <f t="shared" si="36"/>
        <v/>
      </c>
      <c r="Y266" s="163" t="str">
        <f t="shared" si="36"/>
        <v/>
      </c>
      <c r="Z266" s="163" t="str">
        <f t="shared" si="36"/>
        <v/>
      </c>
      <c r="AA266" s="163" t="str">
        <f t="shared" si="36"/>
        <v/>
      </c>
      <c r="AB266" s="163" t="str">
        <f t="shared" si="36"/>
        <v/>
      </c>
      <c r="AC266" s="163" t="str">
        <f t="shared" si="36"/>
        <v/>
      </c>
      <c r="AD266" s="163" t="str">
        <f t="shared" si="36"/>
        <v/>
      </c>
      <c r="AE266" s="163" t="str">
        <f t="shared" si="36"/>
        <v/>
      </c>
      <c r="AF266" s="163" t="str">
        <f t="shared" si="36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 X11:AF11 B22:AF26 B17:AF17 B15:AF15">
    <cfRule type="expression" dxfId="7278" priority="256">
      <formula>B$9&gt;=20/24</formula>
    </cfRule>
    <cfRule type="expression" dxfId="7277" priority="257">
      <formula>AND(B$9&gt;=14/24,B$9&lt;20/24)</formula>
    </cfRule>
    <cfRule type="expression" dxfId="7276" priority="258">
      <formula>AND(B$9&gt;=8/24,B$9&lt;14/24)</formula>
    </cfRule>
    <cfRule type="expression" dxfId="7275" priority="259">
      <formula>B$9&lt;8/24</formula>
    </cfRule>
  </conditionalFormatting>
  <conditionalFormatting sqref="AL4:AL6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U42:AF42">
    <cfRule type="expression" dxfId="7274" priority="251">
      <formula>U$9&gt;=20/24</formula>
    </cfRule>
    <cfRule type="expression" dxfId="7273" priority="252">
      <formula>AND(U$9&gt;=14/24,U$9&lt;20/24)</formula>
    </cfRule>
    <cfRule type="expression" dxfId="7272" priority="253">
      <formula>AND(U$9&gt;=8/24,U$9&lt;14/24)</formula>
    </cfRule>
    <cfRule type="expression" dxfId="7271" priority="254">
      <formula>U$9&lt;8/24</formula>
    </cfRule>
  </conditionalFormatting>
  <conditionalFormatting sqref="AG60 U42:AF42 B12:W17 X11:AF17 B20:AF20 B22:AF26 B40:AF40">
    <cfRule type="expression" dxfId="7270" priority="250">
      <formula>B11&gt;$AG11</formula>
    </cfRule>
  </conditionalFormatting>
  <conditionalFormatting sqref="A94:A104 A54:A81 A90:A92 A197:A227 A41:A52 A113:A184 A37:A38 A86:A88 A83:A84 A106:A108 A34:A35 A20:A32 A17 A11:A15">
    <cfRule type="expression" dxfId="7269" priority="249">
      <formula>$AH11=0</formula>
    </cfRule>
  </conditionalFormatting>
  <conditionalFormatting sqref="A109">
    <cfRule type="expression" dxfId="7268" priority="248">
      <formula>$AH109=0</formula>
    </cfRule>
  </conditionalFormatting>
  <conditionalFormatting sqref="AL38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267" priority="246">
      <formula>$AH40=0</formula>
    </cfRule>
  </conditionalFormatting>
  <conditionalFormatting sqref="A93">
    <cfRule type="expression" dxfId="7266" priority="245">
      <formula>$AH93=0</formula>
    </cfRule>
  </conditionalFormatting>
  <conditionalFormatting sqref="A16">
    <cfRule type="expression" dxfId="7265" priority="244">
      <formula>$AH16=0</formula>
    </cfRule>
  </conditionalFormatting>
  <conditionalFormatting sqref="A191:A196">
    <cfRule type="expression" dxfId="7264" priority="243">
      <formula>$AH191=0</formula>
    </cfRule>
  </conditionalFormatting>
  <conditionalFormatting sqref="A185:A190">
    <cfRule type="expression" dxfId="7263" priority="242">
      <formula>$AH185=0</formula>
    </cfRule>
  </conditionalFormatting>
  <conditionalFormatting sqref="A53">
    <cfRule type="expression" dxfId="7262" priority="241">
      <formula>$AH53=0</formula>
    </cfRule>
  </conditionalFormatting>
  <conditionalFormatting sqref="A89">
    <cfRule type="expression" dxfId="7261" priority="240">
      <formula>$AH89=0</formula>
    </cfRule>
  </conditionalFormatting>
  <conditionalFormatting sqref="C94:AF94">
    <cfRule type="expression" dxfId="7260" priority="236">
      <formula>C$9&gt;=20/24</formula>
    </cfRule>
    <cfRule type="expression" dxfId="7259" priority="237">
      <formula>AND(C$9&gt;=14/24,C$9&lt;20/24)</formula>
    </cfRule>
    <cfRule type="expression" dxfId="7258" priority="238">
      <formula>AND(C$9&gt;=8/24,C$9&lt;14/24)</formula>
    </cfRule>
    <cfRule type="expression" dxfId="7257" priority="239">
      <formula>C$9&lt;8/24</formula>
    </cfRule>
  </conditionalFormatting>
  <conditionalFormatting sqref="AL39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256" priority="262">
      <formula>C$9&gt;=20/24</formula>
    </cfRule>
    <cfRule type="expression" dxfId="7255" priority="263">
      <formula>AND(C$9&gt;=14/24,C$9&lt;20/24)</formula>
    </cfRule>
    <cfRule type="expression" dxfId="7254" priority="264">
      <formula>AND(C$9&gt;=8/24,C$9&lt;14/24)</formula>
    </cfRule>
    <cfRule type="expression" dxfId="7253" priority="265">
      <formula>C$9&lt;8/24</formula>
    </cfRule>
  </conditionalFormatting>
  <conditionalFormatting sqref="A228">
    <cfRule type="expression" dxfId="7252" priority="266">
      <formula>$AH228=0</formula>
    </cfRule>
  </conditionalFormatting>
  <conditionalFormatting sqref="AG240">
    <cfRule type="expression" dxfId="7251" priority="267">
      <formula>B$9&gt;=20/24</formula>
    </cfRule>
    <cfRule type="expression" dxfId="7250" priority="268">
      <formula>AND(B$9&gt;=14/24,B$9&lt;20/24)</formula>
    </cfRule>
    <cfRule type="expression" dxfId="7249" priority="269">
      <formula>AND(B$9&gt;=8/24,B$9&lt;14/24)</formula>
    </cfRule>
    <cfRule type="expression" dxfId="7248" priority="270">
      <formula>B$9&lt;8/24</formula>
    </cfRule>
  </conditionalFormatting>
  <conditionalFormatting sqref="S8">
    <cfRule type="expression" dxfId="7247" priority="231">
      <formula>U$9&gt;=20/24</formula>
    </cfRule>
    <cfRule type="expression" dxfId="7246" priority="232">
      <formula>AND(U$9&gt;=14/24,U$9&lt;20/24)</formula>
    </cfRule>
    <cfRule type="expression" dxfId="7245" priority="233">
      <formula>AND(U$9&gt;=8/24,U$9&lt;14/24)</formula>
    </cfRule>
    <cfRule type="expression" dxfId="7244" priority="234">
      <formula>U$9&lt;8/24</formula>
    </cfRule>
  </conditionalFormatting>
  <conditionalFormatting sqref="AB8">
    <cfRule type="expression" dxfId="7243" priority="227">
      <formula>AD$9&gt;=20/24</formula>
    </cfRule>
    <cfRule type="expression" dxfId="7242" priority="228">
      <formula>AND(AD$9&gt;=14/24,AD$9&lt;20/24)</formula>
    </cfRule>
    <cfRule type="expression" dxfId="7241" priority="229">
      <formula>AND(AD$9&gt;=8/24,AD$9&lt;14/24)</formula>
    </cfRule>
    <cfRule type="expression" dxfId="7240" priority="230">
      <formula>AD$9&lt;8/24</formula>
    </cfRule>
  </conditionalFormatting>
  <conditionalFormatting sqref="AH240:AX240">
    <cfRule type="expression" dxfId="7239" priority="271">
      <formula>AG$9&gt;=20/24</formula>
    </cfRule>
    <cfRule type="expression" dxfId="7238" priority="272">
      <formula>AND(AG$9&gt;=14/24,AG$9&lt;20/24)</formula>
    </cfRule>
    <cfRule type="expression" dxfId="7237" priority="273">
      <formula>AND(AG$9&gt;=8/24,AG$9&lt;14/24)</formula>
    </cfRule>
    <cfRule type="expression" dxfId="7236" priority="274">
      <formula>AG$9&lt;8/24</formula>
    </cfRule>
  </conditionalFormatting>
  <conditionalFormatting sqref="T240">
    <cfRule type="expression" dxfId="7235" priority="275">
      <formula>AX$9&gt;=20/24</formula>
    </cfRule>
    <cfRule type="expression" dxfId="7234" priority="276">
      <formula>AND(AX$9&gt;=14/24,AX$9&lt;20/24)</formula>
    </cfRule>
    <cfRule type="expression" dxfId="7233" priority="277">
      <formula>AND(AX$9&gt;=8/24,AX$9&lt;14/24)</formula>
    </cfRule>
    <cfRule type="expression" dxfId="7232" priority="278">
      <formula>AX$9&lt;8/24</formula>
    </cfRule>
  </conditionalFormatting>
  <conditionalFormatting sqref="A110:A111">
    <cfRule type="expression" dxfId="7231" priority="226">
      <formula>$AH110=0</formula>
    </cfRule>
  </conditionalFormatting>
  <conditionalFormatting sqref="E49:L50 M49:W52 AE49:AF50 E66:AF66">
    <cfRule type="expression" dxfId="7230" priority="222">
      <formula>E$9&gt;=20/24</formula>
    </cfRule>
    <cfRule type="expression" dxfId="7229" priority="223">
      <formula>AND(E$9&gt;=14/24,E$9&lt;20/24)</formula>
    </cfRule>
    <cfRule type="expression" dxfId="7228" priority="224">
      <formula>AND(E$9&gt;=8/24,E$9&lt;14/24)</formula>
    </cfRule>
    <cfRule type="expression" dxfId="7227" priority="225">
      <formula>E$9&lt;8/24</formula>
    </cfRule>
  </conditionalFormatting>
  <conditionalFormatting sqref="E48:L48 AC48:AF48">
    <cfRule type="expression" dxfId="7226" priority="218">
      <formula>E$9&gt;=20/24</formula>
    </cfRule>
    <cfRule type="expression" dxfId="7225" priority="219">
      <formula>AND(E$9&gt;=14/24,E$9&lt;20/24)</formula>
    </cfRule>
    <cfRule type="expression" dxfId="7224" priority="220">
      <formula>AND(E$9&gt;=8/24,E$9&lt;14/24)</formula>
    </cfRule>
    <cfRule type="expression" dxfId="7223" priority="221">
      <formula>E$9&lt;8/24</formula>
    </cfRule>
  </conditionalFormatting>
  <conditionalFormatting sqref="E48:L50 M49:W52 AC48:AD48 AE48:AF50">
    <cfRule type="expression" dxfId="7222" priority="217">
      <formula>E48&gt;$AG48</formula>
    </cfRule>
  </conditionalFormatting>
  <conditionalFormatting sqref="C91:AF91 C78:AF81 M42:T42 E67:W68 S62:AF64 X28:AF30 X32:AF32 X12:AF14 X20:AF20 X34:AF37 X67:AF76 D95:AF101">
    <cfRule type="expression" dxfId="7221" priority="213">
      <formula>C$9&gt;=20/24</formula>
    </cfRule>
    <cfRule type="expression" dxfId="7220" priority="214">
      <formula>AND(C$9&gt;=14/24,C$9&lt;20/24)</formula>
    </cfRule>
    <cfRule type="expression" dxfId="7219" priority="215">
      <formula>AND(C$9&gt;=8/24,C$9&lt;14/24)</formula>
    </cfRule>
    <cfRule type="expression" dxfId="7218" priority="216">
      <formula>C$9&lt;8/24</formula>
    </cfRule>
  </conditionalFormatting>
  <conditionalFormatting sqref="X38:AF38">
    <cfRule type="expression" dxfId="7217" priority="209">
      <formula>X$9&gt;=20/24</formula>
    </cfRule>
    <cfRule type="expression" dxfId="7216" priority="210">
      <formula>AND(X$9&gt;=14/24,X$9&lt;20/24)</formula>
    </cfRule>
    <cfRule type="expression" dxfId="7215" priority="211">
      <formula>AND(X$9&gt;=8/24,X$9&lt;14/24)</formula>
    </cfRule>
    <cfRule type="expression" dxfId="7214" priority="212">
      <formula>X$9&lt;8/24</formula>
    </cfRule>
  </conditionalFormatting>
  <conditionalFormatting sqref="C60:AF60 E51:L51 M42:T42 S62:AF64 X28:AF32 X34:AF38">
    <cfRule type="expression" dxfId="7213" priority="208">
      <formula>C28&gt;$AG28</formula>
    </cfRule>
  </conditionalFormatting>
  <conditionalFormatting sqref="X40:AF40">
    <cfRule type="expression" dxfId="7212" priority="204">
      <formula>X$9&gt;=20/24</formula>
    </cfRule>
    <cfRule type="expression" dxfId="7211" priority="205">
      <formula>AND(X$9&gt;=14/24,X$9&lt;20/24)</formula>
    </cfRule>
    <cfRule type="expression" dxfId="7210" priority="206">
      <formula>AND(X$9&gt;=8/24,X$9&lt;14/24)</formula>
    </cfRule>
    <cfRule type="expression" dxfId="7209" priority="207">
      <formula>X$9&lt;8/24</formula>
    </cfRule>
  </conditionalFormatting>
  <conditionalFormatting sqref="X16:AF16">
    <cfRule type="expression" dxfId="7208" priority="200">
      <formula>X$9&gt;=20/24</formula>
    </cfRule>
    <cfRule type="expression" dxfId="7207" priority="201">
      <formula>AND(X$9&gt;=14/24,X$9&lt;20/24)</formula>
    </cfRule>
    <cfRule type="expression" dxfId="7206" priority="202">
      <formula>AND(X$9&gt;=8/24,X$9&lt;14/24)</formula>
    </cfRule>
    <cfRule type="expression" dxfId="7205" priority="203">
      <formula>X$9&lt;8/24</formula>
    </cfRule>
  </conditionalFormatting>
  <conditionalFormatting sqref="X39:AF39">
    <cfRule type="expression" dxfId="7204" priority="196">
      <formula>X$9&gt;=20/24</formula>
    </cfRule>
    <cfRule type="expression" dxfId="7203" priority="197">
      <formula>AND(X$9&gt;=14/24,X$9&lt;20/24)</formula>
    </cfRule>
    <cfRule type="expression" dxfId="7202" priority="198">
      <formula>AND(X$9&gt;=8/24,X$9&lt;14/24)</formula>
    </cfRule>
    <cfRule type="expression" dxfId="7201" priority="199">
      <formula>X$9&lt;8/24</formula>
    </cfRule>
  </conditionalFormatting>
  <conditionalFormatting sqref="X39:AF39">
    <cfRule type="expression" dxfId="7200" priority="195">
      <formula>X39&gt;$AG39</formula>
    </cfRule>
  </conditionalFormatting>
  <conditionalFormatting sqref="X51:AF52">
    <cfRule type="expression" dxfId="7199" priority="191">
      <formula>X$9&gt;=20/24</formula>
    </cfRule>
    <cfRule type="expression" dxfId="7198" priority="192">
      <formula>AND(X$9&gt;=14/24,X$9&lt;20/24)</formula>
    </cfRule>
    <cfRule type="expression" dxfId="7197" priority="193">
      <formula>AND(X$9&gt;=8/24,X$9&lt;14/24)</formula>
    </cfRule>
    <cfRule type="expression" dxfId="7196" priority="194">
      <formula>X$9&lt;8/24</formula>
    </cfRule>
  </conditionalFormatting>
  <conditionalFormatting sqref="X51:AF52">
    <cfRule type="expression" dxfId="7195" priority="190">
      <formula>X51&gt;$AG51</formula>
    </cfRule>
  </conditionalFormatting>
  <conditionalFormatting sqref="M48:W48 X53:AF54">
    <cfRule type="expression" dxfId="7194" priority="186">
      <formula>M$9&gt;=20/24</formula>
    </cfRule>
    <cfRule type="expression" dxfId="7193" priority="187">
      <formula>AND(M$9&gt;=14/24,M$9&lt;20/24)</formula>
    </cfRule>
    <cfRule type="expression" dxfId="7192" priority="188">
      <formula>AND(M$9&gt;=8/24,M$9&lt;14/24)</formula>
    </cfRule>
    <cfRule type="expression" dxfId="7191" priority="189">
      <formula>M$9&lt;8/24</formula>
    </cfRule>
  </conditionalFormatting>
  <conditionalFormatting sqref="M48:W48 X53:AF54">
    <cfRule type="expression" dxfId="7190" priority="185">
      <formula>M48&gt;$AG48</formula>
    </cfRule>
  </conditionalFormatting>
  <conditionalFormatting sqref="X31:AF31">
    <cfRule type="expression" dxfId="7189" priority="181">
      <formula>X$9&gt;=20/24</formula>
    </cfRule>
    <cfRule type="expression" dxfId="7188" priority="182">
      <formula>AND(X$9&gt;=14/24,X$9&lt;20/24)</formula>
    </cfRule>
    <cfRule type="expression" dxfId="7187" priority="183">
      <formula>AND(X$9&gt;=8/24,X$9&lt;14/24)</formula>
    </cfRule>
    <cfRule type="expression" dxfId="7186" priority="184">
      <formula>X$9&lt;8/24</formula>
    </cfRule>
  </conditionalFormatting>
  <conditionalFormatting sqref="M34:W34 X21:AF21 X27:AF27">
    <cfRule type="expression" dxfId="7185" priority="177">
      <formula>M$9&gt;=20/24</formula>
    </cfRule>
    <cfRule type="expression" dxfId="7184" priority="178">
      <formula>AND(M$9&gt;=14/24,M$9&lt;20/24)</formula>
    </cfRule>
    <cfRule type="expression" dxfId="7183" priority="179">
      <formula>AND(M$9&gt;=8/24,M$9&lt;14/24)</formula>
    </cfRule>
    <cfRule type="expression" dxfId="7182" priority="180">
      <formula>M$9&lt;8/24</formula>
    </cfRule>
  </conditionalFormatting>
  <conditionalFormatting sqref="M34:W34 X21:AF21 X27:AF27">
    <cfRule type="expression" dxfId="7181" priority="176">
      <formula>M21&gt;$AG21</formula>
    </cfRule>
  </conditionalFormatting>
  <conditionalFormatting sqref="D48">
    <cfRule type="expression" dxfId="7180" priority="172">
      <formula>D$9&gt;=20/24</formula>
    </cfRule>
    <cfRule type="expression" dxfId="7179" priority="173">
      <formula>AND(D$9&gt;=14/24,D$9&lt;20/24)</formula>
    </cfRule>
    <cfRule type="expression" dxfId="7178" priority="174">
      <formula>AND(D$9&gt;=8/24,D$9&lt;14/24)</formula>
    </cfRule>
    <cfRule type="expression" dxfId="7177" priority="175">
      <formula>D$9&lt;8/24</formula>
    </cfRule>
  </conditionalFormatting>
  <conditionalFormatting sqref="D48">
    <cfRule type="expression" dxfId="7176" priority="171">
      <formula>D48&gt;$AG48</formula>
    </cfRule>
  </conditionalFormatting>
  <conditionalFormatting sqref="X49:AD50">
    <cfRule type="expression" dxfId="7175" priority="167">
      <formula>X$9&gt;=20/24</formula>
    </cfRule>
    <cfRule type="expression" dxfId="7174" priority="168">
      <formula>AND(X$9&gt;=14/24,X$9&lt;20/24)</formula>
    </cfRule>
    <cfRule type="expression" dxfId="7173" priority="169">
      <formula>AND(X$9&gt;=8/24,X$9&lt;14/24)</formula>
    </cfRule>
    <cfRule type="expression" dxfId="7172" priority="170">
      <formula>X$9&lt;8/24</formula>
    </cfRule>
  </conditionalFormatting>
  <conditionalFormatting sqref="X48:AB48">
    <cfRule type="expression" dxfId="7171" priority="163">
      <formula>X$9&gt;=20/24</formula>
    </cfRule>
    <cfRule type="expression" dxfId="7170" priority="164">
      <formula>AND(X$9&gt;=14/24,X$9&lt;20/24)</formula>
    </cfRule>
    <cfRule type="expression" dxfId="7169" priority="165">
      <formula>AND(X$9&gt;=8/24,X$9&lt;14/24)</formula>
    </cfRule>
    <cfRule type="expression" dxfId="7168" priority="166">
      <formula>X$9&lt;8/24</formula>
    </cfRule>
  </conditionalFormatting>
  <conditionalFormatting sqref="X48:AB50 AC49:AD50">
    <cfRule type="expression" dxfId="7167" priority="162">
      <formula>X48&gt;$AG48</formula>
    </cfRule>
  </conditionalFormatting>
  <conditionalFormatting sqref="B104 B83:AF83 B92:AF92 B106:B111 B11:W11">
    <cfRule type="expression" dxfId="7166" priority="158">
      <formula>B$9&gt;=20/24</formula>
    </cfRule>
    <cfRule type="expression" dxfId="7165" priority="159">
      <formula>AND(B$9&gt;=14/24,B$9&lt;20/24)</formula>
    </cfRule>
    <cfRule type="expression" dxfId="7164" priority="160">
      <formula>AND(B$9&gt;=8/24,B$9&lt;14/24)</formula>
    </cfRule>
    <cfRule type="expression" dxfId="7163" priority="161">
      <formula>B$9&lt;8/24</formula>
    </cfRule>
  </conditionalFormatting>
  <conditionalFormatting sqref="B42:L42">
    <cfRule type="expression" dxfId="7162" priority="154">
      <formula>B$9&gt;=20/24</formula>
    </cfRule>
    <cfRule type="expression" dxfId="7161" priority="155">
      <formula>AND(B$9&gt;=14/24,B$9&lt;20/24)</formula>
    </cfRule>
    <cfRule type="expression" dxfId="7160" priority="156">
      <formula>AND(B$9&gt;=8/24,B$9&lt;14/24)</formula>
    </cfRule>
    <cfRule type="expression" dxfId="7159" priority="157">
      <formula>B$9&lt;8/24</formula>
    </cfRule>
  </conditionalFormatting>
  <conditionalFormatting sqref="B42:L42 B11:W11">
    <cfRule type="expression" dxfId="7158" priority="153">
      <formula>B11&gt;$AG11</formula>
    </cfRule>
  </conditionalFormatting>
  <conditionalFormatting sqref="B94">
    <cfRule type="expression" dxfId="7157" priority="149">
      <formula>B$9&gt;=20/24</formula>
    </cfRule>
    <cfRule type="expression" dxfId="7156" priority="150">
      <formula>AND(B$9&gt;=14/24,B$9&lt;20/24)</formula>
    </cfRule>
    <cfRule type="expression" dxfId="7155" priority="151">
      <formula>AND(B$9&gt;=8/24,B$9&lt;14/24)</formula>
    </cfRule>
    <cfRule type="expression" dxfId="7154" priority="152">
      <formula>B$9&lt;8/24</formula>
    </cfRule>
  </conditionalFormatting>
  <conditionalFormatting sqref="B49:D50 B66:D66 B41:AF41">
    <cfRule type="expression" dxfId="7153" priority="145">
      <formula>B$9&gt;=20/24</formula>
    </cfRule>
    <cfRule type="expression" dxfId="7152" priority="146">
      <formula>AND(B$9&gt;=14/24,B$9&lt;20/24)</formula>
    </cfRule>
    <cfRule type="expression" dxfId="7151" priority="147">
      <formula>AND(B$9&gt;=8/24,B$9&lt;14/24)</formula>
    </cfRule>
    <cfRule type="expression" dxfId="7150" priority="148">
      <formula>B$9&lt;8/24</formula>
    </cfRule>
  </conditionalFormatting>
  <conditionalFormatting sqref="B48:C48">
    <cfRule type="expression" dxfId="7149" priority="141">
      <formula>B$9&gt;=20/24</formula>
    </cfRule>
    <cfRule type="expression" dxfId="7148" priority="142">
      <formula>AND(B$9&gt;=14/24,B$9&lt;20/24)</formula>
    </cfRule>
    <cfRule type="expression" dxfId="7147" priority="143">
      <formula>AND(B$9&gt;=8/24,B$9&lt;14/24)</formula>
    </cfRule>
    <cfRule type="expression" dxfId="7146" priority="144">
      <formula>B$9&lt;8/24</formula>
    </cfRule>
  </conditionalFormatting>
  <conditionalFormatting sqref="B48:C50 D49:D50 B41:AF41">
    <cfRule type="expression" dxfId="7145" priority="140">
      <formula>B41&gt;$AG41</formula>
    </cfRule>
  </conditionalFormatting>
  <conditionalFormatting sqref="B62:B65 B78:B82 B84:AF84 B91 C65:AG65 C82:AG82 B93:AF93 B95:C101 B67:D76 B34:L37 C62:R64 M35:W37 B20:W20 B28:W30 B32:W32 B12:W14 E69:W76">
    <cfRule type="expression" dxfId="7144" priority="136">
      <formula>B$9&gt;=20/24</formula>
    </cfRule>
    <cfRule type="expression" dxfId="7143" priority="137">
      <formula>AND(B$9&gt;=14/24,B$9&lt;20/24)</formula>
    </cfRule>
    <cfRule type="expression" dxfId="7142" priority="138">
      <formula>AND(B$9&gt;=8/24,B$9&lt;14/24)</formula>
    </cfRule>
    <cfRule type="expression" dxfId="7141" priority="139">
      <formula>B$9&lt;8/24</formula>
    </cfRule>
  </conditionalFormatting>
  <conditionalFormatting sqref="B38:W38">
    <cfRule type="expression" dxfId="7140" priority="132">
      <formula>B$9&gt;=20/24</formula>
    </cfRule>
    <cfRule type="expression" dxfId="7139" priority="133">
      <formula>AND(B$9&gt;=14/24,B$9&lt;20/24)</formula>
    </cfRule>
    <cfRule type="expression" dxfId="7138" priority="134">
      <formula>AND(B$9&gt;=8/24,B$9&lt;14/24)</formula>
    </cfRule>
    <cfRule type="expression" dxfId="7137" priority="135">
      <formula>B$9&lt;8/24</formula>
    </cfRule>
  </conditionalFormatting>
  <conditionalFormatting sqref="B60:B65 B43:AG43 C61:AG61 C65:AG65 B51:D52 B34:L38 E52:L52 C62:R64 M35:W38 B28:W32">
    <cfRule type="expression" dxfId="7136" priority="131">
      <formula>B28&gt;$AG28</formula>
    </cfRule>
  </conditionalFormatting>
  <conditionalFormatting sqref="B40:W40">
    <cfRule type="expression" dxfId="7135" priority="127">
      <formula>B$9&gt;=20/24</formula>
    </cfRule>
    <cfRule type="expression" dxfId="7134" priority="128">
      <formula>AND(B$9&gt;=14/24,B$9&lt;20/24)</formula>
    </cfRule>
    <cfRule type="expression" dxfId="7133" priority="129">
      <formula>AND(B$9&gt;=8/24,B$9&lt;14/24)</formula>
    </cfRule>
    <cfRule type="expression" dxfId="7132" priority="130">
      <formula>B$9&lt;8/24</formula>
    </cfRule>
  </conditionalFormatting>
  <conditionalFormatting sqref="B16:W16">
    <cfRule type="expression" dxfId="7131" priority="123">
      <formula>B$9&gt;=20/24</formula>
    </cfRule>
    <cfRule type="expression" dxfId="7130" priority="124">
      <formula>AND(B$9&gt;=14/24,B$9&lt;20/24)</formula>
    </cfRule>
    <cfRule type="expression" dxfId="7129" priority="125">
      <formula>AND(B$9&gt;=8/24,B$9&lt;14/24)</formula>
    </cfRule>
    <cfRule type="expression" dxfId="7128" priority="126">
      <formula>B$9&lt;8/24</formula>
    </cfRule>
  </conditionalFormatting>
  <conditionalFormatting sqref="B39:W39">
    <cfRule type="expression" dxfId="7127" priority="119">
      <formula>B$9&gt;=20/24</formula>
    </cfRule>
    <cfRule type="expression" dxfId="7126" priority="120">
      <formula>AND(B$9&gt;=14/24,B$9&lt;20/24)</formula>
    </cfRule>
    <cfRule type="expression" dxfId="7125" priority="121">
      <formula>AND(B$9&gt;=8/24,B$9&lt;14/24)</formula>
    </cfRule>
    <cfRule type="expression" dxfId="7124" priority="122">
      <formula>B$9&lt;8/24</formula>
    </cfRule>
  </conditionalFormatting>
  <conditionalFormatting sqref="B39:W39">
    <cfRule type="expression" dxfId="7123" priority="118">
      <formula>B39&gt;$AG39</formula>
    </cfRule>
  </conditionalFormatting>
  <conditionalFormatting sqref="B53:W59">
    <cfRule type="expression" dxfId="7122" priority="114">
      <formula>B$9&gt;=20/24</formula>
    </cfRule>
    <cfRule type="expression" dxfId="7121" priority="115">
      <formula>AND(B$9&gt;=14/24,B$9&lt;20/24)</formula>
    </cfRule>
    <cfRule type="expression" dxfId="7120" priority="116">
      <formula>AND(B$9&gt;=8/24,B$9&lt;14/24)</formula>
    </cfRule>
    <cfRule type="expression" dxfId="7119" priority="117">
      <formula>B$9&lt;8/24</formula>
    </cfRule>
  </conditionalFormatting>
  <conditionalFormatting sqref="B53:W59">
    <cfRule type="expression" dxfId="7118" priority="113">
      <formula>B53&gt;$AG53</formula>
    </cfRule>
  </conditionalFormatting>
  <conditionalFormatting sqref="B31:W31">
    <cfRule type="expression" dxfId="7117" priority="109">
      <formula>B$9&gt;=20/24</formula>
    </cfRule>
    <cfRule type="expression" dxfId="7116" priority="110">
      <formula>AND(B$9&gt;=14/24,B$9&lt;20/24)</formula>
    </cfRule>
    <cfRule type="expression" dxfId="7115" priority="111">
      <formula>AND(B$9&gt;=8/24,B$9&lt;14/24)</formula>
    </cfRule>
    <cfRule type="expression" dxfId="7114" priority="112">
      <formula>B$9&lt;8/24</formula>
    </cfRule>
  </conditionalFormatting>
  <conditionalFormatting sqref="B21:W21 B27:W27">
    <cfRule type="expression" dxfId="7113" priority="105">
      <formula>B$9&gt;=20/24</formula>
    </cfRule>
    <cfRule type="expression" dxfId="7112" priority="106">
      <formula>AND(B$9&gt;=14/24,B$9&lt;20/24)</formula>
    </cfRule>
    <cfRule type="expression" dxfId="7111" priority="107">
      <formula>AND(B$9&gt;=8/24,B$9&lt;14/24)</formula>
    </cfRule>
    <cfRule type="expression" dxfId="7110" priority="108">
      <formula>B$9&lt;8/24</formula>
    </cfRule>
  </conditionalFormatting>
  <conditionalFormatting sqref="B21:W21 B27:W27">
    <cfRule type="expression" dxfId="7109" priority="104">
      <formula>B21&gt;$AG21</formula>
    </cfRule>
  </conditionalFormatting>
  <conditionalFormatting sqref="A39">
    <cfRule type="expression" dxfId="7108" priority="103">
      <formula>$AH39=0</formula>
    </cfRule>
  </conditionalFormatting>
  <conditionalFormatting sqref="B77:AF77">
    <cfRule type="expression" dxfId="7107" priority="99">
      <formula>B$9&gt;=20/24</formula>
    </cfRule>
    <cfRule type="expression" dxfId="7106" priority="100">
      <formula>AND(B$9&gt;=14/24,B$9&lt;20/24)</formula>
    </cfRule>
    <cfRule type="expression" dxfId="7105" priority="101">
      <formula>AND(B$9&gt;=8/24,B$9&lt;14/24)</formula>
    </cfRule>
    <cfRule type="expression" dxfId="7104" priority="102">
      <formula>B$9&lt;8/24</formula>
    </cfRule>
  </conditionalFormatting>
  <conditionalFormatting sqref="B86:AF90">
    <cfRule type="expression" dxfId="7103" priority="95">
      <formula>B$9&gt;=20/24</formula>
    </cfRule>
    <cfRule type="expression" dxfId="7102" priority="96">
      <formula>AND(B$9&gt;=14/24,B$9&lt;20/24)</formula>
    </cfRule>
    <cfRule type="expression" dxfId="7101" priority="97">
      <formula>AND(B$9&gt;=8/24,B$9&lt;14/24)</formula>
    </cfRule>
    <cfRule type="expression" dxfId="7100" priority="98">
      <formula>B$9&lt;8/24</formula>
    </cfRule>
  </conditionalFormatting>
  <conditionalFormatting sqref="AL40 AL37 AL20:AL32 AL34:AL35 AL7:AL17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7099" priority="91">
      <formula>C$9&gt;=20/24</formula>
    </cfRule>
    <cfRule type="expression" dxfId="7098" priority="92">
      <formula>AND(C$9&gt;=14/24,C$9&lt;20/24)</formula>
    </cfRule>
    <cfRule type="expression" dxfId="7097" priority="93">
      <formula>AND(C$9&gt;=8/24,C$9&lt;14/24)</formula>
    </cfRule>
    <cfRule type="expression" dxfId="7096" priority="94">
      <formula>C$9&lt;8/24</formula>
    </cfRule>
  </conditionalFormatting>
  <conditionalFormatting sqref="C44:AF46">
    <cfRule type="expression" dxfId="7095" priority="90">
      <formula>C44&gt;$AG44</formula>
    </cfRule>
  </conditionalFormatting>
  <conditionalFormatting sqref="B44:B47 C47:AG47">
    <cfRule type="expression" dxfId="7094" priority="86">
      <formula>B$9&gt;=20/24</formula>
    </cfRule>
    <cfRule type="expression" dxfId="7093" priority="87">
      <formula>AND(B$9&gt;=14/24,B$9&lt;20/24)</formula>
    </cfRule>
    <cfRule type="expression" dxfId="7092" priority="88">
      <formula>AND(B$9&gt;=8/24,B$9&lt;14/24)</formula>
    </cfRule>
    <cfRule type="expression" dxfId="7091" priority="89">
      <formula>B$9&lt;8/24</formula>
    </cfRule>
  </conditionalFormatting>
  <conditionalFormatting sqref="B44:B47 C47:AG47">
    <cfRule type="expression" dxfId="7090" priority="85">
      <formula>B44&gt;$AG44</formula>
    </cfRule>
  </conditionalFormatting>
  <conditionalFormatting sqref="C102:AF102">
    <cfRule type="expression" dxfId="7089" priority="81">
      <formula>C$9&gt;=20/24</formula>
    </cfRule>
    <cfRule type="expression" dxfId="7088" priority="82">
      <formula>AND(C$9&gt;=14/24,C$9&lt;20/24)</formula>
    </cfRule>
    <cfRule type="expression" dxfId="7087" priority="83">
      <formula>AND(C$9&gt;=8/24,C$9&lt;14/24)</formula>
    </cfRule>
    <cfRule type="expression" dxfId="7086" priority="84">
      <formula>C$9&lt;8/24</formula>
    </cfRule>
  </conditionalFormatting>
  <conditionalFormatting sqref="B102">
    <cfRule type="expression" dxfId="7085" priority="77">
      <formula>B$9&gt;=20/24</formula>
    </cfRule>
    <cfRule type="expression" dxfId="7084" priority="78">
      <formula>AND(B$9&gt;=14/24,B$9&lt;20/24)</formula>
    </cfRule>
    <cfRule type="expression" dxfId="7083" priority="79">
      <formula>AND(B$9&gt;=8/24,B$9&lt;14/24)</formula>
    </cfRule>
    <cfRule type="expression" dxfId="7082" priority="80">
      <formula>B$9&lt;8/24</formula>
    </cfRule>
  </conditionalFormatting>
  <conditionalFormatting sqref="AL36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7081" priority="71">
      <formula>$AH36=0</formula>
    </cfRule>
  </conditionalFormatting>
  <conditionalFormatting sqref="A85">
    <cfRule type="expression" dxfId="7080" priority="69">
      <formula>$AH85=0</formula>
    </cfRule>
  </conditionalFormatting>
  <conditionalFormatting sqref="A82">
    <cfRule type="expression" dxfId="7079" priority="70">
      <formula>$AH82=0</formula>
    </cfRule>
  </conditionalFormatting>
  <conditionalFormatting sqref="A112">
    <cfRule type="expression" dxfId="7078" priority="60">
      <formula>$AH112=0</formula>
    </cfRule>
  </conditionalFormatting>
  <conditionalFormatting sqref="C105:AF105">
    <cfRule type="expression" dxfId="7077" priority="56">
      <formula>C$9&gt;=20/24</formula>
    </cfRule>
    <cfRule type="expression" dxfId="7076" priority="57">
      <formula>AND(C$9&gt;=14/24,C$9&lt;20/24)</formula>
    </cfRule>
    <cfRule type="expression" dxfId="7075" priority="58">
      <formula>AND(C$9&gt;=8/24,C$9&lt;14/24)</formula>
    </cfRule>
    <cfRule type="expression" dxfId="7074" priority="59">
      <formula>C$9&lt;8/24</formula>
    </cfRule>
  </conditionalFormatting>
  <conditionalFormatting sqref="A105">
    <cfRule type="expression" dxfId="7073" priority="55">
      <formula>$AH105=0</formula>
    </cfRule>
  </conditionalFormatting>
  <conditionalFormatting sqref="B105">
    <cfRule type="expression" dxfId="7072" priority="51">
      <formula>B$9&gt;=20/24</formula>
    </cfRule>
    <cfRule type="expression" dxfId="7071" priority="52">
      <formula>AND(B$9&gt;=14/24,B$9&lt;20/24)</formula>
    </cfRule>
    <cfRule type="expression" dxfId="7070" priority="53">
      <formula>AND(B$9&gt;=8/24,B$9&lt;14/24)</formula>
    </cfRule>
    <cfRule type="expression" dxfId="7069" priority="54">
      <formula>B$9&lt;8/24</formula>
    </cfRule>
  </conditionalFormatting>
  <conditionalFormatting sqref="X55:AF59">
    <cfRule type="expression" dxfId="7068" priority="47">
      <formula>X$9&gt;=20/24</formula>
    </cfRule>
    <cfRule type="expression" dxfId="7067" priority="48">
      <formula>AND(X$9&gt;=14/24,X$9&lt;20/24)</formula>
    </cfRule>
    <cfRule type="expression" dxfId="7066" priority="49">
      <formula>AND(X$9&gt;=8/24,X$9&lt;14/24)</formula>
    </cfRule>
    <cfRule type="expression" dxfId="7065" priority="50">
      <formula>X$9&lt;8/24</formula>
    </cfRule>
  </conditionalFormatting>
  <conditionalFormatting sqref="X55:AF59">
    <cfRule type="expression" dxfId="7064" priority="46">
      <formula>X55&gt;$AG55</formula>
    </cfRule>
  </conditionalFormatting>
  <conditionalFormatting sqref="B19:AF19">
    <cfRule type="expression" dxfId="7063" priority="44">
      <formula>B19&gt;$AG19</formula>
    </cfRule>
  </conditionalFormatting>
  <conditionalFormatting sqref="A19">
    <cfRule type="expression" dxfId="7062" priority="43">
      <formula>$AH19=0</formula>
    </cfRule>
  </conditionalFormatting>
  <conditionalFormatting sqref="X19:AF19">
    <cfRule type="expression" dxfId="7061" priority="39">
      <formula>X$9&gt;=20/24</formula>
    </cfRule>
    <cfRule type="expression" dxfId="7060" priority="40">
      <formula>AND(X$9&gt;=14/24,X$9&lt;20/24)</formula>
    </cfRule>
    <cfRule type="expression" dxfId="7059" priority="41">
      <formula>AND(X$9&gt;=8/24,X$9&lt;14/24)</formula>
    </cfRule>
    <cfRule type="expression" dxfId="7058" priority="42">
      <formula>X$9&lt;8/24</formula>
    </cfRule>
  </conditionalFormatting>
  <conditionalFormatting sqref="B19:W19">
    <cfRule type="expression" dxfId="7057" priority="35">
      <formula>B$9&gt;=20/24</formula>
    </cfRule>
    <cfRule type="expression" dxfId="7056" priority="36">
      <formula>AND(B$9&gt;=14/24,B$9&lt;20/24)</formula>
    </cfRule>
    <cfRule type="expression" dxfId="7055" priority="37">
      <formula>AND(B$9&gt;=8/24,B$9&lt;14/24)</formula>
    </cfRule>
    <cfRule type="expression" dxfId="7054" priority="38">
      <formula>B$9&lt;8/24</formula>
    </cfRule>
  </conditionalFormatting>
  <conditionalFormatting sqref="AL19">
    <cfRule type="iconSet" priority="45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7053" priority="33">
      <formula>$AH33=0</formula>
    </cfRule>
  </conditionalFormatting>
  <conditionalFormatting sqref="X33:AF33">
    <cfRule type="expression" dxfId="7052" priority="29">
      <formula>X$9&gt;=20/24</formula>
    </cfRule>
    <cfRule type="expression" dxfId="7051" priority="30">
      <formula>AND(X$9&gt;=14/24,X$9&lt;20/24)</formula>
    </cfRule>
    <cfRule type="expression" dxfId="7050" priority="31">
      <formula>AND(X$9&gt;=8/24,X$9&lt;14/24)</formula>
    </cfRule>
    <cfRule type="expression" dxfId="7049" priority="32">
      <formula>X$9&lt;8/24</formula>
    </cfRule>
  </conditionalFormatting>
  <conditionalFormatting sqref="X33:AF33">
    <cfRule type="expression" dxfId="7048" priority="28">
      <formula>X33&gt;$AG33</formula>
    </cfRule>
  </conditionalFormatting>
  <conditionalFormatting sqref="M33:W33">
    <cfRule type="expression" dxfId="7047" priority="24">
      <formula>M$9&gt;=20/24</formula>
    </cfRule>
    <cfRule type="expression" dxfId="7046" priority="25">
      <formula>AND(M$9&gt;=14/24,M$9&lt;20/24)</formula>
    </cfRule>
    <cfRule type="expression" dxfId="7045" priority="26">
      <formula>AND(M$9&gt;=8/24,M$9&lt;14/24)</formula>
    </cfRule>
    <cfRule type="expression" dxfId="7044" priority="27">
      <formula>M$9&lt;8/24</formula>
    </cfRule>
  </conditionalFormatting>
  <conditionalFormatting sqref="M33:W33">
    <cfRule type="expression" dxfId="7043" priority="23">
      <formula>M33&gt;$AG33</formula>
    </cfRule>
  </conditionalFormatting>
  <conditionalFormatting sqref="B33:L33">
    <cfRule type="expression" dxfId="7042" priority="19">
      <formula>B$9&gt;=20/24</formula>
    </cfRule>
    <cfRule type="expression" dxfId="7041" priority="20">
      <formula>AND(B$9&gt;=14/24,B$9&lt;20/24)</formula>
    </cfRule>
    <cfRule type="expression" dxfId="7040" priority="21">
      <formula>AND(B$9&gt;=8/24,B$9&lt;14/24)</formula>
    </cfRule>
    <cfRule type="expression" dxfId="7039" priority="22">
      <formula>B$9&lt;8/24</formula>
    </cfRule>
  </conditionalFormatting>
  <conditionalFormatting sqref="B33:L33">
    <cfRule type="expression" dxfId="7038" priority="18">
      <formula>B33&gt;$AG33</formula>
    </cfRule>
  </conditionalFormatting>
  <conditionalFormatting sqref="AL33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L18">
    <cfRule type="iconSet" priority="17">
      <iconSet iconSet="3TrafficLights2" reverse="1">
        <cfvo type="percent" val="0"/>
        <cfvo type="num" val="1"/>
        <cfvo type="num" val="1"/>
      </iconSet>
    </cfRule>
  </conditionalFormatting>
  <conditionalFormatting sqref="B18:AF18">
    <cfRule type="expression" dxfId="7037" priority="10">
      <formula>B18&gt;$AG18</formula>
    </cfRule>
  </conditionalFormatting>
  <conditionalFormatting sqref="A18">
    <cfRule type="expression" dxfId="7036" priority="9">
      <formula>$AH18=0</formula>
    </cfRule>
  </conditionalFormatting>
  <conditionalFormatting sqref="X18:AF18">
    <cfRule type="expression" dxfId="7035" priority="5">
      <formula>X$9&gt;=20/24</formula>
    </cfRule>
    <cfRule type="expression" dxfId="7034" priority="6">
      <formula>AND(X$9&gt;=14/24,X$9&lt;20/24)</formula>
    </cfRule>
    <cfRule type="expression" dxfId="7033" priority="7">
      <formula>AND(X$9&gt;=8/24,X$9&lt;14/24)</formula>
    </cfRule>
    <cfRule type="expression" dxfId="7032" priority="8">
      <formula>X$9&lt;8/24</formula>
    </cfRule>
  </conditionalFormatting>
  <conditionalFormatting sqref="B18:W18">
    <cfRule type="expression" dxfId="7031" priority="1">
      <formula>B$9&gt;=20/24</formula>
    </cfRule>
    <cfRule type="expression" dxfId="7030" priority="2">
      <formula>AND(B$9&gt;=14/24,B$9&lt;20/24)</formula>
    </cfRule>
    <cfRule type="expression" dxfId="7029" priority="3">
      <formula>AND(B$9&gt;=8/24,B$9&lt;14/24)</formula>
    </cfRule>
    <cfRule type="expression" dxfId="7028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2" id="{2C2607E0-63E2-4331-980D-099A7927C81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3" id="{047E31B7-5E77-4386-957E-D408DB2E189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4" id="{4232C588-CD38-4DE1-AAFE-FA2A87B26BE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75" id="{AF127EA5-6E8C-42F4-8411-3745E7AC931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B85:AF85</xm:sqref>
        </x14:conditionalFormatting>
        <x14:conditionalFormatting xmlns:xm="http://schemas.microsoft.com/office/excel/2006/main">
          <x14:cfRule type="expression" priority="65" id="{095508DF-FAA8-4711-9F0A-CACEAD3FEA8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6" id="{BE54539C-9425-45DE-B170-29E36A34BE3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id="{AEC4E8F9-B177-4378-B2E0-32F5A5A9D47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id="{D4CDE458-C806-44BB-8547-C170F5406F8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61" id="{D6C7ABEB-0D86-4CFB-AD6E-1BD9F65F7F7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2" id="{73EB9C6A-4A40-4234-ADF8-19674A98032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3" id="{EA9D2271-E139-4A69-8169-FA414E48312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4" id="{1C8479AB-6EBA-4C60-8096-644DAA32703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273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AE48" sqref="AE4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2079/08/10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1515MW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Load=994</v>
      </c>
      <c r="B7" s="35">
        <f t="shared" ref="B7:AF7" si="1">B84</f>
        <v>1107.74</v>
      </c>
      <c r="C7" s="35">
        <f t="shared" si="1"/>
        <v>1040.04</v>
      </c>
      <c r="D7" s="35">
        <f t="shared" si="1"/>
        <v>1014.24</v>
      </c>
      <c r="E7" s="35">
        <f t="shared" si="1"/>
        <v>994.24</v>
      </c>
      <c r="F7" s="35">
        <f t="shared" si="1"/>
        <v>1008.64</v>
      </c>
      <c r="G7" s="35">
        <f t="shared" si="1"/>
        <v>1010.5400000000002</v>
      </c>
      <c r="H7" s="35">
        <f t="shared" si="1"/>
        <v>1049.5400000000002</v>
      </c>
      <c r="I7" s="35">
        <f t="shared" si="1"/>
        <v>1110.5400000000002</v>
      </c>
      <c r="J7" s="35">
        <f t="shared" si="1"/>
        <v>1240.5400000000002</v>
      </c>
      <c r="K7" s="35">
        <f t="shared" si="1"/>
        <v>1403.5400000000002</v>
      </c>
      <c r="L7" s="35">
        <f t="shared" si="1"/>
        <v>1454.04</v>
      </c>
      <c r="M7" s="35">
        <f t="shared" si="1"/>
        <v>1515.24</v>
      </c>
      <c r="N7" s="35">
        <f t="shared" si="1"/>
        <v>1484.8400000000001</v>
      </c>
      <c r="O7" s="35">
        <f t="shared" si="1"/>
        <v>1298.74</v>
      </c>
      <c r="P7" s="35">
        <f t="shared" si="1"/>
        <v>1255.8400000000001</v>
      </c>
      <c r="Q7" s="35">
        <f t="shared" si="1"/>
        <v>1237.3400000000001</v>
      </c>
      <c r="R7" s="35">
        <f t="shared" si="1"/>
        <v>1228.3400000000001</v>
      </c>
      <c r="S7" s="35">
        <f t="shared" si="1"/>
        <v>1169.3400000000001</v>
      </c>
      <c r="T7" s="35">
        <f t="shared" si="1"/>
        <v>1146.44</v>
      </c>
      <c r="U7" s="35">
        <f t="shared" si="1"/>
        <v>1156.24</v>
      </c>
      <c r="V7" s="35">
        <f t="shared" si="1"/>
        <v>1317.44</v>
      </c>
      <c r="W7" s="35">
        <f t="shared" si="1"/>
        <v>1431.54</v>
      </c>
      <c r="X7" s="35">
        <f t="shared" si="1"/>
        <v>1603.8400000000001</v>
      </c>
      <c r="Y7" s="35">
        <f t="shared" si="1"/>
        <v>1567.8400000000001</v>
      </c>
      <c r="Z7" s="35">
        <f t="shared" si="1"/>
        <v>1447.8400000000001</v>
      </c>
      <c r="AA7" s="35">
        <f t="shared" si="1"/>
        <v>1347.8400000000001</v>
      </c>
      <c r="AB7" s="35">
        <f t="shared" si="1"/>
        <v>1318.54</v>
      </c>
      <c r="AC7" s="35">
        <f t="shared" si="1"/>
        <v>1263.3400000000001</v>
      </c>
      <c r="AD7" s="35">
        <f t="shared" si="1"/>
        <v>1227.8400000000001</v>
      </c>
      <c r="AE7" s="35">
        <f t="shared" si="1"/>
        <v>1091.44</v>
      </c>
      <c r="AF7" s="35">
        <f t="shared" si="1"/>
        <v>1102.5400000000002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33.9</v>
      </c>
      <c r="C11" s="45">
        <v>30</v>
      </c>
      <c r="D11" s="45">
        <v>33.6</v>
      </c>
      <c r="E11" s="45">
        <v>33.700000000000003</v>
      </c>
      <c r="F11" s="45">
        <v>33.700000000000003</v>
      </c>
      <c r="G11" s="45">
        <v>33.700000000000003</v>
      </c>
      <c r="H11" s="45">
        <v>33.700000000000003</v>
      </c>
      <c r="I11" s="45">
        <v>33.700000000000003</v>
      </c>
      <c r="J11" s="45">
        <v>33.700000000000003</v>
      </c>
      <c r="K11" s="45">
        <v>33.700000000000003</v>
      </c>
      <c r="L11" s="45">
        <v>33.700000000000003</v>
      </c>
      <c r="M11" s="45">
        <v>33.700000000000003</v>
      </c>
      <c r="N11" s="45">
        <v>32.5</v>
      </c>
      <c r="O11" s="45">
        <v>32.5</v>
      </c>
      <c r="P11" s="45">
        <v>32</v>
      </c>
      <c r="Q11" s="45">
        <v>32</v>
      </c>
      <c r="R11" s="45">
        <v>32</v>
      </c>
      <c r="S11" s="45">
        <v>32</v>
      </c>
      <c r="T11" s="45">
        <v>31.9</v>
      </c>
      <c r="U11" s="45">
        <v>31.9</v>
      </c>
      <c r="V11" s="45">
        <v>31.9</v>
      </c>
      <c r="W11" s="45">
        <v>31.9</v>
      </c>
      <c r="X11" s="46">
        <v>32.5</v>
      </c>
      <c r="Y11" s="46">
        <v>32.5</v>
      </c>
      <c r="Z11" s="46">
        <v>32.5</v>
      </c>
      <c r="AA11" s="46">
        <v>32.5</v>
      </c>
      <c r="AB11" s="46">
        <v>32.5</v>
      </c>
      <c r="AC11" s="46">
        <v>32.5</v>
      </c>
      <c r="AD11" s="46">
        <v>32.5</v>
      </c>
      <c r="AE11" s="46">
        <v>33.5</v>
      </c>
      <c r="AF11" s="46">
        <v>33.9</v>
      </c>
      <c r="AG11" s="47">
        <v>52.4</v>
      </c>
      <c r="AH11" s="48">
        <f>MAX(B11:AF11)</f>
        <v>33.9</v>
      </c>
      <c r="AI11" s="49">
        <f>MIN(B11:AF11)</f>
        <v>30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50.4</v>
      </c>
      <c r="L12" s="45">
        <v>50.4</v>
      </c>
      <c r="M12" s="45">
        <v>50.4</v>
      </c>
      <c r="N12" s="45">
        <v>50.4</v>
      </c>
      <c r="O12" s="45">
        <v>50.4</v>
      </c>
      <c r="P12" s="45">
        <v>50.4</v>
      </c>
      <c r="Q12" s="45">
        <v>50.4</v>
      </c>
      <c r="R12" s="45">
        <v>50.4</v>
      </c>
      <c r="S12" s="45">
        <v>50.3</v>
      </c>
      <c r="T12" s="45">
        <v>50.2</v>
      </c>
      <c r="U12" s="45">
        <v>50.4</v>
      </c>
      <c r="V12" s="45">
        <v>50.4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50.5</v>
      </c>
      <c r="AF12" s="45">
        <v>50.5</v>
      </c>
      <c r="AG12" s="51">
        <v>50</v>
      </c>
      <c r="AH12" s="48">
        <f t="shared" ref="AH12:AH78" si="2">MAX(B12:AF12)</f>
        <v>50.5</v>
      </c>
      <c r="AI12" s="49">
        <f t="shared" ref="AI12:AI78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32.6</v>
      </c>
      <c r="C13" s="45">
        <v>31.2</v>
      </c>
      <c r="D13" s="45">
        <v>31.2</v>
      </c>
      <c r="E13" s="45">
        <v>29.8</v>
      </c>
      <c r="F13" s="45">
        <v>29.8</v>
      </c>
      <c r="G13" s="45">
        <v>29.8</v>
      </c>
      <c r="H13" s="45">
        <v>29.8</v>
      </c>
      <c r="I13" s="45">
        <v>29.8</v>
      </c>
      <c r="J13" s="45">
        <v>29.8</v>
      </c>
      <c r="K13" s="45">
        <v>29.8</v>
      </c>
      <c r="L13" s="45">
        <v>29.8</v>
      </c>
      <c r="M13" s="45">
        <v>29</v>
      </c>
      <c r="N13" s="45">
        <v>29</v>
      </c>
      <c r="O13" s="45">
        <v>29</v>
      </c>
      <c r="P13" s="45">
        <v>28.1</v>
      </c>
      <c r="Q13" s="45">
        <v>28.1</v>
      </c>
      <c r="R13" s="45">
        <v>28.1</v>
      </c>
      <c r="S13" s="45">
        <v>28.7</v>
      </c>
      <c r="T13" s="45">
        <v>29.3</v>
      </c>
      <c r="U13" s="45">
        <v>29.4</v>
      </c>
      <c r="V13" s="45">
        <v>29.4</v>
      </c>
      <c r="W13" s="45">
        <v>31.5</v>
      </c>
      <c r="X13" s="45">
        <v>31.5</v>
      </c>
      <c r="Y13" s="45">
        <v>31.5</v>
      </c>
      <c r="Z13" s="45">
        <v>31.5</v>
      </c>
      <c r="AA13" s="45">
        <v>31.5</v>
      </c>
      <c r="AB13" s="45">
        <v>31.5</v>
      </c>
      <c r="AC13" s="45">
        <v>31.5</v>
      </c>
      <c r="AD13" s="45">
        <v>31.5</v>
      </c>
      <c r="AE13" s="45">
        <v>31.4</v>
      </c>
      <c r="AF13" s="45">
        <v>31.2</v>
      </c>
      <c r="AG13" s="51">
        <v>45</v>
      </c>
      <c r="AH13" s="48">
        <f t="shared" si="2"/>
        <v>32.6</v>
      </c>
      <c r="AI13" s="49">
        <f t="shared" si="3"/>
        <v>28.1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14</v>
      </c>
      <c r="C14" s="45">
        <v>14</v>
      </c>
      <c r="D14" s="45">
        <v>14</v>
      </c>
      <c r="E14" s="45">
        <v>19</v>
      </c>
      <c r="F14" s="45">
        <v>19</v>
      </c>
      <c r="G14" s="45">
        <v>19</v>
      </c>
      <c r="H14" s="45">
        <v>19</v>
      </c>
      <c r="I14" s="45">
        <v>19</v>
      </c>
      <c r="J14" s="45">
        <v>19</v>
      </c>
      <c r="K14" s="45">
        <v>19</v>
      </c>
      <c r="L14" s="45">
        <v>19</v>
      </c>
      <c r="M14" s="45">
        <v>19</v>
      </c>
      <c r="N14" s="45">
        <v>19</v>
      </c>
      <c r="O14" s="45">
        <v>19</v>
      </c>
      <c r="P14" s="45">
        <v>18</v>
      </c>
      <c r="Q14" s="45">
        <v>18</v>
      </c>
      <c r="R14" s="45">
        <v>15</v>
      </c>
      <c r="S14" s="45">
        <v>18</v>
      </c>
      <c r="T14" s="45">
        <v>18.5</v>
      </c>
      <c r="U14" s="45">
        <v>18.5</v>
      </c>
      <c r="V14" s="45">
        <v>18.5</v>
      </c>
      <c r="W14" s="45">
        <v>18.600000000000001</v>
      </c>
      <c r="X14" s="45">
        <v>18.600000000000001</v>
      </c>
      <c r="Y14" s="45">
        <v>18.600000000000001</v>
      </c>
      <c r="Z14" s="45">
        <v>18.600000000000001</v>
      </c>
      <c r="AA14" s="45">
        <v>18.600000000000001</v>
      </c>
      <c r="AB14" s="45">
        <v>18.600000000000001</v>
      </c>
      <c r="AC14" s="45">
        <v>18.600000000000001</v>
      </c>
      <c r="AD14" s="45">
        <v>18.600000000000001</v>
      </c>
      <c r="AE14" s="45">
        <v>18.5</v>
      </c>
      <c r="AF14" s="45">
        <v>18.5</v>
      </c>
      <c r="AG14" s="51">
        <v>42</v>
      </c>
      <c r="AH14" s="48">
        <f t="shared" si="2"/>
        <v>19</v>
      </c>
      <c r="AI14" s="49">
        <f t="shared" si="3"/>
        <v>14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25</v>
      </c>
      <c r="C15" s="45">
        <v>10</v>
      </c>
      <c r="D15" s="45">
        <v>10</v>
      </c>
      <c r="E15" s="45">
        <v>10</v>
      </c>
      <c r="F15" s="45">
        <v>10</v>
      </c>
      <c r="G15" s="45">
        <v>10</v>
      </c>
      <c r="H15" s="45">
        <v>10</v>
      </c>
      <c r="I15" s="45">
        <v>10</v>
      </c>
      <c r="J15" s="45">
        <v>25</v>
      </c>
      <c r="K15" s="45">
        <v>25</v>
      </c>
      <c r="L15" s="45">
        <v>25</v>
      </c>
      <c r="M15" s="45">
        <v>25</v>
      </c>
      <c r="N15" s="45">
        <v>25</v>
      </c>
      <c r="O15" s="45">
        <v>25</v>
      </c>
      <c r="P15" s="45">
        <v>24.5</v>
      </c>
      <c r="Q15" s="45">
        <v>24.5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25</v>
      </c>
      <c r="AI15" s="49">
        <f t="shared" si="3"/>
        <v>10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10.6</v>
      </c>
      <c r="H16" s="45">
        <v>10.6</v>
      </c>
      <c r="I16" s="45">
        <v>10.6</v>
      </c>
      <c r="J16" s="45">
        <v>10.6</v>
      </c>
      <c r="K16" s="45">
        <v>10.6</v>
      </c>
      <c r="L16" s="45">
        <v>10.6</v>
      </c>
      <c r="M16" s="45">
        <v>17.2</v>
      </c>
      <c r="N16" s="45">
        <v>17.2</v>
      </c>
      <c r="O16" s="45">
        <v>17.2</v>
      </c>
      <c r="P16" s="45">
        <v>17.2</v>
      </c>
      <c r="Q16" s="45">
        <v>17.2</v>
      </c>
      <c r="R16" s="45">
        <v>18</v>
      </c>
      <c r="S16" s="45">
        <v>10.4</v>
      </c>
      <c r="T16" s="45">
        <v>19.399999999999999</v>
      </c>
      <c r="U16" s="45">
        <v>19.399999999999999</v>
      </c>
      <c r="V16" s="45">
        <v>19.399999999999999</v>
      </c>
      <c r="W16" s="45">
        <v>19.399999999999999</v>
      </c>
      <c r="X16" s="45">
        <v>18.399999999999999</v>
      </c>
      <c r="Y16" s="45">
        <v>18.399999999999999</v>
      </c>
      <c r="Z16" s="45">
        <v>18.399999999999999</v>
      </c>
      <c r="AA16" s="45">
        <v>18.399999999999999</v>
      </c>
      <c r="AB16" s="45">
        <v>18.399999999999999</v>
      </c>
      <c r="AC16" s="45">
        <v>18.399999999999999</v>
      </c>
      <c r="AD16" s="45">
        <v>18.399999999999999</v>
      </c>
      <c r="AE16" s="45">
        <v>17.2</v>
      </c>
      <c r="AF16" s="45">
        <v>10.6</v>
      </c>
      <c r="AG16" s="52">
        <v>30</v>
      </c>
      <c r="AH16" s="48">
        <f t="shared" si="2"/>
        <v>19.399999999999999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15.3</v>
      </c>
      <c r="C17" s="45">
        <v>16</v>
      </c>
      <c r="D17" s="45">
        <v>16</v>
      </c>
      <c r="E17" s="45">
        <v>15.8</v>
      </c>
      <c r="F17" s="45">
        <v>15.8</v>
      </c>
      <c r="G17" s="45">
        <v>15.8</v>
      </c>
      <c r="H17" s="45">
        <v>15.8</v>
      </c>
      <c r="I17" s="45">
        <v>15.8</v>
      </c>
      <c r="J17" s="45">
        <v>15.8</v>
      </c>
      <c r="K17" s="45">
        <v>15.8</v>
      </c>
      <c r="L17" s="45">
        <v>15.8</v>
      </c>
      <c r="M17" s="45">
        <v>15.8</v>
      </c>
      <c r="N17" s="45">
        <v>15.8</v>
      </c>
      <c r="O17" s="45">
        <v>15.8</v>
      </c>
      <c r="P17" s="45">
        <v>15.8</v>
      </c>
      <c r="Q17" s="45">
        <v>15.8</v>
      </c>
      <c r="R17" s="45">
        <v>15.5</v>
      </c>
      <c r="S17" s="45">
        <v>15.5</v>
      </c>
      <c r="T17" s="45">
        <v>15.5</v>
      </c>
      <c r="U17" s="45">
        <v>15.5</v>
      </c>
      <c r="V17" s="45">
        <v>15.5</v>
      </c>
      <c r="W17" s="45">
        <v>15.5</v>
      </c>
      <c r="X17" s="45">
        <v>16.100000000000001</v>
      </c>
      <c r="Y17" s="45">
        <v>16.100000000000001</v>
      </c>
      <c r="Z17" s="45">
        <v>16.100000000000001</v>
      </c>
      <c r="AA17" s="45">
        <v>16.100000000000001</v>
      </c>
      <c r="AB17" s="45">
        <v>16.100000000000001</v>
      </c>
      <c r="AC17" s="45">
        <v>16.100000000000001</v>
      </c>
      <c r="AD17" s="45">
        <v>16.100000000000001</v>
      </c>
      <c r="AE17" s="45">
        <v>15.5</v>
      </c>
      <c r="AF17" s="45">
        <v>15.3</v>
      </c>
      <c r="AG17" s="51">
        <v>24.2</v>
      </c>
      <c r="AH17" s="48">
        <f t="shared" si="2"/>
        <v>16.100000000000001</v>
      </c>
      <c r="AI17" s="49">
        <f t="shared" si="3"/>
        <v>15.3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18</v>
      </c>
      <c r="C18" s="45">
        <v>18</v>
      </c>
      <c r="D18" s="45">
        <v>18</v>
      </c>
      <c r="E18" s="45">
        <v>18</v>
      </c>
      <c r="F18" s="45">
        <v>18</v>
      </c>
      <c r="G18" s="45">
        <v>18</v>
      </c>
      <c r="H18" s="45">
        <v>18</v>
      </c>
      <c r="I18" s="45">
        <v>18</v>
      </c>
      <c r="J18" s="45">
        <v>18</v>
      </c>
      <c r="K18" s="45">
        <v>18</v>
      </c>
      <c r="L18" s="45">
        <v>18</v>
      </c>
      <c r="M18" s="45">
        <v>18</v>
      </c>
      <c r="N18" s="45">
        <v>18</v>
      </c>
      <c r="O18" s="45">
        <v>18</v>
      </c>
      <c r="P18" s="45">
        <v>18</v>
      </c>
      <c r="Q18" s="45">
        <v>18</v>
      </c>
      <c r="R18" s="45">
        <v>17</v>
      </c>
      <c r="S18" s="45">
        <v>17</v>
      </c>
      <c r="T18" s="45">
        <v>17</v>
      </c>
      <c r="U18" s="45">
        <v>17</v>
      </c>
      <c r="V18" s="45">
        <v>17</v>
      </c>
      <c r="W18" s="45">
        <v>17</v>
      </c>
      <c r="X18" s="45">
        <v>17</v>
      </c>
      <c r="Y18" s="45">
        <v>17</v>
      </c>
      <c r="Z18" s="45">
        <v>17</v>
      </c>
      <c r="AA18" s="45">
        <v>17</v>
      </c>
      <c r="AB18" s="45">
        <v>17</v>
      </c>
      <c r="AC18" s="45">
        <v>17</v>
      </c>
      <c r="AD18" s="45">
        <v>17</v>
      </c>
      <c r="AE18" s="45">
        <v>17</v>
      </c>
      <c r="AF18" s="45">
        <v>17</v>
      </c>
      <c r="AG18" s="51">
        <v>28</v>
      </c>
      <c r="AH18" s="48">
        <f t="shared" si="2"/>
        <v>18</v>
      </c>
      <c r="AI18" s="49">
        <f t="shared" si="3"/>
        <v>17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22</v>
      </c>
      <c r="N19" s="45">
        <v>22</v>
      </c>
      <c r="O19" s="45">
        <v>18</v>
      </c>
      <c r="P19" s="45">
        <v>18</v>
      </c>
      <c r="Q19" s="45">
        <v>17</v>
      </c>
      <c r="R19" s="45">
        <v>12</v>
      </c>
      <c r="S19" s="45">
        <v>12</v>
      </c>
      <c r="T19" s="45">
        <v>20</v>
      </c>
      <c r="U19" s="45">
        <v>20</v>
      </c>
      <c r="V19" s="45">
        <v>20</v>
      </c>
      <c r="W19" s="45">
        <v>20</v>
      </c>
      <c r="X19" s="45">
        <v>20</v>
      </c>
      <c r="Y19" s="45">
        <v>20</v>
      </c>
      <c r="Z19" s="45">
        <v>20</v>
      </c>
      <c r="AA19" s="45">
        <v>20</v>
      </c>
      <c r="AB19" s="45">
        <v>17</v>
      </c>
      <c r="AC19" s="45">
        <v>17</v>
      </c>
      <c r="AD19" s="45">
        <v>17</v>
      </c>
      <c r="AE19" s="45">
        <v>17</v>
      </c>
      <c r="AF19" s="45">
        <v>10</v>
      </c>
      <c r="AG19" s="52">
        <v>30</v>
      </c>
      <c r="AH19" s="48">
        <f t="shared" si="2"/>
        <v>22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16.3</v>
      </c>
      <c r="C20" s="45">
        <v>16.3</v>
      </c>
      <c r="D20" s="45">
        <v>16.3</v>
      </c>
      <c r="E20" s="45">
        <v>16.3</v>
      </c>
      <c r="F20" s="45">
        <v>16.3</v>
      </c>
      <c r="G20" s="45">
        <v>16.3</v>
      </c>
      <c r="H20" s="45">
        <v>16.3</v>
      </c>
      <c r="I20" s="45">
        <v>16.3</v>
      </c>
      <c r="J20" s="45">
        <v>16.3</v>
      </c>
      <c r="K20" s="45">
        <v>16.3</v>
      </c>
      <c r="L20" s="45">
        <v>16.3</v>
      </c>
      <c r="M20" s="45">
        <v>16.3</v>
      </c>
      <c r="N20" s="45">
        <v>16.3</v>
      </c>
      <c r="O20" s="45">
        <v>16.3</v>
      </c>
      <c r="P20" s="45">
        <v>16.3</v>
      </c>
      <c r="Q20" s="45">
        <v>16.3</v>
      </c>
      <c r="R20" s="45">
        <v>16.3</v>
      </c>
      <c r="S20" s="45">
        <v>16.3</v>
      </c>
      <c r="T20" s="45">
        <v>16.3</v>
      </c>
      <c r="U20" s="45">
        <v>16.3</v>
      </c>
      <c r="V20" s="45">
        <v>16.3</v>
      </c>
      <c r="W20" s="45">
        <v>16.3</v>
      </c>
      <c r="X20" s="45">
        <v>16.3</v>
      </c>
      <c r="Y20" s="45">
        <v>16.3</v>
      </c>
      <c r="Z20" s="45">
        <v>16.3</v>
      </c>
      <c r="AA20" s="45">
        <v>16.3</v>
      </c>
      <c r="AB20" s="45">
        <v>16.3</v>
      </c>
      <c r="AC20" s="45">
        <v>16.3</v>
      </c>
      <c r="AD20" s="45">
        <v>16.3</v>
      </c>
      <c r="AE20" s="45">
        <v>16.3</v>
      </c>
      <c r="AF20" s="45">
        <v>16.3</v>
      </c>
      <c r="AG20" s="51">
        <v>25</v>
      </c>
      <c r="AH20" s="48">
        <f t="shared" si="2"/>
        <v>16.3</v>
      </c>
      <c r="AI20" s="49">
        <f t="shared" si="3"/>
        <v>16.3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11</v>
      </c>
      <c r="C21" s="45">
        <v>11</v>
      </c>
      <c r="D21" s="45">
        <v>11</v>
      </c>
      <c r="E21" s="45">
        <v>11</v>
      </c>
      <c r="F21" s="45">
        <v>11</v>
      </c>
      <c r="G21" s="45">
        <v>11</v>
      </c>
      <c r="H21" s="45">
        <v>11</v>
      </c>
      <c r="I21" s="45">
        <v>11</v>
      </c>
      <c r="J21" s="45">
        <v>11</v>
      </c>
      <c r="K21" s="45">
        <v>11</v>
      </c>
      <c r="L21" s="45">
        <v>11</v>
      </c>
      <c r="M21" s="45">
        <v>11</v>
      </c>
      <c r="N21" s="45">
        <v>11</v>
      </c>
      <c r="O21" s="45">
        <v>0</v>
      </c>
      <c r="P21" s="45">
        <v>0</v>
      </c>
      <c r="Q21" s="45">
        <v>0</v>
      </c>
      <c r="R21" s="45">
        <v>0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</v>
      </c>
      <c r="C22" s="45">
        <v>10</v>
      </c>
      <c r="D22" s="45">
        <v>10</v>
      </c>
      <c r="E22" s="45">
        <v>10</v>
      </c>
      <c r="F22" s="45">
        <v>10</v>
      </c>
      <c r="G22" s="45">
        <v>10</v>
      </c>
      <c r="H22" s="45">
        <v>10</v>
      </c>
      <c r="I22" s="45">
        <v>10</v>
      </c>
      <c r="J22" s="45">
        <v>10</v>
      </c>
      <c r="K22" s="45">
        <v>10</v>
      </c>
      <c r="L22" s="45">
        <v>10</v>
      </c>
      <c r="M22" s="45">
        <v>10</v>
      </c>
      <c r="N22" s="45">
        <v>10</v>
      </c>
      <c r="O22" s="45">
        <v>10</v>
      </c>
      <c r="P22" s="45">
        <v>10</v>
      </c>
      <c r="Q22" s="45">
        <v>10</v>
      </c>
      <c r="R22" s="45">
        <v>10</v>
      </c>
      <c r="S22" s="45">
        <v>10</v>
      </c>
      <c r="T22" s="45">
        <v>10</v>
      </c>
      <c r="U22" s="45">
        <v>10</v>
      </c>
      <c r="V22" s="45">
        <v>10</v>
      </c>
      <c r="W22" s="45">
        <v>10</v>
      </c>
      <c r="X22" s="45">
        <v>10</v>
      </c>
      <c r="Y22" s="45">
        <v>10</v>
      </c>
      <c r="Z22" s="45">
        <v>10</v>
      </c>
      <c r="AA22" s="45">
        <v>10</v>
      </c>
      <c r="AB22" s="45">
        <v>10</v>
      </c>
      <c r="AC22" s="45">
        <v>10</v>
      </c>
      <c r="AD22" s="45">
        <v>10</v>
      </c>
      <c r="AE22" s="45">
        <v>10</v>
      </c>
      <c r="AF22" s="45">
        <v>10</v>
      </c>
      <c r="AG22" s="51">
        <v>25</v>
      </c>
      <c r="AH22" s="48">
        <f t="shared" si="2"/>
        <v>10</v>
      </c>
      <c r="AI22" s="49">
        <f t="shared" si="3"/>
        <v>10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18</v>
      </c>
      <c r="H23" s="45">
        <v>18</v>
      </c>
      <c r="I23" s="45">
        <v>18</v>
      </c>
      <c r="J23" s="45">
        <v>18</v>
      </c>
      <c r="K23" s="45">
        <v>18</v>
      </c>
      <c r="L23" s="45">
        <v>18</v>
      </c>
      <c r="M23" s="45">
        <v>18</v>
      </c>
      <c r="N23" s="45">
        <v>18</v>
      </c>
      <c r="O23" s="45">
        <v>18</v>
      </c>
      <c r="P23" s="45">
        <v>18</v>
      </c>
      <c r="Q23" s="45">
        <v>18</v>
      </c>
      <c r="R23" s="45">
        <v>18</v>
      </c>
      <c r="S23" s="45">
        <v>18</v>
      </c>
      <c r="T23" s="45">
        <v>18</v>
      </c>
      <c r="U23" s="45">
        <v>18</v>
      </c>
      <c r="V23" s="45">
        <v>18</v>
      </c>
      <c r="W23" s="45">
        <v>18</v>
      </c>
      <c r="X23" s="45">
        <v>18</v>
      </c>
      <c r="Y23" s="45">
        <v>18</v>
      </c>
      <c r="Z23" s="45">
        <v>18</v>
      </c>
      <c r="AA23" s="45">
        <v>18</v>
      </c>
      <c r="AB23" s="45">
        <v>18</v>
      </c>
      <c r="AC23" s="45">
        <v>18</v>
      </c>
      <c r="AD23" s="45">
        <v>18</v>
      </c>
      <c r="AE23" s="45">
        <v>18</v>
      </c>
      <c r="AF23" s="45">
        <v>18</v>
      </c>
      <c r="AG23" s="51">
        <v>25</v>
      </c>
      <c r="AH23" s="48">
        <f t="shared" si="2"/>
        <v>18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14.4</v>
      </c>
      <c r="C24" s="45">
        <v>14.4</v>
      </c>
      <c r="D24" s="45">
        <v>14.4</v>
      </c>
      <c r="E24" s="45">
        <v>14.4</v>
      </c>
      <c r="F24" s="45">
        <v>14.4</v>
      </c>
      <c r="G24" s="45">
        <v>14.4</v>
      </c>
      <c r="H24" s="45">
        <v>14.4</v>
      </c>
      <c r="I24" s="45">
        <v>14.4</v>
      </c>
      <c r="J24" s="45">
        <v>14.4</v>
      </c>
      <c r="K24" s="45">
        <v>14.4</v>
      </c>
      <c r="L24" s="45">
        <v>14.4</v>
      </c>
      <c r="M24" s="45">
        <v>14.6</v>
      </c>
      <c r="N24" s="45">
        <v>14.6</v>
      </c>
      <c r="O24" s="45">
        <v>14.6</v>
      </c>
      <c r="P24" s="45">
        <v>14.6</v>
      </c>
      <c r="Q24" s="45">
        <v>14.6</v>
      </c>
      <c r="R24" s="45">
        <v>14.6</v>
      </c>
      <c r="S24" s="45">
        <v>14.6</v>
      </c>
      <c r="T24" s="45">
        <v>14.6</v>
      </c>
      <c r="U24" s="45">
        <v>14.6</v>
      </c>
      <c r="V24" s="45">
        <v>14.6</v>
      </c>
      <c r="W24" s="45">
        <v>14.6</v>
      </c>
      <c r="X24" s="45">
        <v>14.6</v>
      </c>
      <c r="Y24" s="45">
        <v>14.6</v>
      </c>
      <c r="Z24" s="45">
        <v>14.6</v>
      </c>
      <c r="AA24" s="45">
        <v>14.6</v>
      </c>
      <c r="AB24" s="45">
        <v>14.6</v>
      </c>
      <c r="AC24" s="45">
        <v>14.6</v>
      </c>
      <c r="AD24" s="45">
        <v>14.6</v>
      </c>
      <c r="AE24" s="45">
        <v>14.5</v>
      </c>
      <c r="AF24" s="45">
        <v>14.4</v>
      </c>
      <c r="AG24" s="51">
        <v>23.5</v>
      </c>
      <c r="AH24" s="48">
        <f t="shared" si="2"/>
        <v>14.6</v>
      </c>
      <c r="AI24" s="49">
        <f t="shared" si="3"/>
        <v>14.4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15</v>
      </c>
      <c r="AG28" s="51">
        <v>22</v>
      </c>
      <c r="AH28" s="48">
        <f t="shared" si="2"/>
        <v>15</v>
      </c>
      <c r="AI28" s="49">
        <f t="shared" si="3"/>
        <v>8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5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6.3</v>
      </c>
      <c r="C31" s="45">
        <v>6.3</v>
      </c>
      <c r="D31" s="45">
        <v>6.3</v>
      </c>
      <c r="E31" s="45">
        <v>6.3</v>
      </c>
      <c r="F31" s="45">
        <v>6.3</v>
      </c>
      <c r="G31" s="45">
        <v>6.3</v>
      </c>
      <c r="H31" s="45">
        <v>6.3</v>
      </c>
      <c r="I31" s="45">
        <v>6.3</v>
      </c>
      <c r="J31" s="45">
        <v>6.3</v>
      </c>
      <c r="K31" s="45">
        <v>6.3</v>
      </c>
      <c r="L31" s="45">
        <v>6.3</v>
      </c>
      <c r="M31" s="45">
        <v>6.3</v>
      </c>
      <c r="N31" s="45">
        <v>6.3</v>
      </c>
      <c r="O31" s="45">
        <v>6.3</v>
      </c>
      <c r="P31" s="45">
        <v>6.3</v>
      </c>
      <c r="Q31" s="45">
        <v>6.3</v>
      </c>
      <c r="R31" s="45">
        <v>6.3</v>
      </c>
      <c r="S31" s="45">
        <v>6.3</v>
      </c>
      <c r="T31" s="45">
        <v>6.3</v>
      </c>
      <c r="U31" s="45">
        <v>6.3</v>
      </c>
      <c r="V31" s="45">
        <v>6.3</v>
      </c>
      <c r="W31" s="45">
        <v>6.3</v>
      </c>
      <c r="X31" s="45">
        <v>6.3</v>
      </c>
      <c r="Y31" s="45">
        <v>6.3</v>
      </c>
      <c r="Z31" s="45">
        <v>6.3</v>
      </c>
      <c r="AA31" s="45">
        <v>6.3</v>
      </c>
      <c r="AB31" s="45">
        <v>6.3</v>
      </c>
      <c r="AC31" s="45">
        <v>6.3</v>
      </c>
      <c r="AD31" s="45">
        <v>6.3</v>
      </c>
      <c r="AE31" s="45">
        <v>6.3</v>
      </c>
      <c r="AF31" s="45">
        <v>6.3</v>
      </c>
      <c r="AG31" s="51">
        <v>13.6</v>
      </c>
      <c r="AH31" s="48">
        <f t="shared" si="2"/>
        <v>6.3</v>
      </c>
      <c r="AI31" s="49">
        <f t="shared" si="3"/>
        <v>6.3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3.5</v>
      </c>
      <c r="C32" s="45">
        <v>3.5</v>
      </c>
      <c r="D32" s="45">
        <v>3.5</v>
      </c>
      <c r="E32" s="45">
        <v>3.5</v>
      </c>
      <c r="F32" s="45">
        <v>3.5</v>
      </c>
      <c r="G32" s="45">
        <v>3.5</v>
      </c>
      <c r="H32" s="45">
        <v>3.5</v>
      </c>
      <c r="I32" s="45">
        <v>3.5</v>
      </c>
      <c r="J32" s="45">
        <v>3.5</v>
      </c>
      <c r="K32" s="45">
        <v>3.5</v>
      </c>
      <c r="L32" s="45">
        <v>3.5</v>
      </c>
      <c r="M32" s="45">
        <v>3.5</v>
      </c>
      <c r="N32" s="45">
        <v>3.5</v>
      </c>
      <c r="O32" s="45">
        <v>3.5</v>
      </c>
      <c r="P32" s="45">
        <v>3.5</v>
      </c>
      <c r="Q32" s="45">
        <v>3.5</v>
      </c>
      <c r="R32" s="45">
        <v>3.5</v>
      </c>
      <c r="S32" s="45">
        <v>3.5</v>
      </c>
      <c r="T32" s="45">
        <v>3.5</v>
      </c>
      <c r="U32" s="45">
        <v>3.5</v>
      </c>
      <c r="V32" s="45">
        <v>3.5</v>
      </c>
      <c r="W32" s="45">
        <v>3.5</v>
      </c>
      <c r="X32" s="45">
        <v>3.5</v>
      </c>
      <c r="Y32" s="45">
        <v>3.5</v>
      </c>
      <c r="Z32" s="45">
        <v>3.5</v>
      </c>
      <c r="AA32" s="45">
        <v>3.5</v>
      </c>
      <c r="AB32" s="45">
        <v>3.5</v>
      </c>
      <c r="AC32" s="45">
        <v>3.5</v>
      </c>
      <c r="AD32" s="45">
        <v>3.5</v>
      </c>
      <c r="AE32" s="45">
        <v>3.5</v>
      </c>
      <c r="AF32" s="45">
        <v>3.5</v>
      </c>
      <c r="AG32" s="51">
        <v>13</v>
      </c>
      <c r="AH32" s="48">
        <f t="shared" si="2"/>
        <v>3.5</v>
      </c>
      <c r="AI32" s="49">
        <f t="shared" si="3"/>
        <v>3.5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10</v>
      </c>
      <c r="H33" s="45">
        <v>10</v>
      </c>
      <c r="I33" s="45">
        <v>10</v>
      </c>
      <c r="J33" s="45">
        <v>10</v>
      </c>
      <c r="K33" s="45">
        <v>10</v>
      </c>
      <c r="L33" s="45">
        <v>10</v>
      </c>
      <c r="M33" s="45">
        <v>10</v>
      </c>
      <c r="N33" s="45">
        <v>10</v>
      </c>
      <c r="O33" s="45">
        <v>10</v>
      </c>
      <c r="P33" s="45">
        <v>10</v>
      </c>
      <c r="Q33" s="45">
        <v>10</v>
      </c>
      <c r="R33" s="45">
        <v>10</v>
      </c>
      <c r="S33" s="45">
        <v>10</v>
      </c>
      <c r="T33" s="45">
        <v>9</v>
      </c>
      <c r="U33" s="45">
        <v>9</v>
      </c>
      <c r="V33" s="45">
        <v>9</v>
      </c>
      <c r="W33" s="45">
        <v>9</v>
      </c>
      <c r="X33" s="45">
        <v>9</v>
      </c>
      <c r="Y33" s="45">
        <v>9</v>
      </c>
      <c r="Z33" s="45">
        <v>9</v>
      </c>
      <c r="AA33" s="45">
        <v>9</v>
      </c>
      <c r="AB33" s="45">
        <v>9</v>
      </c>
      <c r="AC33" s="45">
        <v>9</v>
      </c>
      <c r="AD33" s="45">
        <v>9</v>
      </c>
      <c r="AE33" s="45">
        <v>9</v>
      </c>
      <c r="AF33" s="45">
        <v>3</v>
      </c>
      <c r="AG33" s="51">
        <v>12</v>
      </c>
      <c r="AH33" s="48">
        <f t="shared" si="2"/>
        <v>10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0</v>
      </c>
      <c r="C34" s="45">
        <v>0</v>
      </c>
      <c r="D34" s="45">
        <v>0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5</v>
      </c>
      <c r="C35" s="45">
        <v>5</v>
      </c>
      <c r="D35" s="45">
        <v>5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5</v>
      </c>
      <c r="L35" s="45">
        <v>5</v>
      </c>
      <c r="M35" s="45">
        <v>5</v>
      </c>
      <c r="N35" s="45">
        <v>5</v>
      </c>
      <c r="O35" s="45">
        <v>5</v>
      </c>
      <c r="P35" s="45">
        <v>5</v>
      </c>
      <c r="Q35" s="45">
        <v>5</v>
      </c>
      <c r="R35" s="45">
        <v>5</v>
      </c>
      <c r="S35" s="45">
        <v>5</v>
      </c>
      <c r="T35" s="45">
        <v>5</v>
      </c>
      <c r="U35" s="45">
        <v>5</v>
      </c>
      <c r="V35" s="45">
        <v>5</v>
      </c>
      <c r="W35" s="45">
        <v>5</v>
      </c>
      <c r="X35" s="45">
        <v>5</v>
      </c>
      <c r="Y35" s="45">
        <v>5</v>
      </c>
      <c r="Z35" s="45">
        <v>5</v>
      </c>
      <c r="AA35" s="45">
        <v>5</v>
      </c>
      <c r="AB35" s="45">
        <v>5</v>
      </c>
      <c r="AC35" s="45">
        <v>5</v>
      </c>
      <c r="AD35" s="45">
        <v>5</v>
      </c>
      <c r="AE35" s="45">
        <v>5</v>
      </c>
      <c r="AF35" s="45">
        <v>5</v>
      </c>
      <c r="AG35" s="51">
        <v>12</v>
      </c>
      <c r="AH35" s="48">
        <f t="shared" si="2"/>
        <v>5</v>
      </c>
      <c r="AI35" s="49">
        <f t="shared" si="3"/>
        <v>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55">
        <v>10</v>
      </c>
      <c r="AH39" s="48">
        <f t="shared" si="2"/>
        <v>6</v>
      </c>
      <c r="AI39" s="49">
        <f t="shared" si="3"/>
        <v>6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1</v>
      </c>
      <c r="T40" s="45">
        <v>1</v>
      </c>
      <c r="U40" s="45">
        <v>1</v>
      </c>
      <c r="V40" s="45">
        <v>1</v>
      </c>
      <c r="W40" s="45">
        <v>1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1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220</v>
      </c>
      <c r="C41" s="57">
        <v>220</v>
      </c>
      <c r="D41" s="57">
        <v>220</v>
      </c>
      <c r="E41" s="57">
        <v>220</v>
      </c>
      <c r="F41" s="57">
        <v>220</v>
      </c>
      <c r="G41" s="57">
        <v>220</v>
      </c>
      <c r="H41" s="57">
        <v>220</v>
      </c>
      <c r="I41" s="57">
        <v>220</v>
      </c>
      <c r="J41" s="57">
        <v>220</v>
      </c>
      <c r="K41" s="57">
        <v>220</v>
      </c>
      <c r="L41" s="57">
        <v>220</v>
      </c>
      <c r="M41" s="57">
        <v>220</v>
      </c>
      <c r="N41" s="57">
        <v>220</v>
      </c>
      <c r="O41" s="57">
        <v>220</v>
      </c>
      <c r="P41" s="57">
        <v>220</v>
      </c>
      <c r="Q41" s="57">
        <v>220</v>
      </c>
      <c r="R41" s="57">
        <v>220</v>
      </c>
      <c r="S41" s="57">
        <v>220</v>
      </c>
      <c r="T41" s="57">
        <v>220</v>
      </c>
      <c r="U41" s="57">
        <v>220</v>
      </c>
      <c r="V41" s="57">
        <v>220</v>
      </c>
      <c r="W41" s="57">
        <v>220</v>
      </c>
      <c r="X41" s="57">
        <v>220</v>
      </c>
      <c r="Y41" s="57">
        <v>220</v>
      </c>
      <c r="Z41" s="57">
        <v>220</v>
      </c>
      <c r="AA41" s="57">
        <v>220</v>
      </c>
      <c r="AB41" s="57">
        <v>220</v>
      </c>
      <c r="AC41" s="57">
        <v>220</v>
      </c>
      <c r="AD41" s="57">
        <v>220</v>
      </c>
      <c r="AE41" s="57">
        <v>220</v>
      </c>
      <c r="AF41" s="57">
        <v>220</v>
      </c>
      <c r="AG41" s="55">
        <v>85</v>
      </c>
      <c r="AH41" s="48">
        <f t="shared" si="2"/>
        <v>220</v>
      </c>
      <c r="AI41" s="49">
        <f t="shared" si="3"/>
        <v>220</v>
      </c>
      <c r="AK41" s="50"/>
    </row>
    <row r="42" spans="1:88" ht="15.75" thickBot="1" x14ac:dyDescent="0.3">
      <c r="A42" s="58" t="s">
        <v>47</v>
      </c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7"/>
      <c r="M42" s="57"/>
      <c r="N42" s="57"/>
      <c r="O42" s="57"/>
      <c r="P42" s="57"/>
      <c r="Q42" s="57"/>
      <c r="R42" s="57"/>
      <c r="S42" s="59"/>
      <c r="T42" s="59"/>
      <c r="U42" s="59"/>
      <c r="V42" s="59"/>
      <c r="W42" s="59"/>
      <c r="X42" s="59">
        <v>83</v>
      </c>
      <c r="Y42" s="59">
        <f>38+45.9</f>
        <v>83.9</v>
      </c>
      <c r="Z42" s="59">
        <f>38+45.9</f>
        <v>83.9</v>
      </c>
      <c r="AA42" s="59">
        <f>37.5+47.1</f>
        <v>84.6</v>
      </c>
      <c r="AB42" s="59">
        <f>37.3+40.3</f>
        <v>77.599999999999994</v>
      </c>
      <c r="AC42" s="59">
        <f>37.9+49.3</f>
        <v>87.199999999999989</v>
      </c>
      <c r="AD42" s="59">
        <f>37.3+49.5</f>
        <v>86.8</v>
      </c>
      <c r="AE42" s="59">
        <f>37.6+49.8</f>
        <v>87.4</v>
      </c>
      <c r="AF42" s="59">
        <f>38.4+53.7</f>
        <v>92.1</v>
      </c>
      <c r="AG42" s="55">
        <v>240</v>
      </c>
      <c r="AH42" s="48">
        <f t="shared" si="2"/>
        <v>92.1</v>
      </c>
      <c r="AI42" s="49">
        <f t="shared" si="3"/>
        <v>77.599999999999994</v>
      </c>
      <c r="AK42" s="50"/>
    </row>
    <row r="43" spans="1:88" ht="15.75" thickBot="1" x14ac:dyDescent="0.3">
      <c r="A43" s="60" t="s">
        <v>48</v>
      </c>
      <c r="B43" s="61">
        <f t="shared" ref="B43:AG43" si="4">SUM(B11:B41)</f>
        <v>547.70000000000005</v>
      </c>
      <c r="C43" s="61">
        <f t="shared" si="4"/>
        <v>528.1</v>
      </c>
      <c r="D43" s="61">
        <f t="shared" si="4"/>
        <v>531.70000000000005</v>
      </c>
      <c r="E43" s="61">
        <f t="shared" si="4"/>
        <v>535.29999999999995</v>
      </c>
      <c r="F43" s="61">
        <f t="shared" si="4"/>
        <v>535.29999999999995</v>
      </c>
      <c r="G43" s="61">
        <f t="shared" si="4"/>
        <v>605.90000000000009</v>
      </c>
      <c r="H43" s="61">
        <f t="shared" si="4"/>
        <v>605.90000000000009</v>
      </c>
      <c r="I43" s="61">
        <f t="shared" si="4"/>
        <v>605.90000000000009</v>
      </c>
      <c r="J43" s="61">
        <f t="shared" si="4"/>
        <v>620.90000000000009</v>
      </c>
      <c r="K43" s="61">
        <f t="shared" si="4"/>
        <v>620.90000000000009</v>
      </c>
      <c r="L43" s="61">
        <f t="shared" si="4"/>
        <v>620.90000000000009</v>
      </c>
      <c r="M43" s="61">
        <f t="shared" si="4"/>
        <v>626.90000000000009</v>
      </c>
      <c r="N43" s="61">
        <f t="shared" si="4"/>
        <v>625.70000000000005</v>
      </c>
      <c r="O43" s="61">
        <f t="shared" si="4"/>
        <v>610.70000000000005</v>
      </c>
      <c r="P43" s="61">
        <f t="shared" si="4"/>
        <v>607.80000000000007</v>
      </c>
      <c r="Q43" s="61">
        <f t="shared" si="4"/>
        <v>606.80000000000007</v>
      </c>
      <c r="R43" s="61">
        <f t="shared" si="4"/>
        <v>597.80000000000007</v>
      </c>
      <c r="S43" s="61">
        <f t="shared" si="4"/>
        <v>615.70000000000005</v>
      </c>
      <c r="T43" s="61">
        <f t="shared" si="4"/>
        <v>637.60000000000014</v>
      </c>
      <c r="U43" s="61">
        <f t="shared" si="4"/>
        <v>637.90000000000009</v>
      </c>
      <c r="V43" s="61">
        <f t="shared" si="4"/>
        <v>637.90000000000009</v>
      </c>
      <c r="W43" s="61">
        <f t="shared" si="4"/>
        <v>640</v>
      </c>
      <c r="X43" s="61">
        <f t="shared" si="4"/>
        <v>639.20000000000005</v>
      </c>
      <c r="Y43" s="61">
        <f t="shared" si="4"/>
        <v>639.20000000000005</v>
      </c>
      <c r="Z43" s="61">
        <f t="shared" si="4"/>
        <v>639.20000000000005</v>
      </c>
      <c r="AA43" s="61">
        <f t="shared" si="4"/>
        <v>639.20000000000005</v>
      </c>
      <c r="AB43" s="61">
        <f t="shared" si="4"/>
        <v>636.20000000000005</v>
      </c>
      <c r="AC43" s="61">
        <f t="shared" si="4"/>
        <v>636.20000000000005</v>
      </c>
      <c r="AD43" s="61">
        <f t="shared" si="4"/>
        <v>636.20000000000005</v>
      </c>
      <c r="AE43" s="61">
        <f t="shared" si="4"/>
        <v>635.29999999999995</v>
      </c>
      <c r="AF43" s="61">
        <f t="shared" si="4"/>
        <v>622.60000000000014</v>
      </c>
      <c r="AG43" s="62">
        <f t="shared" si="4"/>
        <v>796.78000000000009</v>
      </c>
      <c r="AH43" s="48">
        <f t="shared" si="2"/>
        <v>640</v>
      </c>
      <c r="AI43" s="49">
        <f t="shared" si="3"/>
        <v>528.1</v>
      </c>
      <c r="AK43" s="50"/>
    </row>
    <row r="44" spans="1:88" x14ac:dyDescent="0.25">
      <c r="A44" s="63" t="s">
        <v>49</v>
      </c>
      <c r="B44" s="45">
        <v>160</v>
      </c>
      <c r="C44" s="45">
        <v>100</v>
      </c>
      <c r="D44" s="45">
        <v>80</v>
      </c>
      <c r="E44" s="45">
        <v>80</v>
      </c>
      <c r="F44" s="45">
        <v>80</v>
      </c>
      <c r="G44" s="45">
        <v>60</v>
      </c>
      <c r="H44" s="45">
        <v>60</v>
      </c>
      <c r="I44" s="45">
        <v>60</v>
      </c>
      <c r="J44" s="45">
        <v>130</v>
      </c>
      <c r="K44" s="45">
        <v>290</v>
      </c>
      <c r="L44" s="45">
        <v>340</v>
      </c>
      <c r="M44" s="45">
        <v>380</v>
      </c>
      <c r="N44" s="45">
        <v>350</v>
      </c>
      <c r="O44" s="45">
        <v>180</v>
      </c>
      <c r="P44" s="45">
        <v>170</v>
      </c>
      <c r="Q44" s="45">
        <v>160</v>
      </c>
      <c r="R44" s="45">
        <v>160</v>
      </c>
      <c r="S44" s="45">
        <v>80</v>
      </c>
      <c r="T44" s="45">
        <v>50</v>
      </c>
      <c r="U44" s="45">
        <v>50</v>
      </c>
      <c r="V44" s="45">
        <v>200</v>
      </c>
      <c r="W44" s="45">
        <v>300</v>
      </c>
      <c r="X44" s="45">
        <v>456</v>
      </c>
      <c r="Y44" s="45">
        <v>420</v>
      </c>
      <c r="Z44" s="45">
        <v>300</v>
      </c>
      <c r="AA44" s="45">
        <v>200</v>
      </c>
      <c r="AB44" s="45">
        <v>170</v>
      </c>
      <c r="AC44" s="45">
        <v>130</v>
      </c>
      <c r="AD44" s="45">
        <v>110</v>
      </c>
      <c r="AE44" s="45">
        <v>50</v>
      </c>
      <c r="AF44" s="45">
        <v>80</v>
      </c>
      <c r="AG44" s="52">
        <v>456</v>
      </c>
      <c r="AH44" s="48">
        <f t="shared" si="2"/>
        <v>456</v>
      </c>
      <c r="AI44" s="49">
        <f t="shared" si="3"/>
        <v>50</v>
      </c>
      <c r="AK44" s="50"/>
    </row>
    <row r="45" spans="1:88" x14ac:dyDescent="0.25">
      <c r="A45" s="64" t="s">
        <v>50</v>
      </c>
      <c r="B45" s="65">
        <v>58</v>
      </c>
      <c r="C45" s="65">
        <v>58</v>
      </c>
      <c r="D45" s="65">
        <v>58</v>
      </c>
      <c r="E45" s="65">
        <v>58</v>
      </c>
      <c r="F45" s="65">
        <v>58</v>
      </c>
      <c r="G45" s="65">
        <v>58</v>
      </c>
      <c r="H45" s="65">
        <v>58</v>
      </c>
      <c r="I45" s="65">
        <v>58</v>
      </c>
      <c r="J45" s="65">
        <v>58</v>
      </c>
      <c r="K45" s="65">
        <v>58</v>
      </c>
      <c r="L45" s="65">
        <v>58</v>
      </c>
      <c r="M45" s="65">
        <v>58</v>
      </c>
      <c r="N45" s="65">
        <v>58</v>
      </c>
      <c r="O45" s="65">
        <v>57</v>
      </c>
      <c r="P45" s="65">
        <v>57</v>
      </c>
      <c r="Q45" s="65">
        <v>57</v>
      </c>
      <c r="R45" s="65">
        <v>57</v>
      </c>
      <c r="S45" s="65">
        <v>57</v>
      </c>
      <c r="T45" s="65">
        <v>57</v>
      </c>
      <c r="U45" s="65">
        <v>57</v>
      </c>
      <c r="V45" s="65">
        <v>57</v>
      </c>
      <c r="W45" s="65">
        <v>57</v>
      </c>
      <c r="X45" s="65">
        <v>57</v>
      </c>
      <c r="Y45" s="65">
        <v>57</v>
      </c>
      <c r="Z45" s="65">
        <v>57</v>
      </c>
      <c r="AA45" s="65">
        <v>57</v>
      </c>
      <c r="AB45" s="65">
        <v>57</v>
      </c>
      <c r="AC45" s="65">
        <v>57</v>
      </c>
      <c r="AD45" s="65">
        <v>57</v>
      </c>
      <c r="AE45" s="65">
        <v>60</v>
      </c>
      <c r="AF45" s="65">
        <v>60</v>
      </c>
      <c r="AG45" s="55">
        <v>60</v>
      </c>
      <c r="AH45" s="48">
        <f t="shared" si="2"/>
        <v>60</v>
      </c>
      <c r="AI45" s="49">
        <f t="shared" si="3"/>
        <v>57</v>
      </c>
      <c r="AK45" s="50"/>
    </row>
    <row r="46" spans="1:88" ht="15.75" thickBot="1" x14ac:dyDescent="0.3">
      <c r="A46" s="66" t="s">
        <v>51</v>
      </c>
      <c r="B46" s="67">
        <v>20.100000000000001</v>
      </c>
      <c r="C46" s="67">
        <v>20.100000000000001</v>
      </c>
      <c r="D46" s="67">
        <v>20.100000000000001</v>
      </c>
      <c r="E46" s="67">
        <v>20.100000000000001</v>
      </c>
      <c r="F46" s="67">
        <v>20.100000000000001</v>
      </c>
      <c r="G46" s="67">
        <v>20.100000000000001</v>
      </c>
      <c r="H46" s="67">
        <v>20.100000000000001</v>
      </c>
      <c r="I46" s="67">
        <v>20.100000000000001</v>
      </c>
      <c r="J46" s="67">
        <v>20.100000000000001</v>
      </c>
      <c r="K46" s="67">
        <v>20.100000000000001</v>
      </c>
      <c r="L46" s="67">
        <v>20.100000000000001</v>
      </c>
      <c r="M46" s="67">
        <v>20.3</v>
      </c>
      <c r="N46" s="67">
        <v>21.1</v>
      </c>
      <c r="O46" s="67">
        <v>21</v>
      </c>
      <c r="P46" s="67">
        <v>21</v>
      </c>
      <c r="Q46" s="67">
        <v>21</v>
      </c>
      <c r="R46" s="67">
        <v>21</v>
      </c>
      <c r="S46" s="67">
        <v>19.100000000000001</v>
      </c>
      <c r="T46" s="67">
        <v>19.100000000000001</v>
      </c>
      <c r="U46" s="67">
        <v>19.399999999999999</v>
      </c>
      <c r="V46" s="67">
        <v>19.100000000000001</v>
      </c>
      <c r="W46" s="67">
        <v>19.100000000000001</v>
      </c>
      <c r="X46" s="67">
        <v>19.100000000000001</v>
      </c>
      <c r="Y46" s="67">
        <v>19.100000000000001</v>
      </c>
      <c r="Z46" s="67">
        <v>19.100000000000001</v>
      </c>
      <c r="AA46" s="67">
        <v>19.100000000000001</v>
      </c>
      <c r="AB46" s="67">
        <v>21.1</v>
      </c>
      <c r="AC46" s="67">
        <v>21.1</v>
      </c>
      <c r="AD46" s="67">
        <v>21.1</v>
      </c>
      <c r="AE46" s="67">
        <v>21</v>
      </c>
      <c r="AF46" s="67">
        <v>21.1</v>
      </c>
      <c r="AG46" s="68">
        <v>22.1</v>
      </c>
      <c r="AH46" s="48">
        <f t="shared" si="2"/>
        <v>21.1</v>
      </c>
      <c r="AI46" s="49">
        <f t="shared" si="3"/>
        <v>19.100000000000001</v>
      </c>
      <c r="AK46" s="50"/>
    </row>
    <row r="47" spans="1:88" ht="15.75" thickBot="1" x14ac:dyDescent="0.3">
      <c r="A47" s="69" t="s">
        <v>52</v>
      </c>
      <c r="B47" s="61">
        <f t="shared" ref="B47:AG47" si="5">SUM(B44:B46)</f>
        <v>238.1</v>
      </c>
      <c r="C47" s="61">
        <f t="shared" si="5"/>
        <v>178.1</v>
      </c>
      <c r="D47" s="61">
        <f t="shared" si="5"/>
        <v>158.1</v>
      </c>
      <c r="E47" s="61">
        <f t="shared" si="5"/>
        <v>158.1</v>
      </c>
      <c r="F47" s="61">
        <f t="shared" si="5"/>
        <v>158.1</v>
      </c>
      <c r="G47" s="61">
        <f t="shared" si="5"/>
        <v>138.1</v>
      </c>
      <c r="H47" s="61">
        <f t="shared" si="5"/>
        <v>138.1</v>
      </c>
      <c r="I47" s="61">
        <f t="shared" si="5"/>
        <v>138.1</v>
      </c>
      <c r="J47" s="61">
        <f t="shared" si="5"/>
        <v>208.1</v>
      </c>
      <c r="K47" s="61">
        <f t="shared" si="5"/>
        <v>368.1</v>
      </c>
      <c r="L47" s="61">
        <f t="shared" si="5"/>
        <v>418.1</v>
      </c>
      <c r="M47" s="61">
        <f t="shared" si="5"/>
        <v>458.3</v>
      </c>
      <c r="N47" s="61">
        <f t="shared" si="5"/>
        <v>429.1</v>
      </c>
      <c r="O47" s="61">
        <f t="shared" si="5"/>
        <v>258</v>
      </c>
      <c r="P47" s="61">
        <f t="shared" si="5"/>
        <v>248</v>
      </c>
      <c r="Q47" s="61">
        <f t="shared" si="5"/>
        <v>238</v>
      </c>
      <c r="R47" s="61">
        <f t="shared" si="5"/>
        <v>238</v>
      </c>
      <c r="S47" s="61">
        <f t="shared" si="5"/>
        <v>156.1</v>
      </c>
      <c r="T47" s="61">
        <f t="shared" si="5"/>
        <v>126.1</v>
      </c>
      <c r="U47" s="61">
        <f t="shared" si="5"/>
        <v>126.4</v>
      </c>
      <c r="V47" s="61">
        <f t="shared" si="5"/>
        <v>276.10000000000002</v>
      </c>
      <c r="W47" s="61">
        <f t="shared" si="5"/>
        <v>376.1</v>
      </c>
      <c r="X47" s="61">
        <f t="shared" si="5"/>
        <v>532.1</v>
      </c>
      <c r="Y47" s="61">
        <f t="shared" si="5"/>
        <v>496.1</v>
      </c>
      <c r="Z47" s="61">
        <f t="shared" si="5"/>
        <v>376.1</v>
      </c>
      <c r="AA47" s="61">
        <f t="shared" si="5"/>
        <v>276.10000000000002</v>
      </c>
      <c r="AB47" s="61">
        <f t="shared" si="5"/>
        <v>248.1</v>
      </c>
      <c r="AC47" s="61">
        <f t="shared" si="5"/>
        <v>208.1</v>
      </c>
      <c r="AD47" s="61">
        <f t="shared" si="5"/>
        <v>188.1</v>
      </c>
      <c r="AE47" s="61">
        <f t="shared" si="5"/>
        <v>131</v>
      </c>
      <c r="AF47" s="61">
        <f t="shared" si="5"/>
        <v>161.1</v>
      </c>
      <c r="AG47" s="62">
        <f t="shared" si="5"/>
        <v>538.1</v>
      </c>
      <c r="AH47" s="48">
        <f t="shared" si="2"/>
        <v>532.1</v>
      </c>
      <c r="AI47" s="49">
        <f t="shared" si="3"/>
        <v>126.1</v>
      </c>
      <c r="AK47" s="50"/>
    </row>
    <row r="48" spans="1:88" x14ac:dyDescent="0.25">
      <c r="A48" s="44" t="s">
        <v>53</v>
      </c>
      <c r="B48" s="45">
        <v>101</v>
      </c>
      <c r="C48" s="45">
        <v>111.4</v>
      </c>
      <c r="D48" s="45">
        <v>102</v>
      </c>
      <c r="E48" s="45">
        <v>93.6</v>
      </c>
      <c r="F48" s="45">
        <v>93.6</v>
      </c>
      <c r="G48" s="45">
        <v>70</v>
      </c>
      <c r="H48" s="45">
        <v>80</v>
      </c>
      <c r="I48" s="45">
        <v>120</v>
      </c>
      <c r="J48" s="45">
        <v>140</v>
      </c>
      <c r="K48" s="45">
        <v>143</v>
      </c>
      <c r="L48" s="45">
        <v>143.5</v>
      </c>
      <c r="M48" s="45">
        <v>143.5</v>
      </c>
      <c r="N48" s="45">
        <v>143.5</v>
      </c>
      <c r="O48" s="45">
        <v>143.5</v>
      </c>
      <c r="P48" s="45">
        <v>143.5</v>
      </c>
      <c r="Q48" s="45">
        <v>143.5</v>
      </c>
      <c r="R48" s="45">
        <v>143.5</v>
      </c>
      <c r="S48" s="45">
        <v>143.5</v>
      </c>
      <c r="T48" s="45">
        <v>143.4</v>
      </c>
      <c r="U48" s="45">
        <v>130</v>
      </c>
      <c r="V48" s="45">
        <v>143.5</v>
      </c>
      <c r="W48" s="45">
        <v>143.5</v>
      </c>
      <c r="X48" s="45">
        <v>143.4</v>
      </c>
      <c r="Y48" s="45">
        <v>143.4</v>
      </c>
      <c r="Z48" s="45">
        <v>143.4</v>
      </c>
      <c r="AA48" s="45">
        <v>143.4</v>
      </c>
      <c r="AB48" s="45">
        <v>143.4</v>
      </c>
      <c r="AC48" s="45">
        <v>143.4</v>
      </c>
      <c r="AD48" s="45">
        <v>143.30000000000001</v>
      </c>
      <c r="AE48" s="45">
        <v>90</v>
      </c>
      <c r="AF48" s="45">
        <v>91.4</v>
      </c>
      <c r="AG48" s="52">
        <v>144</v>
      </c>
      <c r="AH48" s="48">
        <f t="shared" si="2"/>
        <v>143.5</v>
      </c>
      <c r="AI48" s="49">
        <f t="shared" si="3"/>
        <v>70</v>
      </c>
      <c r="AK48" s="50"/>
    </row>
    <row r="49" spans="1:41" x14ac:dyDescent="0.25">
      <c r="A49" s="54" t="s">
        <v>54</v>
      </c>
      <c r="B49" s="65">
        <v>34.4</v>
      </c>
      <c r="C49" s="65">
        <v>35.299999999999997</v>
      </c>
      <c r="D49" s="65">
        <v>35.299999999999997</v>
      </c>
      <c r="E49" s="65">
        <v>35.6</v>
      </c>
      <c r="F49" s="65">
        <v>50</v>
      </c>
      <c r="G49" s="65">
        <v>46</v>
      </c>
      <c r="H49" s="65">
        <v>60</v>
      </c>
      <c r="I49" s="65">
        <v>60</v>
      </c>
      <c r="J49" s="65">
        <v>70</v>
      </c>
      <c r="K49" s="65">
        <v>70</v>
      </c>
      <c r="L49" s="65">
        <v>70</v>
      </c>
      <c r="M49" s="65">
        <v>70</v>
      </c>
      <c r="N49" s="65">
        <v>70</v>
      </c>
      <c r="O49" s="65">
        <v>70</v>
      </c>
      <c r="P49" s="65">
        <v>70</v>
      </c>
      <c r="Q49" s="65">
        <v>70</v>
      </c>
      <c r="R49" s="65">
        <v>70</v>
      </c>
      <c r="S49" s="65">
        <v>70</v>
      </c>
      <c r="T49" s="65">
        <v>70</v>
      </c>
      <c r="U49" s="65">
        <v>70</v>
      </c>
      <c r="V49" s="65">
        <v>70</v>
      </c>
      <c r="W49" s="65">
        <v>70</v>
      </c>
      <c r="X49" s="65">
        <v>72.099999999999994</v>
      </c>
      <c r="Y49" s="65">
        <v>72.099999999999994</v>
      </c>
      <c r="Z49" s="65">
        <v>72.099999999999994</v>
      </c>
      <c r="AA49" s="65">
        <v>72.099999999999994</v>
      </c>
      <c r="AB49" s="65">
        <v>72.099999999999994</v>
      </c>
      <c r="AC49" s="65">
        <v>72.099999999999994</v>
      </c>
      <c r="AD49" s="65">
        <v>70.8</v>
      </c>
      <c r="AE49" s="65">
        <v>45.3</v>
      </c>
      <c r="AF49" s="65">
        <v>45.5</v>
      </c>
      <c r="AG49" s="55">
        <v>70</v>
      </c>
      <c r="AH49" s="48">
        <f t="shared" si="2"/>
        <v>72.099999999999994</v>
      </c>
      <c r="AI49" s="49">
        <f t="shared" si="3"/>
        <v>34.4</v>
      </c>
      <c r="AK49" s="50"/>
    </row>
    <row r="50" spans="1:41" x14ac:dyDescent="0.25">
      <c r="A50" s="54" t="s">
        <v>55</v>
      </c>
      <c r="B50" s="65">
        <v>70</v>
      </c>
      <c r="C50" s="65">
        <v>70.599999999999994</v>
      </c>
      <c r="D50" s="65">
        <v>70.599999999999994</v>
      </c>
      <c r="E50" s="65">
        <v>52.1</v>
      </c>
      <c r="F50" s="65">
        <v>52.1</v>
      </c>
      <c r="G50" s="65">
        <v>34</v>
      </c>
      <c r="H50" s="65">
        <v>34</v>
      </c>
      <c r="I50" s="65">
        <v>55</v>
      </c>
      <c r="J50" s="65">
        <v>70</v>
      </c>
      <c r="K50" s="65">
        <v>70</v>
      </c>
      <c r="L50" s="65">
        <v>70</v>
      </c>
      <c r="M50" s="65">
        <v>70</v>
      </c>
      <c r="N50" s="65">
        <v>70</v>
      </c>
      <c r="O50" s="65">
        <v>70</v>
      </c>
      <c r="P50" s="65">
        <v>70</v>
      </c>
      <c r="Q50" s="65">
        <v>62.5</v>
      </c>
      <c r="R50" s="65">
        <v>62.5</v>
      </c>
      <c r="S50" s="65">
        <v>62.5</v>
      </c>
      <c r="T50" s="65">
        <v>47.8</v>
      </c>
      <c r="U50" s="65">
        <v>70.400000000000006</v>
      </c>
      <c r="V50" s="65">
        <v>70.400000000000006</v>
      </c>
      <c r="W50" s="65">
        <v>70.400000000000006</v>
      </c>
      <c r="X50" s="65">
        <v>70.5</v>
      </c>
      <c r="Y50" s="65">
        <v>70.5</v>
      </c>
      <c r="Z50" s="65">
        <v>70.5</v>
      </c>
      <c r="AA50" s="65">
        <v>70.5</v>
      </c>
      <c r="AB50" s="65">
        <v>70.5</v>
      </c>
      <c r="AC50" s="65">
        <v>70.5</v>
      </c>
      <c r="AD50" s="65">
        <v>70.3</v>
      </c>
      <c r="AE50" s="65">
        <v>70.2</v>
      </c>
      <c r="AF50" s="65">
        <v>61.9</v>
      </c>
      <c r="AG50" s="55">
        <v>69</v>
      </c>
      <c r="AH50" s="48">
        <f t="shared" si="2"/>
        <v>70.599999999999994</v>
      </c>
      <c r="AI50" s="49">
        <f t="shared" si="3"/>
        <v>34</v>
      </c>
      <c r="AK50" s="50"/>
    </row>
    <row r="51" spans="1:41" x14ac:dyDescent="0.25">
      <c r="A51" s="54" t="s">
        <v>56</v>
      </c>
      <c r="B51" s="57">
        <v>61.5</v>
      </c>
      <c r="C51" s="57">
        <v>61.5</v>
      </c>
      <c r="D51" s="57">
        <v>61.5</v>
      </c>
      <c r="E51" s="57">
        <v>64.5</v>
      </c>
      <c r="F51" s="57">
        <v>64.5</v>
      </c>
      <c r="G51" s="57">
        <v>61.5</v>
      </c>
      <c r="H51" s="57">
        <v>61.5</v>
      </c>
      <c r="I51" s="57">
        <v>61.5</v>
      </c>
      <c r="J51" s="57">
        <v>61.5</v>
      </c>
      <c r="K51" s="57">
        <v>61.5</v>
      </c>
      <c r="L51" s="57">
        <v>61.5</v>
      </c>
      <c r="M51" s="45">
        <v>61.5</v>
      </c>
      <c r="N51" s="45">
        <v>61.5</v>
      </c>
      <c r="O51" s="45">
        <v>61.5</v>
      </c>
      <c r="P51" s="45">
        <v>61.5</v>
      </c>
      <c r="Q51" s="45">
        <v>61.5</v>
      </c>
      <c r="R51" s="45">
        <v>61.5</v>
      </c>
      <c r="S51" s="45">
        <v>61.5</v>
      </c>
      <c r="T51" s="45">
        <v>61.5</v>
      </c>
      <c r="U51" s="45">
        <v>61.5</v>
      </c>
      <c r="V51" s="45">
        <v>61.5</v>
      </c>
      <c r="W51" s="45">
        <v>61.5</v>
      </c>
      <c r="X51" s="65">
        <v>61.5</v>
      </c>
      <c r="Y51" s="65">
        <v>61.5</v>
      </c>
      <c r="Z51" s="65">
        <v>61.5</v>
      </c>
      <c r="AA51" s="65">
        <v>61.5</v>
      </c>
      <c r="AB51" s="65">
        <v>61.5</v>
      </c>
      <c r="AC51" s="65">
        <v>61.5</v>
      </c>
      <c r="AD51" s="57">
        <v>61.5</v>
      </c>
      <c r="AE51" s="57">
        <v>61.1</v>
      </c>
      <c r="AF51" s="57">
        <v>61.5</v>
      </c>
      <c r="AG51" s="55">
        <v>60</v>
      </c>
      <c r="AH51" s="48">
        <f t="shared" si="2"/>
        <v>64.5</v>
      </c>
      <c r="AI51" s="49">
        <f t="shared" si="3"/>
        <v>61.1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15</v>
      </c>
      <c r="I52" s="57">
        <v>15</v>
      </c>
      <c r="J52" s="57">
        <v>15</v>
      </c>
      <c r="K52" s="57">
        <v>15</v>
      </c>
      <c r="L52" s="57">
        <v>15</v>
      </c>
      <c r="M52" s="45">
        <v>30</v>
      </c>
      <c r="N52" s="45">
        <v>30</v>
      </c>
      <c r="O52" s="45">
        <v>30</v>
      </c>
      <c r="P52" s="45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0</v>
      </c>
      <c r="W52" s="45">
        <v>15</v>
      </c>
      <c r="X52" s="65">
        <v>30</v>
      </c>
      <c r="Y52" s="65">
        <v>30</v>
      </c>
      <c r="Z52" s="65">
        <v>30</v>
      </c>
      <c r="AA52" s="65">
        <v>30</v>
      </c>
      <c r="AB52" s="65">
        <v>30</v>
      </c>
      <c r="AC52" s="65">
        <v>14.8</v>
      </c>
      <c r="AD52" s="57">
        <v>0</v>
      </c>
      <c r="AE52" s="57">
        <v>0</v>
      </c>
      <c r="AF52" s="57">
        <v>0</v>
      </c>
      <c r="AG52" s="55">
        <v>30</v>
      </c>
      <c r="AH52" s="48">
        <f t="shared" si="2"/>
        <v>30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5</v>
      </c>
      <c r="T53" s="65">
        <v>5</v>
      </c>
      <c r="U53" s="65">
        <v>5</v>
      </c>
      <c r="V53" s="65">
        <v>3</v>
      </c>
      <c r="W53" s="6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65">
        <v>0</v>
      </c>
      <c r="AE53" s="65">
        <v>0</v>
      </c>
      <c r="AF53" s="65">
        <v>0</v>
      </c>
      <c r="AG53" s="55">
        <v>25</v>
      </c>
      <c r="AH53" s="48">
        <f t="shared" si="2"/>
        <v>5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17.5</v>
      </c>
      <c r="C54" s="65">
        <v>17.5</v>
      </c>
      <c r="D54" s="65">
        <v>17.5</v>
      </c>
      <c r="E54" s="65">
        <v>17.5</v>
      </c>
      <c r="F54" s="65">
        <v>17.5</v>
      </c>
      <c r="G54" s="65">
        <v>17.5</v>
      </c>
      <c r="H54" s="65">
        <v>17.5</v>
      </c>
      <c r="I54" s="65">
        <v>17.5</v>
      </c>
      <c r="J54" s="65">
        <v>17.5</v>
      </c>
      <c r="K54" s="65">
        <v>17.5</v>
      </c>
      <c r="L54" s="65">
        <v>17.5</v>
      </c>
      <c r="M54" s="65">
        <v>17.5</v>
      </c>
      <c r="N54" s="65">
        <v>17.5</v>
      </c>
      <c r="O54" s="65">
        <v>17.5</v>
      </c>
      <c r="P54" s="65">
        <v>17.5</v>
      </c>
      <c r="Q54" s="65">
        <v>17.5</v>
      </c>
      <c r="R54" s="65">
        <v>17.5</v>
      </c>
      <c r="S54" s="65">
        <v>17.5</v>
      </c>
      <c r="T54" s="65">
        <v>17.5</v>
      </c>
      <c r="U54" s="65">
        <v>17.5</v>
      </c>
      <c r="V54" s="65">
        <v>17.5</v>
      </c>
      <c r="W54" s="65">
        <v>17.5</v>
      </c>
      <c r="X54" s="45">
        <v>17.5</v>
      </c>
      <c r="Y54" s="45">
        <v>17.5</v>
      </c>
      <c r="Z54" s="45">
        <v>17.5</v>
      </c>
      <c r="AA54" s="45">
        <v>17.5</v>
      </c>
      <c r="AB54" s="45">
        <v>17.5</v>
      </c>
      <c r="AC54" s="45">
        <v>17.5</v>
      </c>
      <c r="AD54" s="65">
        <v>17.399999999999999</v>
      </c>
      <c r="AE54" s="65">
        <v>17.399999999999999</v>
      </c>
      <c r="AF54" s="65">
        <v>17.399999999999999</v>
      </c>
      <c r="AG54" s="55">
        <v>24</v>
      </c>
      <c r="AH54" s="48">
        <f t="shared" si="2"/>
        <v>17.5</v>
      </c>
      <c r="AI54" s="49">
        <f t="shared" si="3"/>
        <v>17.399999999999999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13.9</v>
      </c>
      <c r="C56" s="65">
        <v>13.9</v>
      </c>
      <c r="D56" s="65">
        <v>13.9</v>
      </c>
      <c r="E56" s="65">
        <v>13.9</v>
      </c>
      <c r="F56" s="65">
        <v>13.9</v>
      </c>
      <c r="G56" s="65">
        <v>13.9</v>
      </c>
      <c r="H56" s="65">
        <v>13.9</v>
      </c>
      <c r="I56" s="65">
        <v>13.9</v>
      </c>
      <c r="J56" s="65">
        <v>13.9</v>
      </c>
      <c r="K56" s="65">
        <v>13.9</v>
      </c>
      <c r="L56" s="65">
        <v>13.9</v>
      </c>
      <c r="M56" s="65">
        <v>13.9</v>
      </c>
      <c r="N56" s="65">
        <v>13.9</v>
      </c>
      <c r="O56" s="65">
        <v>13.9</v>
      </c>
      <c r="P56" s="65">
        <v>13.9</v>
      </c>
      <c r="Q56" s="65">
        <v>13.9</v>
      </c>
      <c r="R56" s="65">
        <v>13.9</v>
      </c>
      <c r="S56" s="65">
        <v>13.9</v>
      </c>
      <c r="T56" s="65">
        <v>13.9</v>
      </c>
      <c r="U56" s="65">
        <v>13.9</v>
      </c>
      <c r="V56" s="65">
        <v>13.9</v>
      </c>
      <c r="W56" s="65">
        <v>13.9</v>
      </c>
      <c r="X56" s="65">
        <v>13.9</v>
      </c>
      <c r="Y56" s="65">
        <v>13.9</v>
      </c>
      <c r="Z56" s="65">
        <v>13.9</v>
      </c>
      <c r="AA56" s="65">
        <v>13.9</v>
      </c>
      <c r="AB56" s="65">
        <v>13.9</v>
      </c>
      <c r="AC56" s="65">
        <v>13.9</v>
      </c>
      <c r="AD56" s="65">
        <v>14.9</v>
      </c>
      <c r="AE56" s="65">
        <v>15.2</v>
      </c>
      <c r="AF56" s="65">
        <v>15</v>
      </c>
      <c r="AG56" s="55">
        <v>14.1</v>
      </c>
      <c r="AH56" s="48">
        <f t="shared" si="2"/>
        <v>15.2</v>
      </c>
      <c r="AI56" s="49">
        <f t="shared" si="3"/>
        <v>13.9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8.6999999999999993</v>
      </c>
      <c r="C57" s="65">
        <v>8.6999999999999993</v>
      </c>
      <c r="D57" s="65">
        <v>8.6999999999999993</v>
      </c>
      <c r="E57" s="65">
        <v>8.6999999999999993</v>
      </c>
      <c r="F57" s="65">
        <v>8.6999999999999993</v>
      </c>
      <c r="G57" s="65">
        <v>8.6999999999999993</v>
      </c>
      <c r="H57" s="65">
        <v>8.6999999999999993</v>
      </c>
      <c r="I57" s="65">
        <v>8.6999999999999993</v>
      </c>
      <c r="J57" s="65">
        <v>8.6999999999999993</v>
      </c>
      <c r="K57" s="65">
        <v>8.6999999999999993</v>
      </c>
      <c r="L57" s="65">
        <v>8.6999999999999993</v>
      </c>
      <c r="M57" s="65">
        <v>8.6999999999999993</v>
      </c>
      <c r="N57" s="65">
        <v>8.6999999999999993</v>
      </c>
      <c r="O57" s="65">
        <v>8.6999999999999993</v>
      </c>
      <c r="P57" s="65">
        <v>8.6999999999999993</v>
      </c>
      <c r="Q57" s="65">
        <v>8.6999999999999993</v>
      </c>
      <c r="R57" s="65">
        <v>8.6999999999999993</v>
      </c>
      <c r="S57" s="65">
        <v>8.6999999999999993</v>
      </c>
      <c r="T57" s="65">
        <v>8.6999999999999993</v>
      </c>
      <c r="U57" s="65">
        <v>8.6999999999999993</v>
      </c>
      <c r="V57" s="65">
        <v>8.6999999999999993</v>
      </c>
      <c r="W57" s="65">
        <v>8.6999999999999993</v>
      </c>
      <c r="X57" s="65">
        <v>8.6999999999999993</v>
      </c>
      <c r="Y57" s="65">
        <v>8.6999999999999993</v>
      </c>
      <c r="Z57" s="65">
        <v>8.6999999999999993</v>
      </c>
      <c r="AA57" s="65">
        <v>8.6999999999999993</v>
      </c>
      <c r="AB57" s="65">
        <v>9.1999999999999993</v>
      </c>
      <c r="AC57" s="65">
        <v>9.1999999999999993</v>
      </c>
      <c r="AD57" s="65">
        <v>9.1999999999999993</v>
      </c>
      <c r="AE57" s="65">
        <v>8.8000000000000007</v>
      </c>
      <c r="AF57" s="65">
        <v>9</v>
      </c>
      <c r="AG57" s="55">
        <v>14</v>
      </c>
      <c r="AH57" s="48">
        <f t="shared" si="2"/>
        <v>9.1999999999999993</v>
      </c>
      <c r="AI57" s="49">
        <f t="shared" si="3"/>
        <v>8.6999999999999993</v>
      </c>
      <c r="AK57" s="50"/>
    </row>
    <row r="58" spans="1:41" x14ac:dyDescent="0.25">
      <c r="A58" s="54" t="s">
        <v>63</v>
      </c>
      <c r="B58" s="65">
        <v>6.8</v>
      </c>
      <c r="C58" s="65">
        <v>6.8</v>
      </c>
      <c r="D58" s="65">
        <v>6.8</v>
      </c>
      <c r="E58" s="65">
        <v>6.8</v>
      </c>
      <c r="F58" s="65">
        <v>6.8</v>
      </c>
      <c r="G58" s="65">
        <v>6.8</v>
      </c>
      <c r="H58" s="65">
        <v>6.8</v>
      </c>
      <c r="I58" s="65">
        <v>6.8</v>
      </c>
      <c r="J58" s="65">
        <v>6.8</v>
      </c>
      <c r="K58" s="65">
        <v>6.8</v>
      </c>
      <c r="L58" s="65">
        <v>6.8</v>
      </c>
      <c r="M58" s="65">
        <v>6.8</v>
      </c>
      <c r="N58" s="65">
        <v>6.8</v>
      </c>
      <c r="O58" s="65">
        <v>6.8</v>
      </c>
      <c r="P58" s="65">
        <v>6.8</v>
      </c>
      <c r="Q58" s="65">
        <v>6.8</v>
      </c>
      <c r="R58" s="65">
        <v>6.8</v>
      </c>
      <c r="S58" s="65">
        <v>6.8</v>
      </c>
      <c r="T58" s="65">
        <v>6.8</v>
      </c>
      <c r="U58" s="65">
        <v>6.8</v>
      </c>
      <c r="V58" s="65">
        <v>6.8</v>
      </c>
      <c r="W58" s="65">
        <v>6.8</v>
      </c>
      <c r="X58" s="65">
        <v>6.8</v>
      </c>
      <c r="Y58" s="65">
        <v>6.8</v>
      </c>
      <c r="Z58" s="65">
        <v>6.8</v>
      </c>
      <c r="AA58" s="65">
        <v>6.8</v>
      </c>
      <c r="AB58" s="65">
        <v>8</v>
      </c>
      <c r="AC58" s="65">
        <v>8</v>
      </c>
      <c r="AD58" s="65">
        <v>8</v>
      </c>
      <c r="AE58" s="65">
        <v>9</v>
      </c>
      <c r="AF58" s="65">
        <v>9</v>
      </c>
      <c r="AG58" s="55">
        <v>10.050000000000001</v>
      </c>
      <c r="AH58" s="48">
        <f t="shared" si="2"/>
        <v>9</v>
      </c>
      <c r="AI58" s="49">
        <f t="shared" si="3"/>
        <v>6.8</v>
      </c>
      <c r="AK58" s="50"/>
    </row>
    <row r="59" spans="1:41" x14ac:dyDescent="0.25">
      <c r="A59" s="54" t="s">
        <v>64</v>
      </c>
      <c r="B59" s="65">
        <v>4.5999999999999996</v>
      </c>
      <c r="C59" s="65">
        <v>4.5999999999999996</v>
      </c>
      <c r="D59" s="65">
        <v>4.5999999999999996</v>
      </c>
      <c r="E59" s="65">
        <v>4.5999999999999996</v>
      </c>
      <c r="F59" s="65">
        <v>4.5999999999999996</v>
      </c>
      <c r="G59" s="65">
        <v>4.5999999999999996</v>
      </c>
      <c r="H59" s="65">
        <v>4.5999999999999996</v>
      </c>
      <c r="I59" s="65">
        <v>4.5999999999999996</v>
      </c>
      <c r="J59" s="65">
        <v>4.5999999999999996</v>
      </c>
      <c r="K59" s="65">
        <v>4.5999999999999996</v>
      </c>
      <c r="L59" s="65">
        <v>4.5999999999999996</v>
      </c>
      <c r="M59" s="65">
        <v>4.5999999999999996</v>
      </c>
      <c r="N59" s="65">
        <v>4.5999999999999996</v>
      </c>
      <c r="O59" s="65">
        <v>4.5999999999999996</v>
      </c>
      <c r="P59" s="65">
        <v>4.5999999999999996</v>
      </c>
      <c r="Q59" s="65">
        <v>4.5999999999999996</v>
      </c>
      <c r="R59" s="65">
        <v>4.5999999999999996</v>
      </c>
      <c r="S59" s="65">
        <v>4.5999999999999996</v>
      </c>
      <c r="T59" s="65">
        <v>4.5999999999999996</v>
      </c>
      <c r="U59" s="65">
        <v>4.5999999999999996</v>
      </c>
      <c r="V59" s="65">
        <v>4.5999999999999996</v>
      </c>
      <c r="W59" s="65">
        <v>4.5999999999999996</v>
      </c>
      <c r="X59" s="65">
        <v>4.5999999999999996</v>
      </c>
      <c r="Y59" s="65">
        <v>4.5999999999999996</v>
      </c>
      <c r="Z59" s="65">
        <v>4.5999999999999996</v>
      </c>
      <c r="AA59" s="65">
        <v>4.5999999999999996</v>
      </c>
      <c r="AB59" s="65">
        <v>4.5999999999999996</v>
      </c>
      <c r="AC59" s="65">
        <v>4.5999999999999996</v>
      </c>
      <c r="AD59" s="65">
        <v>4.5999999999999996</v>
      </c>
      <c r="AE59" s="65">
        <v>4.5999999999999996</v>
      </c>
      <c r="AF59" s="65">
        <v>4.5999999999999996</v>
      </c>
      <c r="AG59" s="55">
        <v>6.2</v>
      </c>
      <c r="AH59" s="48">
        <f t="shared" si="2"/>
        <v>4.5999999999999996</v>
      </c>
      <c r="AI59" s="49">
        <f t="shared" si="3"/>
        <v>4.5999999999999996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:AG61" si="6">SUM(B48:B60)</f>
        <v>321.94</v>
      </c>
      <c r="C61" s="61">
        <f t="shared" si="6"/>
        <v>333.84</v>
      </c>
      <c r="D61" s="61">
        <f t="shared" si="6"/>
        <v>324.44</v>
      </c>
      <c r="E61" s="61">
        <f t="shared" si="6"/>
        <v>300.83999999999997</v>
      </c>
      <c r="F61" s="61">
        <f t="shared" si="6"/>
        <v>315.24</v>
      </c>
      <c r="G61" s="61">
        <f t="shared" si="6"/>
        <v>266.54000000000002</v>
      </c>
      <c r="H61" s="61">
        <f t="shared" si="6"/>
        <v>305.54000000000002</v>
      </c>
      <c r="I61" s="61">
        <f t="shared" si="6"/>
        <v>366.54</v>
      </c>
      <c r="J61" s="61">
        <f t="shared" si="6"/>
        <v>411.54</v>
      </c>
      <c r="K61" s="61">
        <f t="shared" si="6"/>
        <v>414.54</v>
      </c>
      <c r="L61" s="61">
        <f t="shared" si="6"/>
        <v>415.04</v>
      </c>
      <c r="M61" s="61">
        <f t="shared" si="6"/>
        <v>430.04</v>
      </c>
      <c r="N61" s="61">
        <f t="shared" si="6"/>
        <v>430.04</v>
      </c>
      <c r="O61" s="61">
        <f t="shared" si="6"/>
        <v>430.04</v>
      </c>
      <c r="P61" s="61">
        <f t="shared" si="6"/>
        <v>400.04</v>
      </c>
      <c r="Q61" s="61">
        <f t="shared" si="6"/>
        <v>392.54</v>
      </c>
      <c r="R61" s="61">
        <f t="shared" si="6"/>
        <v>392.54</v>
      </c>
      <c r="S61" s="61">
        <f t="shared" si="6"/>
        <v>397.54</v>
      </c>
      <c r="T61" s="61">
        <f t="shared" si="6"/>
        <v>382.74</v>
      </c>
      <c r="U61" s="61">
        <f t="shared" si="6"/>
        <v>391.94</v>
      </c>
      <c r="V61" s="61">
        <f t="shared" si="6"/>
        <v>403.44</v>
      </c>
      <c r="W61" s="61">
        <f t="shared" si="6"/>
        <v>415.44</v>
      </c>
      <c r="X61" s="61">
        <f t="shared" si="6"/>
        <v>432.54</v>
      </c>
      <c r="Y61" s="61">
        <f t="shared" si="6"/>
        <v>432.54</v>
      </c>
      <c r="Z61" s="61">
        <f t="shared" si="6"/>
        <v>432.54</v>
      </c>
      <c r="AA61" s="61">
        <f t="shared" si="6"/>
        <v>432.54</v>
      </c>
      <c r="AB61" s="61">
        <f t="shared" si="6"/>
        <v>434.24</v>
      </c>
      <c r="AC61" s="61">
        <f t="shared" si="6"/>
        <v>419.04</v>
      </c>
      <c r="AD61" s="61">
        <f t="shared" si="6"/>
        <v>403.54</v>
      </c>
      <c r="AE61" s="61">
        <f t="shared" si="6"/>
        <v>325.14000000000004</v>
      </c>
      <c r="AF61" s="61">
        <f t="shared" si="6"/>
        <v>318.84000000000003</v>
      </c>
      <c r="AG61" s="62">
        <f t="shared" si="6"/>
        <v>489.91</v>
      </c>
      <c r="AH61" s="48">
        <f t="shared" si="2"/>
        <v>434.24</v>
      </c>
      <c r="AI61" s="49">
        <f t="shared" si="3"/>
        <v>266.54000000000002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0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52">
        <v>60</v>
      </c>
      <c r="AH62" s="48">
        <f t="shared" si="2"/>
        <v>0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  <c r="AG63" s="55">
        <v>32</v>
      </c>
      <c r="AH63" s="48">
        <f t="shared" si="2"/>
        <v>0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0</v>
      </c>
      <c r="Y64" s="67">
        <v>0</v>
      </c>
      <c r="Z64" s="67">
        <v>0</v>
      </c>
      <c r="AA64" s="67">
        <v>0</v>
      </c>
      <c r="AB64" s="67">
        <v>0</v>
      </c>
      <c r="AC64" s="67">
        <v>0</v>
      </c>
      <c r="AD64" s="67">
        <v>0</v>
      </c>
      <c r="AE64" s="67">
        <v>0</v>
      </c>
      <c r="AF64" s="67">
        <v>0</v>
      </c>
      <c r="AG64" s="68">
        <v>14</v>
      </c>
      <c r="AH64" s="48">
        <f t="shared" si="2"/>
        <v>0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:AG65" si="7">SUM(B62:B64)</f>
        <v>0</v>
      </c>
      <c r="C65" s="61">
        <f t="shared" si="7"/>
        <v>0</v>
      </c>
      <c r="D65" s="61">
        <f t="shared" si="7"/>
        <v>0</v>
      </c>
      <c r="E65" s="61">
        <f t="shared" si="7"/>
        <v>0</v>
      </c>
      <c r="F65" s="61">
        <f t="shared" si="7"/>
        <v>0</v>
      </c>
      <c r="G65" s="61">
        <f t="shared" si="7"/>
        <v>0</v>
      </c>
      <c r="H65" s="61">
        <f t="shared" si="7"/>
        <v>0</v>
      </c>
      <c r="I65" s="61">
        <f t="shared" si="7"/>
        <v>0</v>
      </c>
      <c r="J65" s="61">
        <f t="shared" si="7"/>
        <v>0</v>
      </c>
      <c r="K65" s="61">
        <f t="shared" si="7"/>
        <v>0</v>
      </c>
      <c r="L65" s="61">
        <f t="shared" si="7"/>
        <v>0</v>
      </c>
      <c r="M65" s="61">
        <f t="shared" si="7"/>
        <v>0</v>
      </c>
      <c r="N65" s="61">
        <f t="shared" si="7"/>
        <v>0</v>
      </c>
      <c r="O65" s="61">
        <f t="shared" si="7"/>
        <v>0</v>
      </c>
      <c r="P65" s="61">
        <f t="shared" si="7"/>
        <v>0</v>
      </c>
      <c r="Q65" s="61">
        <f t="shared" si="7"/>
        <v>0</v>
      </c>
      <c r="R65" s="61">
        <f t="shared" si="7"/>
        <v>0</v>
      </c>
      <c r="S65" s="61">
        <f t="shared" si="7"/>
        <v>0</v>
      </c>
      <c r="T65" s="61">
        <f t="shared" si="7"/>
        <v>0</v>
      </c>
      <c r="U65" s="61">
        <f t="shared" si="7"/>
        <v>0</v>
      </c>
      <c r="V65" s="61">
        <f t="shared" si="7"/>
        <v>0</v>
      </c>
      <c r="W65" s="61">
        <f t="shared" si="7"/>
        <v>0</v>
      </c>
      <c r="X65" s="61">
        <f t="shared" si="7"/>
        <v>0</v>
      </c>
      <c r="Y65" s="61">
        <f t="shared" si="7"/>
        <v>0</v>
      </c>
      <c r="Z65" s="61">
        <f t="shared" si="7"/>
        <v>0</v>
      </c>
      <c r="AA65" s="61">
        <f t="shared" si="7"/>
        <v>0</v>
      </c>
      <c r="AB65" s="61">
        <f t="shared" si="7"/>
        <v>0</v>
      </c>
      <c r="AC65" s="61">
        <f t="shared" si="7"/>
        <v>0</v>
      </c>
      <c r="AD65" s="61">
        <f t="shared" si="7"/>
        <v>0</v>
      </c>
      <c r="AE65" s="61">
        <f t="shared" si="7"/>
        <v>0</v>
      </c>
      <c r="AF65" s="61">
        <f t="shared" si="7"/>
        <v>0</v>
      </c>
      <c r="AG65" s="62">
        <f t="shared" si="7"/>
        <v>106</v>
      </c>
      <c r="AH65" s="48">
        <f t="shared" si="2"/>
        <v>0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52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-181</v>
      </c>
      <c r="C68" s="65">
        <v>-152</v>
      </c>
      <c r="D68" s="65">
        <v>-150</v>
      </c>
      <c r="E68" s="65">
        <v>-148</v>
      </c>
      <c r="F68" s="65">
        <v>-138</v>
      </c>
      <c r="G68" s="65">
        <v>-110</v>
      </c>
      <c r="H68" s="65">
        <v>-80</v>
      </c>
      <c r="I68" s="65">
        <v>-120</v>
      </c>
      <c r="J68" s="65">
        <v>-150</v>
      </c>
      <c r="K68" s="65">
        <v>-215</v>
      </c>
      <c r="L68" s="65">
        <v>-216.1</v>
      </c>
      <c r="M68" s="65">
        <v>-216</v>
      </c>
      <c r="N68" s="65">
        <v>-222</v>
      </c>
      <c r="O68" s="65">
        <v>-115.6</v>
      </c>
      <c r="P68" s="65"/>
      <c r="Q68" s="65"/>
      <c r="R68" s="65"/>
      <c r="S68" s="65">
        <v>-201</v>
      </c>
      <c r="T68" s="65">
        <v>-160</v>
      </c>
      <c r="U68" s="65">
        <v>-153</v>
      </c>
      <c r="V68" s="65">
        <v>-216</v>
      </c>
      <c r="W68" s="65">
        <v>-178</v>
      </c>
      <c r="X68" s="65">
        <v>-258</v>
      </c>
      <c r="Y68" s="65">
        <v>-245.5</v>
      </c>
      <c r="Z68" s="65">
        <v>-212</v>
      </c>
      <c r="AA68" s="65">
        <v>-160</v>
      </c>
      <c r="AB68" s="65">
        <v>-204</v>
      </c>
      <c r="AC68" s="65">
        <v>-225.7</v>
      </c>
      <c r="AD68" s="65">
        <v>-233.4</v>
      </c>
      <c r="AE68" s="65">
        <v>-199.3</v>
      </c>
      <c r="AF68" s="65">
        <v>-189.2</v>
      </c>
      <c r="AG68" s="75"/>
      <c r="AH68" s="48">
        <f t="shared" si="2"/>
        <v>-80</v>
      </c>
      <c r="AI68" s="49">
        <f t="shared" si="3"/>
        <v>-258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45"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45">
        <v>0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45">
        <v>0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45">
        <v>0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6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45">
        <v>0</v>
      </c>
      <c r="C76" s="45">
        <v>0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6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:AF77" si="8">SUMIF(B66:B76,"&gt;0")</f>
        <v>0</v>
      </c>
      <c r="C77" s="61">
        <f t="shared" si="8"/>
        <v>0</v>
      </c>
      <c r="D77" s="61">
        <f t="shared" si="8"/>
        <v>0</v>
      </c>
      <c r="E77" s="61">
        <f t="shared" si="8"/>
        <v>0</v>
      </c>
      <c r="F77" s="61">
        <f t="shared" si="8"/>
        <v>0</v>
      </c>
      <c r="G77" s="61">
        <f t="shared" si="8"/>
        <v>0</v>
      </c>
      <c r="H77" s="61">
        <f t="shared" si="8"/>
        <v>0</v>
      </c>
      <c r="I77" s="61">
        <f t="shared" si="8"/>
        <v>0</v>
      </c>
      <c r="J77" s="61">
        <f t="shared" si="8"/>
        <v>0</v>
      </c>
      <c r="K77" s="61">
        <f t="shared" si="8"/>
        <v>0</v>
      </c>
      <c r="L77" s="61">
        <f t="shared" si="8"/>
        <v>0</v>
      </c>
      <c r="M77" s="61">
        <f t="shared" si="8"/>
        <v>0</v>
      </c>
      <c r="N77" s="61">
        <f t="shared" si="8"/>
        <v>0</v>
      </c>
      <c r="O77" s="61">
        <f t="shared" si="8"/>
        <v>0</v>
      </c>
      <c r="P77" s="61">
        <f t="shared" si="8"/>
        <v>0</v>
      </c>
      <c r="Q77" s="61">
        <f t="shared" si="8"/>
        <v>0</v>
      </c>
      <c r="R77" s="61">
        <f t="shared" si="8"/>
        <v>0</v>
      </c>
      <c r="S77" s="61">
        <f t="shared" si="8"/>
        <v>0</v>
      </c>
      <c r="T77" s="61">
        <f t="shared" si="8"/>
        <v>0</v>
      </c>
      <c r="U77" s="61">
        <f t="shared" si="8"/>
        <v>0</v>
      </c>
      <c r="V77" s="61">
        <f t="shared" si="8"/>
        <v>0</v>
      </c>
      <c r="W77" s="61">
        <f t="shared" si="8"/>
        <v>0</v>
      </c>
      <c r="X77" s="61">
        <f t="shared" si="8"/>
        <v>0</v>
      </c>
      <c r="Y77" s="61">
        <f t="shared" si="8"/>
        <v>0</v>
      </c>
      <c r="Z77" s="61">
        <f t="shared" si="8"/>
        <v>0</v>
      </c>
      <c r="AA77" s="61">
        <f t="shared" si="8"/>
        <v>0</v>
      </c>
      <c r="AB77" s="61">
        <f t="shared" si="8"/>
        <v>0</v>
      </c>
      <c r="AC77" s="61">
        <f t="shared" si="8"/>
        <v>0</v>
      </c>
      <c r="AD77" s="61">
        <f t="shared" si="8"/>
        <v>0</v>
      </c>
      <c r="AE77" s="61">
        <f t="shared" si="8"/>
        <v>0</v>
      </c>
      <c r="AF77" s="61">
        <f t="shared" si="8"/>
        <v>0</v>
      </c>
      <c r="AG77" s="81">
        <f>SUM(AG66:AG76)</f>
        <v>0</v>
      </c>
      <c r="AH77" s="48">
        <f t="shared" si="2"/>
        <v>0</v>
      </c>
      <c r="AI77" s="49">
        <f t="shared" si="3"/>
        <v>0</v>
      </c>
      <c r="AK77" s="50"/>
    </row>
    <row r="78" spans="1:37" x14ac:dyDescent="0.25">
      <c r="A78" s="44" t="s">
        <v>83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/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/>
      <c r="AG79" s="75">
        <v>14.4</v>
      </c>
      <c r="AH79" s="48">
        <f t="shared" ref="AH79:AH112" si="9">MAX(B79:AF79)</f>
        <v>0</v>
      </c>
      <c r="AI79" s="49">
        <f t="shared" ref="AI79:AI112" si="10">MIN(B79:AF79)</f>
        <v>0</v>
      </c>
      <c r="AK79" s="50"/>
    </row>
    <row r="80" spans="1:37" ht="15.75" thickBot="1" x14ac:dyDescent="0.3">
      <c r="A80" s="78" t="s">
        <v>85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/>
      <c r="AG80" s="80">
        <v>2</v>
      </c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87</v>
      </c>
      <c r="B82" s="83">
        <f t="shared" ref="B82:AG82" si="11">B43+B47+B65+B61+B77+B81</f>
        <v>1107.74</v>
      </c>
      <c r="C82" s="83">
        <f t="shared" si="11"/>
        <v>1040.04</v>
      </c>
      <c r="D82" s="83">
        <f t="shared" si="11"/>
        <v>1014.24</v>
      </c>
      <c r="E82" s="83">
        <f t="shared" si="11"/>
        <v>994.24</v>
      </c>
      <c r="F82" s="83">
        <f t="shared" si="11"/>
        <v>1008.64</v>
      </c>
      <c r="G82" s="83">
        <f t="shared" si="11"/>
        <v>1010.5400000000002</v>
      </c>
      <c r="H82" s="83">
        <f t="shared" si="11"/>
        <v>1049.5400000000002</v>
      </c>
      <c r="I82" s="83">
        <f t="shared" si="11"/>
        <v>1110.5400000000002</v>
      </c>
      <c r="J82" s="83">
        <f t="shared" si="11"/>
        <v>1240.5400000000002</v>
      </c>
      <c r="K82" s="83">
        <f t="shared" si="11"/>
        <v>1403.5400000000002</v>
      </c>
      <c r="L82" s="83">
        <f t="shared" si="11"/>
        <v>1454.04</v>
      </c>
      <c r="M82" s="83">
        <f t="shared" si="11"/>
        <v>1515.24</v>
      </c>
      <c r="N82" s="83">
        <f t="shared" si="11"/>
        <v>1484.8400000000001</v>
      </c>
      <c r="O82" s="83">
        <f t="shared" si="11"/>
        <v>1298.74</v>
      </c>
      <c r="P82" s="83">
        <f t="shared" si="11"/>
        <v>1255.8400000000001</v>
      </c>
      <c r="Q82" s="83">
        <f t="shared" si="11"/>
        <v>1237.3400000000001</v>
      </c>
      <c r="R82" s="83">
        <f t="shared" si="11"/>
        <v>1228.3400000000001</v>
      </c>
      <c r="S82" s="83">
        <f t="shared" si="11"/>
        <v>1169.3400000000001</v>
      </c>
      <c r="T82" s="83">
        <f t="shared" si="11"/>
        <v>1146.44</v>
      </c>
      <c r="U82" s="83">
        <f t="shared" si="11"/>
        <v>1156.24</v>
      </c>
      <c r="V82" s="83">
        <f t="shared" si="11"/>
        <v>1317.44</v>
      </c>
      <c r="W82" s="83">
        <f t="shared" si="11"/>
        <v>1431.54</v>
      </c>
      <c r="X82" s="83">
        <f t="shared" si="11"/>
        <v>1603.8400000000001</v>
      </c>
      <c r="Y82" s="83">
        <f t="shared" si="11"/>
        <v>1567.8400000000001</v>
      </c>
      <c r="Z82" s="83">
        <f t="shared" si="11"/>
        <v>1447.8400000000001</v>
      </c>
      <c r="AA82" s="83">
        <f t="shared" si="11"/>
        <v>1347.8400000000001</v>
      </c>
      <c r="AB82" s="83">
        <f t="shared" si="11"/>
        <v>1318.54</v>
      </c>
      <c r="AC82" s="83">
        <f t="shared" si="11"/>
        <v>1263.3400000000001</v>
      </c>
      <c r="AD82" s="83">
        <f t="shared" si="11"/>
        <v>1227.8400000000001</v>
      </c>
      <c r="AE82" s="83">
        <f t="shared" si="11"/>
        <v>1091.44</v>
      </c>
      <c r="AF82" s="83">
        <f t="shared" si="11"/>
        <v>1102.5400000000002</v>
      </c>
      <c r="AG82" s="62">
        <f t="shared" si="11"/>
        <v>1986.1900000000003</v>
      </c>
      <c r="AH82" s="48">
        <f t="shared" si="9"/>
        <v>1603.8400000000001</v>
      </c>
      <c r="AI82" s="49">
        <f t="shared" si="10"/>
        <v>994.24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9"/>
        <v>0</v>
      </c>
      <c r="AI83" s="49">
        <f t="shared" si="10"/>
        <v>0</v>
      </c>
    </row>
    <row r="84" spans="1:37" ht="15.75" thickBot="1" x14ac:dyDescent="0.3">
      <c r="A84" s="74" t="s">
        <v>89</v>
      </c>
      <c r="B84" s="83">
        <f t="shared" ref="B84:AF84" si="12">B82+B83</f>
        <v>1107.74</v>
      </c>
      <c r="C84" s="83">
        <f t="shared" si="12"/>
        <v>1040.04</v>
      </c>
      <c r="D84" s="83">
        <f t="shared" si="12"/>
        <v>1014.24</v>
      </c>
      <c r="E84" s="83">
        <f t="shared" si="12"/>
        <v>994.24</v>
      </c>
      <c r="F84" s="83">
        <f t="shared" si="12"/>
        <v>1008.64</v>
      </c>
      <c r="G84" s="83">
        <f t="shared" si="12"/>
        <v>1010.5400000000002</v>
      </c>
      <c r="H84" s="83">
        <f t="shared" si="12"/>
        <v>1049.5400000000002</v>
      </c>
      <c r="I84" s="83">
        <f t="shared" si="12"/>
        <v>1110.5400000000002</v>
      </c>
      <c r="J84" s="83">
        <f t="shared" si="12"/>
        <v>1240.5400000000002</v>
      </c>
      <c r="K84" s="83">
        <f t="shared" si="12"/>
        <v>1403.5400000000002</v>
      </c>
      <c r="L84" s="83">
        <f t="shared" si="12"/>
        <v>1454.04</v>
      </c>
      <c r="M84" s="83">
        <f t="shared" si="12"/>
        <v>1515.24</v>
      </c>
      <c r="N84" s="83">
        <f t="shared" si="12"/>
        <v>1484.8400000000001</v>
      </c>
      <c r="O84" s="83">
        <f t="shared" si="12"/>
        <v>1298.74</v>
      </c>
      <c r="P84" s="83">
        <f t="shared" si="12"/>
        <v>1255.8400000000001</v>
      </c>
      <c r="Q84" s="83">
        <f t="shared" si="12"/>
        <v>1237.3400000000001</v>
      </c>
      <c r="R84" s="83">
        <f t="shared" si="12"/>
        <v>1228.3400000000001</v>
      </c>
      <c r="S84" s="83">
        <f t="shared" si="12"/>
        <v>1169.3400000000001</v>
      </c>
      <c r="T84" s="83">
        <f t="shared" si="12"/>
        <v>1146.44</v>
      </c>
      <c r="U84" s="83">
        <f t="shared" si="12"/>
        <v>1156.24</v>
      </c>
      <c r="V84" s="83">
        <f t="shared" si="12"/>
        <v>1317.44</v>
      </c>
      <c r="W84" s="83">
        <f t="shared" si="12"/>
        <v>1431.54</v>
      </c>
      <c r="X84" s="83">
        <f t="shared" si="12"/>
        <v>1603.8400000000001</v>
      </c>
      <c r="Y84" s="83">
        <f t="shared" si="12"/>
        <v>1567.8400000000001</v>
      </c>
      <c r="Z84" s="83">
        <f t="shared" si="12"/>
        <v>1447.8400000000001</v>
      </c>
      <c r="AA84" s="83">
        <f t="shared" si="12"/>
        <v>1347.8400000000001</v>
      </c>
      <c r="AB84" s="83">
        <f t="shared" si="12"/>
        <v>1318.54</v>
      </c>
      <c r="AC84" s="83">
        <f t="shared" si="12"/>
        <v>1263.3400000000001</v>
      </c>
      <c r="AD84" s="83">
        <f t="shared" si="12"/>
        <v>1227.8400000000001</v>
      </c>
      <c r="AE84" s="83">
        <f t="shared" si="12"/>
        <v>1091.44</v>
      </c>
      <c r="AF84" s="83">
        <f t="shared" si="12"/>
        <v>1102.5400000000002</v>
      </c>
      <c r="AG84" s="81">
        <f>AG81+AG77+AG65+AG61+AG43+AG83</f>
        <v>1448.0900000000001</v>
      </c>
      <c r="AH84" s="48">
        <f t="shared" si="9"/>
        <v>1603.8400000000001</v>
      </c>
      <c r="AI84" s="49">
        <f t="shared" si="10"/>
        <v>994.24</v>
      </c>
    </row>
    <row r="85" spans="1:37" ht="15.75" thickBot="1" x14ac:dyDescent="0.3">
      <c r="A85" s="74" t="s">
        <v>90</v>
      </c>
      <c r="B85" s="83">
        <f t="shared" ref="B85:AF85" si="13">B84-B92</f>
        <v>926.74</v>
      </c>
      <c r="C85" s="83">
        <f t="shared" si="13"/>
        <v>888.04</v>
      </c>
      <c r="D85" s="83">
        <f t="shared" si="13"/>
        <v>864.24</v>
      </c>
      <c r="E85" s="83">
        <f t="shared" si="13"/>
        <v>846.24</v>
      </c>
      <c r="F85" s="83">
        <f t="shared" si="13"/>
        <v>870.64</v>
      </c>
      <c r="G85" s="83">
        <f t="shared" si="13"/>
        <v>900.54000000000019</v>
      </c>
      <c r="H85" s="83">
        <f t="shared" si="13"/>
        <v>969.54000000000019</v>
      </c>
      <c r="I85" s="83">
        <f t="shared" si="13"/>
        <v>990.54000000000019</v>
      </c>
      <c r="J85" s="83">
        <f t="shared" si="13"/>
        <v>1090.5400000000002</v>
      </c>
      <c r="K85" s="83">
        <f t="shared" si="13"/>
        <v>1188.5400000000002</v>
      </c>
      <c r="L85" s="83">
        <f t="shared" si="13"/>
        <v>1237.94</v>
      </c>
      <c r="M85" s="83">
        <f t="shared" si="13"/>
        <v>1299.24</v>
      </c>
      <c r="N85" s="83">
        <f t="shared" si="13"/>
        <v>1262.8400000000001</v>
      </c>
      <c r="O85" s="83">
        <f t="shared" si="13"/>
        <v>1183.1400000000001</v>
      </c>
      <c r="P85" s="83">
        <f t="shared" si="13"/>
        <v>1255.8400000000001</v>
      </c>
      <c r="Q85" s="83">
        <f t="shared" si="13"/>
        <v>1237.3400000000001</v>
      </c>
      <c r="R85" s="83">
        <f t="shared" si="13"/>
        <v>1228.3400000000001</v>
      </c>
      <c r="S85" s="83">
        <f t="shared" si="13"/>
        <v>968.34000000000015</v>
      </c>
      <c r="T85" s="83">
        <f t="shared" si="13"/>
        <v>986.44</v>
      </c>
      <c r="U85" s="83">
        <f t="shared" si="13"/>
        <v>1003.24</v>
      </c>
      <c r="V85" s="83">
        <f t="shared" si="13"/>
        <v>1101.44</v>
      </c>
      <c r="W85" s="83">
        <f t="shared" si="13"/>
        <v>1253.54</v>
      </c>
      <c r="X85" s="83">
        <f t="shared" si="13"/>
        <v>1345.8400000000001</v>
      </c>
      <c r="Y85" s="83">
        <f t="shared" si="13"/>
        <v>1322.3400000000001</v>
      </c>
      <c r="Z85" s="83">
        <f t="shared" si="13"/>
        <v>1235.8400000000001</v>
      </c>
      <c r="AA85" s="83">
        <f t="shared" si="13"/>
        <v>1187.8400000000001</v>
      </c>
      <c r="AB85" s="83">
        <f t="shared" si="13"/>
        <v>1114.54</v>
      </c>
      <c r="AC85" s="83">
        <f t="shared" si="13"/>
        <v>1037.6400000000001</v>
      </c>
      <c r="AD85" s="83">
        <f t="shared" si="13"/>
        <v>994.44000000000017</v>
      </c>
      <c r="AE85" s="83">
        <f t="shared" si="13"/>
        <v>892.1400000000001</v>
      </c>
      <c r="AF85" s="83">
        <f t="shared" si="13"/>
        <v>913.34000000000015</v>
      </c>
      <c r="AG85" s="81"/>
      <c r="AH85" s="48">
        <f t="shared" si="9"/>
        <v>1345.8400000000001</v>
      </c>
      <c r="AI85" s="49">
        <f t="shared" si="10"/>
        <v>846.24</v>
      </c>
    </row>
    <row r="86" spans="1:37" x14ac:dyDescent="0.25">
      <c r="A86" s="44" t="s">
        <v>74</v>
      </c>
      <c r="B86" s="76">
        <f t="shared" ref="B86:AF86" si="14">IF(B69&lt;0,B69*-1,0)</f>
        <v>0</v>
      </c>
      <c r="C86" s="76">
        <f t="shared" si="14"/>
        <v>0</v>
      </c>
      <c r="D86" s="76">
        <f t="shared" si="14"/>
        <v>0</v>
      </c>
      <c r="E86" s="76">
        <f t="shared" si="14"/>
        <v>0</v>
      </c>
      <c r="F86" s="76">
        <f t="shared" si="14"/>
        <v>0</v>
      </c>
      <c r="G86" s="76">
        <f t="shared" si="14"/>
        <v>0</v>
      </c>
      <c r="H86" s="76">
        <f t="shared" si="14"/>
        <v>0</v>
      </c>
      <c r="I86" s="76">
        <f t="shared" si="14"/>
        <v>0</v>
      </c>
      <c r="J86" s="76">
        <f t="shared" si="14"/>
        <v>0</v>
      </c>
      <c r="K86" s="76">
        <f t="shared" si="14"/>
        <v>0</v>
      </c>
      <c r="L86" s="76">
        <f t="shared" si="14"/>
        <v>0</v>
      </c>
      <c r="M86" s="76">
        <f t="shared" si="14"/>
        <v>0</v>
      </c>
      <c r="N86" s="76">
        <f t="shared" si="14"/>
        <v>0</v>
      </c>
      <c r="O86" s="76">
        <f t="shared" si="14"/>
        <v>0</v>
      </c>
      <c r="P86" s="76">
        <f t="shared" si="14"/>
        <v>0</v>
      </c>
      <c r="Q86" s="76">
        <f t="shared" si="14"/>
        <v>0</v>
      </c>
      <c r="R86" s="76">
        <f t="shared" si="14"/>
        <v>0</v>
      </c>
      <c r="S86" s="76">
        <f t="shared" si="14"/>
        <v>0</v>
      </c>
      <c r="T86" s="76">
        <f t="shared" si="14"/>
        <v>0</v>
      </c>
      <c r="U86" s="76">
        <f t="shared" si="14"/>
        <v>0</v>
      </c>
      <c r="V86" s="76">
        <f t="shared" si="14"/>
        <v>0</v>
      </c>
      <c r="W86" s="76">
        <f t="shared" si="14"/>
        <v>0</v>
      </c>
      <c r="X86" s="76">
        <v>0</v>
      </c>
      <c r="Y86" s="76">
        <f t="shared" si="14"/>
        <v>0</v>
      </c>
      <c r="Z86" s="76">
        <f t="shared" si="14"/>
        <v>0</v>
      </c>
      <c r="AA86" s="76">
        <f t="shared" si="14"/>
        <v>0</v>
      </c>
      <c r="AB86" s="76">
        <f t="shared" si="14"/>
        <v>0</v>
      </c>
      <c r="AC86" s="76">
        <f t="shared" si="14"/>
        <v>0</v>
      </c>
      <c r="AD86" s="76">
        <f t="shared" si="14"/>
        <v>0</v>
      </c>
      <c r="AE86" s="76">
        <f t="shared" si="14"/>
        <v>0</v>
      </c>
      <c r="AF86" s="76">
        <f t="shared" si="14"/>
        <v>0</v>
      </c>
      <c r="AG86" s="52"/>
      <c r="AH86" s="48">
        <f t="shared" si="9"/>
        <v>0</v>
      </c>
      <c r="AI86" s="49">
        <f t="shared" si="10"/>
        <v>0</v>
      </c>
    </row>
    <row r="87" spans="1:37" x14ac:dyDescent="0.25">
      <c r="A87" s="54" t="s">
        <v>72</v>
      </c>
      <c r="B87" s="76">
        <f t="shared" ref="B87:AF87" si="15">IF(B67&lt;0,B67*-1,0)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v>0</v>
      </c>
      <c r="Y87" s="76">
        <f t="shared" si="15"/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5"/>
      <c r="AH87" s="48">
        <f t="shared" si="9"/>
        <v>0</v>
      </c>
      <c r="AI87" s="49">
        <f t="shared" si="10"/>
        <v>0</v>
      </c>
    </row>
    <row r="88" spans="1:37" x14ac:dyDescent="0.25">
      <c r="A88" s="78" t="s">
        <v>91</v>
      </c>
      <c r="B88" s="76">
        <f t="shared" ref="B88:AF88" si="16">IF(B70&lt;0,B70*-1,0)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v>0</v>
      </c>
      <c r="Y88" s="76">
        <f t="shared" si="16"/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86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92</v>
      </c>
      <c r="B89" s="76">
        <f t="shared" ref="B89:AF89" si="17">IF(B68&lt;0,B68*-1,0)</f>
        <v>181</v>
      </c>
      <c r="C89" s="76">
        <f t="shared" si="17"/>
        <v>152</v>
      </c>
      <c r="D89" s="76">
        <f t="shared" si="17"/>
        <v>150</v>
      </c>
      <c r="E89" s="76">
        <f t="shared" si="17"/>
        <v>148</v>
      </c>
      <c r="F89" s="76">
        <f t="shared" si="17"/>
        <v>138</v>
      </c>
      <c r="G89" s="76">
        <f t="shared" si="17"/>
        <v>110</v>
      </c>
      <c r="H89" s="76">
        <f t="shared" si="17"/>
        <v>80</v>
      </c>
      <c r="I89" s="76">
        <f t="shared" si="17"/>
        <v>120</v>
      </c>
      <c r="J89" s="76">
        <f t="shared" si="17"/>
        <v>150</v>
      </c>
      <c r="K89" s="76">
        <f t="shared" si="17"/>
        <v>215</v>
      </c>
      <c r="L89" s="76">
        <f t="shared" si="17"/>
        <v>216.1</v>
      </c>
      <c r="M89" s="76">
        <f t="shared" si="17"/>
        <v>216</v>
      </c>
      <c r="N89" s="76">
        <f t="shared" si="17"/>
        <v>222</v>
      </c>
      <c r="O89" s="76">
        <f t="shared" si="17"/>
        <v>115.6</v>
      </c>
      <c r="P89" s="76">
        <f t="shared" si="17"/>
        <v>0</v>
      </c>
      <c r="Q89" s="76">
        <f t="shared" si="17"/>
        <v>0</v>
      </c>
      <c r="R89" s="76">
        <f t="shared" si="17"/>
        <v>0</v>
      </c>
      <c r="S89" s="76">
        <f t="shared" si="17"/>
        <v>201</v>
      </c>
      <c r="T89" s="76">
        <f t="shared" si="17"/>
        <v>160</v>
      </c>
      <c r="U89" s="76">
        <f t="shared" si="17"/>
        <v>153</v>
      </c>
      <c r="V89" s="76">
        <f t="shared" si="17"/>
        <v>216</v>
      </c>
      <c r="W89" s="76">
        <f t="shared" si="17"/>
        <v>178</v>
      </c>
      <c r="X89" s="76">
        <v>258</v>
      </c>
      <c r="Y89" s="76">
        <f t="shared" si="17"/>
        <v>245.5</v>
      </c>
      <c r="Z89" s="76">
        <f t="shared" si="17"/>
        <v>212</v>
      </c>
      <c r="AA89" s="76">
        <f t="shared" si="17"/>
        <v>160</v>
      </c>
      <c r="AB89" s="76">
        <f t="shared" si="17"/>
        <v>204</v>
      </c>
      <c r="AC89" s="76">
        <f t="shared" si="17"/>
        <v>225.7</v>
      </c>
      <c r="AD89" s="76">
        <f t="shared" si="17"/>
        <v>233.4</v>
      </c>
      <c r="AE89" s="76">
        <f t="shared" si="17"/>
        <v>199.3</v>
      </c>
      <c r="AF89" s="76">
        <f t="shared" si="17"/>
        <v>189.2</v>
      </c>
      <c r="AG89" s="86"/>
      <c r="AH89" s="48">
        <f t="shared" si="9"/>
        <v>258</v>
      </c>
      <c r="AI89" s="49">
        <f t="shared" si="10"/>
        <v>0</v>
      </c>
    </row>
    <row r="90" spans="1:37" x14ac:dyDescent="0.25">
      <c r="A90" s="78" t="s">
        <v>71</v>
      </c>
      <c r="B90" s="76">
        <f t="shared" ref="B90:AF90" si="18">IF(B66&lt;0,B66*-1,0)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0</v>
      </c>
      <c r="K90" s="76">
        <f t="shared" si="18"/>
        <v>0</v>
      </c>
      <c r="L90" s="76">
        <f t="shared" si="18"/>
        <v>0</v>
      </c>
      <c r="M90" s="76">
        <f t="shared" si="18"/>
        <v>0</v>
      </c>
      <c r="N90" s="76">
        <f t="shared" si="18"/>
        <v>0</v>
      </c>
      <c r="O90" s="76">
        <f t="shared" si="18"/>
        <v>0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0</v>
      </c>
      <c r="T90" s="76">
        <f t="shared" si="18"/>
        <v>0</v>
      </c>
      <c r="U90" s="76">
        <f t="shared" si="18"/>
        <v>0</v>
      </c>
      <c r="V90" s="76">
        <f t="shared" si="18"/>
        <v>0</v>
      </c>
      <c r="W90" s="76">
        <f t="shared" si="18"/>
        <v>0</v>
      </c>
      <c r="X90" s="76">
        <v>0</v>
      </c>
      <c r="Y90" s="76">
        <f t="shared" si="18"/>
        <v>0</v>
      </c>
      <c r="Z90" s="76">
        <f t="shared" si="18"/>
        <v>0</v>
      </c>
      <c r="AA90" s="76">
        <f t="shared" si="18"/>
        <v>0</v>
      </c>
      <c r="AB90" s="76">
        <f t="shared" si="18"/>
        <v>0</v>
      </c>
      <c r="AC90" s="76">
        <f t="shared" si="18"/>
        <v>0</v>
      </c>
      <c r="AD90" s="76">
        <f t="shared" si="18"/>
        <v>0</v>
      </c>
      <c r="AE90" s="76">
        <f t="shared" si="18"/>
        <v>0</v>
      </c>
      <c r="AF90" s="76">
        <f t="shared" si="18"/>
        <v>0</v>
      </c>
      <c r="AG90" s="86"/>
      <c r="AH90" s="48">
        <f t="shared" si="9"/>
        <v>0</v>
      </c>
      <c r="AI90" s="49">
        <f t="shared" si="10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>
        <v>0</v>
      </c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87" t="s">
        <v>94</v>
      </c>
      <c r="B92" s="61">
        <f t="shared" ref="B92:AF92" si="19">SUM(B86:B91)</f>
        <v>181</v>
      </c>
      <c r="C92" s="61">
        <f t="shared" si="19"/>
        <v>152</v>
      </c>
      <c r="D92" s="61">
        <f t="shared" si="19"/>
        <v>150</v>
      </c>
      <c r="E92" s="61">
        <f t="shared" si="19"/>
        <v>148</v>
      </c>
      <c r="F92" s="61">
        <f t="shared" si="19"/>
        <v>138</v>
      </c>
      <c r="G92" s="61">
        <f t="shared" si="19"/>
        <v>110</v>
      </c>
      <c r="H92" s="61">
        <f t="shared" si="19"/>
        <v>80</v>
      </c>
      <c r="I92" s="61">
        <f t="shared" si="19"/>
        <v>120</v>
      </c>
      <c r="J92" s="61">
        <f t="shared" si="19"/>
        <v>150</v>
      </c>
      <c r="K92" s="61">
        <f t="shared" si="19"/>
        <v>215</v>
      </c>
      <c r="L92" s="61">
        <f t="shared" si="19"/>
        <v>216.1</v>
      </c>
      <c r="M92" s="61">
        <f t="shared" si="19"/>
        <v>216</v>
      </c>
      <c r="N92" s="61">
        <f t="shared" si="19"/>
        <v>222</v>
      </c>
      <c r="O92" s="61">
        <f t="shared" si="19"/>
        <v>115.6</v>
      </c>
      <c r="P92" s="61">
        <f t="shared" si="19"/>
        <v>0</v>
      </c>
      <c r="Q92" s="61">
        <f t="shared" si="19"/>
        <v>0</v>
      </c>
      <c r="R92" s="61">
        <f t="shared" si="19"/>
        <v>0</v>
      </c>
      <c r="S92" s="61">
        <f t="shared" si="19"/>
        <v>201</v>
      </c>
      <c r="T92" s="61">
        <f t="shared" si="19"/>
        <v>160</v>
      </c>
      <c r="U92" s="61">
        <f t="shared" si="19"/>
        <v>153</v>
      </c>
      <c r="V92" s="61">
        <f t="shared" si="19"/>
        <v>216</v>
      </c>
      <c r="W92" s="61">
        <f t="shared" si="19"/>
        <v>178</v>
      </c>
      <c r="X92" s="61">
        <f t="shared" si="19"/>
        <v>258</v>
      </c>
      <c r="Y92" s="61">
        <f t="shared" si="19"/>
        <v>245.5</v>
      </c>
      <c r="Z92" s="61">
        <f t="shared" si="19"/>
        <v>212</v>
      </c>
      <c r="AA92" s="61">
        <f t="shared" si="19"/>
        <v>160</v>
      </c>
      <c r="AB92" s="61">
        <f t="shared" si="19"/>
        <v>204</v>
      </c>
      <c r="AC92" s="61">
        <f t="shared" si="19"/>
        <v>225.7</v>
      </c>
      <c r="AD92" s="61">
        <f t="shared" si="19"/>
        <v>233.4</v>
      </c>
      <c r="AE92" s="61">
        <f t="shared" si="19"/>
        <v>199.3</v>
      </c>
      <c r="AF92" s="61">
        <f t="shared" si="19"/>
        <v>189.2</v>
      </c>
      <c r="AG92" s="81"/>
      <c r="AH92" s="48">
        <f t="shared" si="9"/>
        <v>258</v>
      </c>
      <c r="AI92" s="49">
        <f t="shared" si="10"/>
        <v>0</v>
      </c>
      <c r="AK92" s="50"/>
    </row>
    <row r="93" spans="1:37" ht="15.75" thickBot="1" x14ac:dyDescent="0.3">
      <c r="A93" s="74" t="s">
        <v>95</v>
      </c>
      <c r="B93" s="61">
        <f t="shared" ref="B93:AF93" si="20">B77-B92</f>
        <v>-181</v>
      </c>
      <c r="C93" s="61">
        <f t="shared" si="20"/>
        <v>-152</v>
      </c>
      <c r="D93" s="61">
        <f t="shared" si="20"/>
        <v>-150</v>
      </c>
      <c r="E93" s="61">
        <f t="shared" si="20"/>
        <v>-148</v>
      </c>
      <c r="F93" s="61">
        <f t="shared" si="20"/>
        <v>-138</v>
      </c>
      <c r="G93" s="61">
        <f t="shared" si="20"/>
        <v>-110</v>
      </c>
      <c r="H93" s="61">
        <f t="shared" si="20"/>
        <v>-80</v>
      </c>
      <c r="I93" s="61">
        <f t="shared" si="20"/>
        <v>-120</v>
      </c>
      <c r="J93" s="61">
        <f t="shared" si="20"/>
        <v>-150</v>
      </c>
      <c r="K93" s="61">
        <f t="shared" si="20"/>
        <v>-215</v>
      </c>
      <c r="L93" s="61">
        <f t="shared" si="20"/>
        <v>-216.1</v>
      </c>
      <c r="M93" s="61">
        <f t="shared" si="20"/>
        <v>-216</v>
      </c>
      <c r="N93" s="61">
        <f t="shared" si="20"/>
        <v>-222</v>
      </c>
      <c r="O93" s="61">
        <f t="shared" si="20"/>
        <v>-115.6</v>
      </c>
      <c r="P93" s="61">
        <f t="shared" si="20"/>
        <v>0</v>
      </c>
      <c r="Q93" s="61">
        <f t="shared" si="20"/>
        <v>0</v>
      </c>
      <c r="R93" s="61">
        <f t="shared" si="20"/>
        <v>0</v>
      </c>
      <c r="S93" s="61">
        <f t="shared" si="20"/>
        <v>-201</v>
      </c>
      <c r="T93" s="61">
        <f t="shared" si="20"/>
        <v>-160</v>
      </c>
      <c r="U93" s="61">
        <f t="shared" si="20"/>
        <v>-153</v>
      </c>
      <c r="V93" s="61">
        <f t="shared" si="20"/>
        <v>-216</v>
      </c>
      <c r="W93" s="61">
        <f t="shared" si="20"/>
        <v>-178</v>
      </c>
      <c r="X93" s="61">
        <f t="shared" si="20"/>
        <v>-258</v>
      </c>
      <c r="Y93" s="61">
        <f t="shared" si="20"/>
        <v>-245.5</v>
      </c>
      <c r="Z93" s="61">
        <f t="shared" si="20"/>
        <v>-212</v>
      </c>
      <c r="AA93" s="61">
        <f t="shared" si="20"/>
        <v>-160</v>
      </c>
      <c r="AB93" s="61">
        <f t="shared" si="20"/>
        <v>-204</v>
      </c>
      <c r="AC93" s="61">
        <f t="shared" si="20"/>
        <v>-225.7</v>
      </c>
      <c r="AD93" s="61">
        <f t="shared" si="20"/>
        <v>-233.4</v>
      </c>
      <c r="AE93" s="61">
        <f t="shared" si="20"/>
        <v>-199.3</v>
      </c>
      <c r="AF93" s="61">
        <f t="shared" si="20"/>
        <v>-189.2</v>
      </c>
      <c r="AG93" s="81"/>
      <c r="AH93" s="48">
        <f t="shared" si="9"/>
        <v>0</v>
      </c>
      <c r="AI93" s="49">
        <f t="shared" si="10"/>
        <v>-258</v>
      </c>
    </row>
    <row r="94" spans="1:37" x14ac:dyDescent="0.25">
      <c r="A94" s="88" t="s">
        <v>96</v>
      </c>
      <c r="B94" s="89">
        <v>50.02</v>
      </c>
      <c r="C94" s="89">
        <v>50.02</v>
      </c>
      <c r="D94" s="89">
        <v>49.99</v>
      </c>
      <c r="E94" s="89">
        <v>50.01</v>
      </c>
      <c r="F94" s="89">
        <v>50.05</v>
      </c>
      <c r="G94" s="89">
        <v>50.03</v>
      </c>
      <c r="H94" s="89">
        <v>50.07</v>
      </c>
      <c r="I94" s="89">
        <v>49.93</v>
      </c>
      <c r="J94" s="89">
        <v>49.93</v>
      </c>
      <c r="K94" s="89">
        <v>50.07</v>
      </c>
      <c r="L94" s="89">
        <v>50.03</v>
      </c>
      <c r="M94" s="89">
        <v>50.06</v>
      </c>
      <c r="N94" s="89">
        <v>49.993000000000002</v>
      </c>
      <c r="O94" s="89">
        <v>50.015999999999998</v>
      </c>
      <c r="P94" s="89">
        <v>49.963999999999999</v>
      </c>
      <c r="Q94" s="89">
        <v>49.994999999999997</v>
      </c>
      <c r="R94" s="89">
        <v>49.994999999999997</v>
      </c>
      <c r="S94" s="89">
        <v>50.1</v>
      </c>
      <c r="T94" s="89">
        <v>49.97</v>
      </c>
      <c r="U94" s="89">
        <v>49.99</v>
      </c>
      <c r="V94" s="89">
        <v>49.941000000000003</v>
      </c>
      <c r="W94" s="89">
        <v>50.01</v>
      </c>
      <c r="X94" s="89">
        <v>49.93</v>
      </c>
      <c r="Y94" s="89">
        <v>50.06</v>
      </c>
      <c r="Z94" s="89">
        <v>50.01</v>
      </c>
      <c r="AA94" s="89">
        <v>50</v>
      </c>
      <c r="AB94" s="89">
        <v>49.896000000000001</v>
      </c>
      <c r="AC94" s="89">
        <v>50.033999999999999</v>
      </c>
      <c r="AD94" s="89">
        <v>49.98</v>
      </c>
      <c r="AE94" s="89">
        <v>50.01</v>
      </c>
      <c r="AF94" s="89">
        <v>50</v>
      </c>
      <c r="AG94" s="90"/>
      <c r="AH94" s="48">
        <f t="shared" si="9"/>
        <v>50.1</v>
      </c>
      <c r="AI94" s="49">
        <f t="shared" si="10"/>
        <v>49.896000000000001</v>
      </c>
    </row>
    <row r="95" spans="1:37" x14ac:dyDescent="0.25">
      <c r="A95" s="91" t="s">
        <v>97</v>
      </c>
      <c r="B95" s="65">
        <v>127</v>
      </c>
      <c r="C95" s="65">
        <v>127.3</v>
      </c>
      <c r="D95" s="65">
        <v>127.3</v>
      </c>
      <c r="E95" s="65">
        <v>127.7</v>
      </c>
      <c r="F95" s="65">
        <v>127.7</v>
      </c>
      <c r="G95" s="65">
        <v>126</v>
      </c>
      <c r="H95" s="65">
        <v>124.3</v>
      </c>
      <c r="I95" s="65">
        <v>124.3</v>
      </c>
      <c r="J95" s="65">
        <v>123.5</v>
      </c>
      <c r="K95" s="65">
        <v>124.6</v>
      </c>
      <c r="L95" s="65">
        <v>123.5</v>
      </c>
      <c r="M95" s="65">
        <v>123.5</v>
      </c>
      <c r="N95" s="65">
        <v>124</v>
      </c>
      <c r="O95" s="65">
        <v>124</v>
      </c>
      <c r="P95" s="65">
        <v>126</v>
      </c>
      <c r="Q95" s="65">
        <v>125.8</v>
      </c>
      <c r="R95" s="65">
        <v>125.8</v>
      </c>
      <c r="S95" s="65">
        <v>125.5</v>
      </c>
      <c r="T95" s="65">
        <v>124.7</v>
      </c>
      <c r="U95" s="65">
        <v>126.1</v>
      </c>
      <c r="V95" s="65">
        <v>125.9</v>
      </c>
      <c r="W95" s="65">
        <v>126.7</v>
      </c>
      <c r="X95" s="65">
        <v>125.3</v>
      </c>
      <c r="Y95" s="65">
        <v>126.6</v>
      </c>
      <c r="Z95" s="65">
        <v>127.8</v>
      </c>
      <c r="AA95" s="65">
        <v>128</v>
      </c>
      <c r="AB95" s="65">
        <v>127.7</v>
      </c>
      <c r="AC95" s="65">
        <v>127.5</v>
      </c>
      <c r="AD95" s="65">
        <v>127.1</v>
      </c>
      <c r="AE95" s="65">
        <v>127.9</v>
      </c>
      <c r="AF95" s="65">
        <v>126.6</v>
      </c>
      <c r="AG95" s="92"/>
      <c r="AH95" s="48">
        <f t="shared" si="9"/>
        <v>128</v>
      </c>
      <c r="AI95" s="49">
        <f t="shared" si="10"/>
        <v>123.5</v>
      </c>
    </row>
    <row r="96" spans="1:37" x14ac:dyDescent="0.25">
      <c r="A96" s="91" t="s">
        <v>98</v>
      </c>
      <c r="B96" s="65">
        <v>131</v>
      </c>
      <c r="C96" s="65">
        <v>131.5</v>
      </c>
      <c r="D96" s="65">
        <v>131.5</v>
      </c>
      <c r="E96" s="65">
        <v>131.80000000000001</v>
      </c>
      <c r="F96" s="65">
        <v>131.69999999999999</v>
      </c>
      <c r="G96" s="65">
        <v>130</v>
      </c>
      <c r="H96" s="65">
        <v>129.4</v>
      </c>
      <c r="I96" s="65">
        <v>129.1</v>
      </c>
      <c r="J96" s="65">
        <v>127.8</v>
      </c>
      <c r="K96" s="65">
        <v>127.9</v>
      </c>
      <c r="L96" s="65">
        <v>126.8</v>
      </c>
      <c r="M96" s="65">
        <v>126.4</v>
      </c>
      <c r="N96" s="65">
        <v>126.6</v>
      </c>
      <c r="O96" s="65">
        <v>126.6</v>
      </c>
      <c r="P96" s="65">
        <v>129</v>
      </c>
      <c r="Q96" s="65">
        <v>129.30000000000001</v>
      </c>
      <c r="R96" s="65">
        <v>129.30000000000001</v>
      </c>
      <c r="S96" s="65">
        <v>129.4</v>
      </c>
      <c r="T96" s="65">
        <v>128.69999999999999</v>
      </c>
      <c r="U96" s="65">
        <v>129.69999999999999</v>
      </c>
      <c r="V96" s="65">
        <v>129.4</v>
      </c>
      <c r="W96" s="65">
        <v>129.4</v>
      </c>
      <c r="X96" s="65">
        <v>128.1</v>
      </c>
      <c r="Y96" s="65">
        <v>129.1</v>
      </c>
      <c r="Z96" s="65">
        <v>130.4</v>
      </c>
      <c r="AA96" s="65">
        <v>130.6</v>
      </c>
      <c r="AB96" s="65">
        <v>130.19999999999999</v>
      </c>
      <c r="AC96" s="65">
        <v>130.69999999999999</v>
      </c>
      <c r="AD96" s="65">
        <v>130.30000000000001</v>
      </c>
      <c r="AE96" s="65">
        <v>131.5</v>
      </c>
      <c r="AF96" s="65">
        <v>130.9</v>
      </c>
      <c r="AG96" s="92"/>
      <c r="AH96" s="48">
        <f t="shared" si="9"/>
        <v>131.80000000000001</v>
      </c>
      <c r="AI96" s="49">
        <f t="shared" si="10"/>
        <v>126.4</v>
      </c>
    </row>
    <row r="97" spans="1:35" x14ac:dyDescent="0.25">
      <c r="A97" s="91" t="s">
        <v>99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>
        <v>132.19999999999999</v>
      </c>
      <c r="AC97" s="65">
        <v>133.4</v>
      </c>
      <c r="AD97" s="65">
        <v>130.19999999999999</v>
      </c>
      <c r="AE97" s="65">
        <v>130.6</v>
      </c>
      <c r="AF97" s="65">
        <v>130.6</v>
      </c>
      <c r="AG97" s="92"/>
      <c r="AH97" s="48">
        <f t="shared" si="9"/>
        <v>133.4</v>
      </c>
      <c r="AI97" s="49">
        <f t="shared" si="10"/>
        <v>130.19999999999999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>
        <v>134.5</v>
      </c>
      <c r="AC98" s="65">
        <v>135.9</v>
      </c>
      <c r="AD98" s="65">
        <v>133.69999999999999</v>
      </c>
      <c r="AE98" s="65">
        <v>134.19999999999999</v>
      </c>
      <c r="AF98" s="65">
        <v>134</v>
      </c>
      <c r="AG98" s="92"/>
      <c r="AH98" s="48">
        <f t="shared" si="9"/>
        <v>135.9</v>
      </c>
      <c r="AI98" s="49">
        <f t="shared" si="10"/>
        <v>133.69999999999999</v>
      </c>
    </row>
    <row r="99" spans="1:35" x14ac:dyDescent="0.25">
      <c r="A99" s="93" t="s">
        <v>101</v>
      </c>
      <c r="B99" s="94">
        <v>133.9</v>
      </c>
      <c r="C99" s="94">
        <v>131.4</v>
      </c>
      <c r="D99" s="94">
        <v>131.4</v>
      </c>
      <c r="E99" s="94">
        <v>134.30000000000001</v>
      </c>
      <c r="F99" s="94">
        <v>133</v>
      </c>
      <c r="G99" s="94">
        <v>133.4</v>
      </c>
      <c r="H99" s="94">
        <v>133</v>
      </c>
      <c r="I99" s="94">
        <v>133.4</v>
      </c>
      <c r="J99" s="94">
        <v>131.6</v>
      </c>
      <c r="K99" s="94">
        <v>134.69999999999999</v>
      </c>
      <c r="L99" s="94">
        <v>132.69999999999999</v>
      </c>
      <c r="M99" s="94">
        <v>132.30000000000001</v>
      </c>
      <c r="N99" s="94">
        <v>130.9</v>
      </c>
      <c r="O99" s="94">
        <v>130.9</v>
      </c>
      <c r="P99" s="94">
        <v>134</v>
      </c>
      <c r="Q99" s="94">
        <v>134.4</v>
      </c>
      <c r="R99" s="94">
        <v>134.4</v>
      </c>
      <c r="S99" s="94">
        <v>132.9</v>
      </c>
      <c r="T99" s="94">
        <v>131.69999999999999</v>
      </c>
      <c r="U99" s="94">
        <v>132.19999999999999</v>
      </c>
      <c r="V99" s="94">
        <v>131.9</v>
      </c>
      <c r="W99" s="94">
        <v>133.6</v>
      </c>
      <c r="X99" s="94">
        <v>133.6</v>
      </c>
      <c r="Y99" s="94">
        <v>133.5</v>
      </c>
      <c r="Z99" s="94">
        <v>136.80000000000001</v>
      </c>
      <c r="AA99" s="94">
        <v>135</v>
      </c>
      <c r="AB99" s="94">
        <v>136</v>
      </c>
      <c r="AC99" s="94">
        <v>133.6</v>
      </c>
      <c r="AD99" s="94">
        <v>132.69999999999999</v>
      </c>
      <c r="AE99" s="94">
        <v>134.5</v>
      </c>
      <c r="AF99" s="94">
        <v>134.6</v>
      </c>
      <c r="AG99" s="95"/>
      <c r="AH99" s="48">
        <f t="shared" si="9"/>
        <v>136.80000000000001</v>
      </c>
      <c r="AI99" s="49">
        <f t="shared" si="10"/>
        <v>130.9</v>
      </c>
    </row>
    <row r="100" spans="1:35" x14ac:dyDescent="0.25">
      <c r="A100" s="91" t="s">
        <v>102</v>
      </c>
      <c r="B100" s="65">
        <v>131</v>
      </c>
      <c r="C100" s="65">
        <v>131</v>
      </c>
      <c r="D100" s="65">
        <v>131</v>
      </c>
      <c r="E100" s="65">
        <v>133.5</v>
      </c>
      <c r="F100" s="65">
        <v>132</v>
      </c>
      <c r="G100" s="65">
        <v>132</v>
      </c>
      <c r="H100" s="65">
        <v>130</v>
      </c>
      <c r="I100" s="65">
        <v>129.80000000000001</v>
      </c>
      <c r="J100" s="65">
        <v>128.5</v>
      </c>
      <c r="K100" s="65">
        <v>133.69999999999999</v>
      </c>
      <c r="L100" s="65">
        <v>130.9</v>
      </c>
      <c r="M100" s="65">
        <v>130.9</v>
      </c>
      <c r="N100" s="65">
        <v>127.4</v>
      </c>
      <c r="O100" s="65">
        <v>127.4</v>
      </c>
      <c r="P100" s="65">
        <v>131</v>
      </c>
      <c r="Q100" s="65">
        <v>132.69999999999999</v>
      </c>
      <c r="R100" s="65">
        <v>132.69999999999999</v>
      </c>
      <c r="S100" s="65">
        <v>130.4</v>
      </c>
      <c r="T100" s="65">
        <v>128.69999999999999</v>
      </c>
      <c r="U100" s="65">
        <v>128</v>
      </c>
      <c r="V100" s="65">
        <v>127.7</v>
      </c>
      <c r="W100" s="65">
        <v>130.4</v>
      </c>
      <c r="X100" s="65">
        <v>130.4</v>
      </c>
      <c r="Y100" s="65">
        <v>130.1</v>
      </c>
      <c r="Z100" s="65">
        <v>132.80000000000001</v>
      </c>
      <c r="AA100" s="65">
        <v>132.6</v>
      </c>
      <c r="AB100" s="65">
        <v>134.4</v>
      </c>
      <c r="AC100" s="65">
        <v>134.1</v>
      </c>
      <c r="AD100" s="65">
        <v>133.30000000000001</v>
      </c>
      <c r="AE100" s="65">
        <v>134.30000000000001</v>
      </c>
      <c r="AF100" s="65">
        <v>134.19999999999999</v>
      </c>
      <c r="AG100" s="92"/>
      <c r="AH100" s="48">
        <f t="shared" si="9"/>
        <v>134.4</v>
      </c>
      <c r="AI100" s="49">
        <f t="shared" si="10"/>
        <v>127.4</v>
      </c>
    </row>
    <row r="101" spans="1:35" ht="15.75" thickBot="1" x14ac:dyDescent="0.3">
      <c r="A101" s="91" t="s">
        <v>104</v>
      </c>
      <c r="B101" s="96">
        <v>66.2</v>
      </c>
      <c r="C101" s="96">
        <v>66.5</v>
      </c>
      <c r="D101" s="96">
        <v>66.400000000000006</v>
      </c>
      <c r="E101" s="96">
        <v>66.599999999999994</v>
      </c>
      <c r="F101" s="96">
        <v>66.2</v>
      </c>
      <c r="G101" s="96">
        <v>65</v>
      </c>
      <c r="H101" s="96">
        <v>64.8</v>
      </c>
      <c r="I101" s="96">
        <v>64.900000000000006</v>
      </c>
      <c r="J101" s="96">
        <v>64.400000000000006</v>
      </c>
      <c r="K101" s="96">
        <v>64.2</v>
      </c>
      <c r="L101" s="96">
        <v>63.8</v>
      </c>
      <c r="M101" s="96">
        <v>63.8</v>
      </c>
      <c r="N101" s="96">
        <v>63.7</v>
      </c>
      <c r="O101" s="96">
        <v>63.7</v>
      </c>
      <c r="P101" s="96">
        <v>65</v>
      </c>
      <c r="Q101" s="96">
        <v>65.2</v>
      </c>
      <c r="R101" s="96">
        <v>65.2</v>
      </c>
      <c r="S101" s="96">
        <v>65.400000000000006</v>
      </c>
      <c r="T101" s="96">
        <v>65.099999999999994</v>
      </c>
      <c r="U101" s="96">
        <v>65.599999999999994</v>
      </c>
      <c r="V101" s="96">
        <v>65.400000000000006</v>
      </c>
      <c r="W101" s="96">
        <v>65.400000000000006</v>
      </c>
      <c r="X101" s="96">
        <v>64.7</v>
      </c>
      <c r="Y101" s="96">
        <v>65.3</v>
      </c>
      <c r="Z101" s="96">
        <v>66</v>
      </c>
      <c r="AA101" s="96">
        <v>66</v>
      </c>
      <c r="AB101" s="96">
        <v>66</v>
      </c>
      <c r="AC101" s="96">
        <v>66.099999999999994</v>
      </c>
      <c r="AD101" s="96">
        <v>66.099999999999994</v>
      </c>
      <c r="AE101" s="96">
        <v>66.5</v>
      </c>
      <c r="AF101" s="96">
        <v>65.900000000000006</v>
      </c>
      <c r="AG101" s="97"/>
      <c r="AH101" s="48">
        <f t="shared" si="9"/>
        <v>66.599999999999994</v>
      </c>
      <c r="AI101" s="49">
        <f t="shared" si="10"/>
        <v>63.7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 t="s">
        <v>248</v>
      </c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9"/>
        <v>0</v>
      </c>
      <c r="AI102" s="49">
        <f t="shared" si="10"/>
        <v>0</v>
      </c>
    </row>
    <row r="103" spans="1:35" ht="15.75" thickBot="1" x14ac:dyDescent="0.3">
      <c r="A103" s="99" t="s">
        <v>105</v>
      </c>
      <c r="B103" s="100">
        <f t="shared" ref="B103:AF103" si="21">SUM(B16,B22,B25:B26,B51,B53:B54,B56,B58,B104:B108,B130,B136,B142,B151,B153,B165,B172,B175:B176,B183,B185,B187,B191:B193,B195:B197,B202,B208:B209,B211:B213,B221,B226)</f>
        <v>49.800000000000011</v>
      </c>
      <c r="C103" s="100">
        <f t="shared" si="21"/>
        <v>47.740000000000009</v>
      </c>
      <c r="D103" s="100">
        <f t="shared" si="21"/>
        <v>50.740000000000009</v>
      </c>
      <c r="E103" s="100">
        <f t="shared" si="21"/>
        <v>31.440000000000019</v>
      </c>
      <c r="F103" s="100">
        <f t="shared" si="21"/>
        <v>60.340000000000018</v>
      </c>
      <c r="G103" s="100">
        <f t="shared" si="21"/>
        <v>62.039999999999992</v>
      </c>
      <c r="H103" s="100">
        <f t="shared" si="21"/>
        <v>221.34</v>
      </c>
      <c r="I103" s="100">
        <f t="shared" si="21"/>
        <v>117.34000000000006</v>
      </c>
      <c r="J103" s="100">
        <f t="shared" si="21"/>
        <v>618.33999999999992</v>
      </c>
      <c r="K103" s="100">
        <f t="shared" si="21"/>
        <v>180.74000000000004</v>
      </c>
      <c r="L103" s="100">
        <f t="shared" si="21"/>
        <v>211.54</v>
      </c>
      <c r="M103" s="100">
        <f t="shared" si="21"/>
        <v>227.84000000000006</v>
      </c>
      <c r="N103" s="100">
        <f t="shared" si="21"/>
        <v>237.94</v>
      </c>
      <c r="O103" s="100">
        <f t="shared" si="21"/>
        <v>223.24</v>
      </c>
      <c r="P103" s="100">
        <f t="shared" si="21"/>
        <v>187.04</v>
      </c>
      <c r="Q103" s="100">
        <f t="shared" si="21"/>
        <v>168.3</v>
      </c>
      <c r="R103" s="100">
        <f t="shared" si="21"/>
        <v>169.10000000000002</v>
      </c>
      <c r="S103" s="100">
        <f t="shared" si="21"/>
        <v>133.30000000000001</v>
      </c>
      <c r="T103" s="100">
        <f t="shared" si="21"/>
        <v>147.20000000000002</v>
      </c>
      <c r="U103" s="100">
        <f t="shared" si="21"/>
        <v>159.57000000000002</v>
      </c>
      <c r="V103" s="100">
        <f t="shared" si="21"/>
        <v>183.2</v>
      </c>
      <c r="W103" s="100">
        <f t="shared" si="21"/>
        <v>245.80000000000004</v>
      </c>
      <c r="X103" s="100">
        <f t="shared" si="21"/>
        <v>277.90000000000003</v>
      </c>
      <c r="Y103" s="100">
        <f t="shared" si="21"/>
        <v>266.3</v>
      </c>
      <c r="Z103" s="100">
        <f t="shared" si="21"/>
        <v>253.90000000000003</v>
      </c>
      <c r="AA103" s="100">
        <f t="shared" si="21"/>
        <v>249.89999999999998</v>
      </c>
      <c r="AB103" s="100">
        <f t="shared" si="21"/>
        <v>222.70000000000002</v>
      </c>
      <c r="AC103" s="100">
        <f t="shared" si="21"/>
        <v>194.7</v>
      </c>
      <c r="AD103" s="100">
        <f t="shared" si="21"/>
        <v>178.3</v>
      </c>
      <c r="AE103" s="100">
        <f t="shared" si="21"/>
        <v>124.09999999999998</v>
      </c>
      <c r="AF103" s="100">
        <f t="shared" si="21"/>
        <v>65.000000000000014</v>
      </c>
      <c r="AG103" s="101"/>
      <c r="AH103" s="48">
        <f t="shared" si="9"/>
        <v>618.33999999999992</v>
      </c>
      <c r="AI103" s="49">
        <f t="shared" si="10"/>
        <v>31.440000000000019</v>
      </c>
    </row>
    <row r="104" spans="1:35" x14ac:dyDescent="0.25">
      <c r="A104" s="88" t="s">
        <v>106</v>
      </c>
      <c r="B104" s="102">
        <v>23</v>
      </c>
      <c r="C104" s="102">
        <v>24</v>
      </c>
      <c r="D104" s="102">
        <v>26</v>
      </c>
      <c r="E104" s="102">
        <v>2.5</v>
      </c>
      <c r="F104" s="102">
        <v>16.8</v>
      </c>
      <c r="G104" s="102">
        <v>20</v>
      </c>
      <c r="H104" s="102">
        <v>38</v>
      </c>
      <c r="I104" s="102">
        <v>46.4</v>
      </c>
      <c r="J104" s="102">
        <v>523</v>
      </c>
      <c r="K104" s="102">
        <v>48.8</v>
      </c>
      <c r="L104" s="102">
        <v>47.2</v>
      </c>
      <c r="M104" s="102">
        <v>50.2</v>
      </c>
      <c r="N104" s="102">
        <v>50.9</v>
      </c>
      <c r="O104" s="102">
        <v>51.6</v>
      </c>
      <c r="P104" s="102">
        <v>49.1</v>
      </c>
      <c r="Q104" s="102">
        <v>50</v>
      </c>
      <c r="R104" s="102">
        <v>50</v>
      </c>
      <c r="S104" s="102">
        <v>46.4</v>
      </c>
      <c r="T104" s="102">
        <v>49.5</v>
      </c>
      <c r="U104" s="102">
        <v>49.97</v>
      </c>
      <c r="V104" s="102">
        <v>51.8</v>
      </c>
      <c r="W104" s="102">
        <v>47.9</v>
      </c>
      <c r="X104" s="102">
        <v>46.4</v>
      </c>
      <c r="Y104" s="102">
        <v>48.6</v>
      </c>
      <c r="Z104" s="102">
        <v>55.7</v>
      </c>
      <c r="AA104" s="102">
        <v>57.1</v>
      </c>
      <c r="AB104" s="102">
        <v>59.8</v>
      </c>
      <c r="AC104" s="102">
        <v>61.8</v>
      </c>
      <c r="AD104" s="102">
        <v>59.5</v>
      </c>
      <c r="AE104" s="102">
        <v>51</v>
      </c>
      <c r="AF104" s="102">
        <v>36</v>
      </c>
      <c r="AG104" s="103">
        <v>75</v>
      </c>
      <c r="AH104" s="48">
        <f t="shared" si="9"/>
        <v>523</v>
      </c>
      <c r="AI104" s="49">
        <f t="shared" si="10"/>
        <v>2.5</v>
      </c>
    </row>
    <row r="105" spans="1:35" x14ac:dyDescent="0.25">
      <c r="A105" s="91" t="s">
        <v>107</v>
      </c>
      <c r="B105" s="104">
        <v>37</v>
      </c>
      <c r="C105" s="104">
        <v>39</v>
      </c>
      <c r="D105" s="104">
        <v>42</v>
      </c>
      <c r="E105" s="104">
        <v>36.9</v>
      </c>
      <c r="F105" s="104">
        <v>31</v>
      </c>
      <c r="G105" s="104">
        <v>40</v>
      </c>
      <c r="H105" s="104">
        <v>56</v>
      </c>
      <c r="I105" s="104">
        <v>74.900000000000006</v>
      </c>
      <c r="J105" s="104">
        <v>82.6</v>
      </c>
      <c r="K105" s="104">
        <v>75.900000000000006</v>
      </c>
      <c r="L105" s="104">
        <v>72.400000000000006</v>
      </c>
      <c r="M105" s="104">
        <v>76.3</v>
      </c>
      <c r="N105" s="104">
        <v>77.599999999999994</v>
      </c>
      <c r="O105" s="104">
        <v>80.2</v>
      </c>
      <c r="P105" s="104">
        <v>76.900000000000006</v>
      </c>
      <c r="Q105" s="104">
        <v>78.5</v>
      </c>
      <c r="R105" s="104">
        <v>78.5</v>
      </c>
      <c r="S105" s="104">
        <v>74.400000000000006</v>
      </c>
      <c r="T105" s="104">
        <v>80.3</v>
      </c>
      <c r="U105" s="104">
        <v>80.2</v>
      </c>
      <c r="V105" s="104">
        <v>80.900000000000006</v>
      </c>
      <c r="W105" s="104">
        <v>70.099999999999994</v>
      </c>
      <c r="X105" s="104">
        <v>65.599999999999994</v>
      </c>
      <c r="Y105" s="104">
        <v>69.5</v>
      </c>
      <c r="Z105" s="104">
        <v>80.2</v>
      </c>
      <c r="AA105" s="104">
        <v>82.6</v>
      </c>
      <c r="AB105" s="104">
        <v>87.9</v>
      </c>
      <c r="AC105" s="104">
        <v>91</v>
      </c>
      <c r="AD105" s="104">
        <v>88.2</v>
      </c>
      <c r="AE105" s="104">
        <v>76.2</v>
      </c>
      <c r="AF105" s="104">
        <v>58.5</v>
      </c>
      <c r="AG105" s="103">
        <v>240</v>
      </c>
      <c r="AH105" s="48">
        <f t="shared" si="9"/>
        <v>91</v>
      </c>
      <c r="AI105" s="49">
        <f t="shared" si="10"/>
        <v>31</v>
      </c>
    </row>
    <row r="106" spans="1:35" x14ac:dyDescent="0.25">
      <c r="A106" s="91" t="s">
        <v>108</v>
      </c>
      <c r="B106" s="104">
        <v>-129</v>
      </c>
      <c r="C106" s="104">
        <v>-134</v>
      </c>
      <c r="D106" s="104">
        <v>-135</v>
      </c>
      <c r="E106" s="104">
        <f>-60.9-65.6</f>
        <v>-126.5</v>
      </c>
      <c r="F106" s="104">
        <f>-52.8-56.2</f>
        <v>-109</v>
      </c>
      <c r="G106" s="104">
        <f>-60.6-64.7</f>
        <v>-125.30000000000001</v>
      </c>
      <c r="H106" s="104"/>
      <c r="I106" s="104">
        <f>-63.5-67.7</f>
        <v>-131.19999999999999</v>
      </c>
      <c r="J106" s="104">
        <f>-59.7-58</f>
        <v>-117.7</v>
      </c>
      <c r="K106" s="104">
        <f>-38.8-40.9</f>
        <v>-79.699999999999989</v>
      </c>
      <c r="L106" s="104">
        <f>-23.8-25.5</f>
        <v>-49.3</v>
      </c>
      <c r="M106" s="104">
        <v>-46.7</v>
      </c>
      <c r="N106" s="104">
        <v>-42</v>
      </c>
      <c r="O106" s="104">
        <v>-58</v>
      </c>
      <c r="P106" s="104">
        <v>-84.9</v>
      </c>
      <c r="Q106" s="104">
        <v>-102.5</v>
      </c>
      <c r="R106" s="104">
        <v>-102.5</v>
      </c>
      <c r="S106" s="104">
        <f>-63.3-65.2</f>
        <v>-128.5</v>
      </c>
      <c r="T106" s="104">
        <f>-63-68.1</f>
        <v>-131.1</v>
      </c>
      <c r="U106" s="104">
        <f>-57.5-61.6</f>
        <v>-119.1</v>
      </c>
      <c r="V106" s="104">
        <f>-48.6-52.9</f>
        <v>-101.5</v>
      </c>
      <c r="W106" s="104">
        <f>-16.1-17.5</f>
        <v>-33.6</v>
      </c>
      <c r="X106" s="104">
        <v>-1.8</v>
      </c>
      <c r="Y106" s="104">
        <f>-10.6-6.6</f>
        <v>-17.2</v>
      </c>
      <c r="Z106" s="104">
        <f>-21.5-23.2</f>
        <v>-44.7</v>
      </c>
      <c r="AA106" s="104">
        <f>-25.1-26.7</f>
        <v>-51.8</v>
      </c>
      <c r="AB106" s="104">
        <v>-82</v>
      </c>
      <c r="AC106" s="104">
        <v>-109</v>
      </c>
      <c r="AD106" s="104">
        <v>-119</v>
      </c>
      <c r="AE106" s="104">
        <f>-71.4-74.9</f>
        <v>-146.30000000000001</v>
      </c>
      <c r="AF106" s="104">
        <f>-78.1-81.8</f>
        <v>-159.89999999999998</v>
      </c>
      <c r="AG106" s="103">
        <v>240</v>
      </c>
      <c r="AH106" s="48">
        <f t="shared" si="9"/>
        <v>-1.8</v>
      </c>
      <c r="AI106" s="49">
        <f t="shared" si="10"/>
        <v>-159.89999999999998</v>
      </c>
    </row>
    <row r="107" spans="1:35" x14ac:dyDescent="0.25">
      <c r="A107" s="91" t="s">
        <v>109</v>
      </c>
      <c r="B107" s="104">
        <v>-9</v>
      </c>
      <c r="C107" s="104">
        <v>-10</v>
      </c>
      <c r="D107" s="104">
        <v>-11</v>
      </c>
      <c r="E107" s="104">
        <v>-13.2</v>
      </c>
      <c r="F107" s="104">
        <v>-10.199999999999999</v>
      </c>
      <c r="G107" s="104">
        <v>-12</v>
      </c>
      <c r="H107" s="104">
        <v>-12</v>
      </c>
      <c r="I107" s="104">
        <v>-12.1</v>
      </c>
      <c r="J107" s="104">
        <v>-8.9</v>
      </c>
      <c r="K107" s="104">
        <v>-3.6</v>
      </c>
      <c r="L107" s="104">
        <v>1.9</v>
      </c>
      <c r="M107" s="104">
        <v>2.1</v>
      </c>
      <c r="N107" s="104">
        <v>5.5</v>
      </c>
      <c r="O107" s="104">
        <v>3.5</v>
      </c>
      <c r="P107" s="104">
        <v>0</v>
      </c>
      <c r="Q107" s="104">
        <v>-2.7</v>
      </c>
      <c r="R107" s="104">
        <v>-2.7</v>
      </c>
      <c r="S107" s="104">
        <v>-2.2000000000000002</v>
      </c>
      <c r="T107" s="104">
        <v>-3.7</v>
      </c>
      <c r="U107" s="104">
        <v>-3.7</v>
      </c>
      <c r="V107" s="104">
        <v>1.8</v>
      </c>
      <c r="W107" s="104">
        <v>14.2</v>
      </c>
      <c r="X107" s="104">
        <v>21.5</v>
      </c>
      <c r="Y107" s="104">
        <v>19.2</v>
      </c>
      <c r="Z107" s="104">
        <v>16.5</v>
      </c>
      <c r="AA107" s="104">
        <v>15.8</v>
      </c>
      <c r="AB107" s="104">
        <v>9.6</v>
      </c>
      <c r="AC107" s="104">
        <v>3.5</v>
      </c>
      <c r="AD107" s="104">
        <v>1.3</v>
      </c>
      <c r="AE107" s="104">
        <v>-4.8</v>
      </c>
      <c r="AF107" s="104">
        <v>-11.2</v>
      </c>
      <c r="AG107" s="103">
        <v>60</v>
      </c>
      <c r="AH107" s="48">
        <f t="shared" si="9"/>
        <v>21.5</v>
      </c>
      <c r="AI107" s="49">
        <f t="shared" si="10"/>
        <v>-13.2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9"/>
        <v>0</v>
      </c>
      <c r="AI108" s="49">
        <f t="shared" si="10"/>
        <v>0</v>
      </c>
    </row>
    <row r="109" spans="1:35" x14ac:dyDescent="0.25">
      <c r="A109" s="105" t="s">
        <v>111</v>
      </c>
      <c r="B109" s="106">
        <v>3</v>
      </c>
      <c r="C109" s="106">
        <v>-17</v>
      </c>
      <c r="D109" s="106">
        <v>-7</v>
      </c>
      <c r="E109" s="106">
        <v>-2.7</v>
      </c>
      <c r="F109" s="106">
        <v>-26.5</v>
      </c>
      <c r="G109" s="106">
        <v>-10</v>
      </c>
      <c r="H109" s="106">
        <v>0</v>
      </c>
      <c r="I109" s="106">
        <v>0</v>
      </c>
      <c r="J109" s="106">
        <v>7.7</v>
      </c>
      <c r="K109" s="106">
        <v>33.5</v>
      </c>
      <c r="L109" s="106">
        <v>61.2</v>
      </c>
      <c r="M109" s="106">
        <v>60.3</v>
      </c>
      <c r="N109" s="106">
        <v>60.6</v>
      </c>
      <c r="O109" s="106">
        <v>28.2</v>
      </c>
      <c r="P109" s="106">
        <v>19.8</v>
      </c>
      <c r="Q109" s="106">
        <v>2.4</v>
      </c>
      <c r="R109" s="106">
        <v>2.4</v>
      </c>
      <c r="S109" s="106">
        <v>-17.100000000000001</v>
      </c>
      <c r="T109" s="106">
        <v>-24.6</v>
      </c>
      <c r="U109" s="106">
        <v>-24.6</v>
      </c>
      <c r="V109" s="106">
        <v>-8</v>
      </c>
      <c r="W109" s="106">
        <v>40.700000000000003</v>
      </c>
      <c r="X109" s="106">
        <v>67.900000000000006</v>
      </c>
      <c r="Y109" s="106">
        <v>54.9</v>
      </c>
      <c r="Z109" s="106">
        <v>20.7</v>
      </c>
      <c r="AA109" s="106">
        <v>11.8</v>
      </c>
      <c r="AB109" s="106">
        <v>-12.8</v>
      </c>
      <c r="AC109" s="106">
        <v>-38.200000000000003</v>
      </c>
      <c r="AD109" s="106">
        <v>-40.1</v>
      </c>
      <c r="AE109" s="106">
        <v>-53.2</v>
      </c>
      <c r="AF109" s="106">
        <v>-28.7</v>
      </c>
      <c r="AG109" s="107"/>
      <c r="AH109" s="48">
        <f t="shared" si="9"/>
        <v>67.900000000000006</v>
      </c>
      <c r="AI109" s="49">
        <f t="shared" si="10"/>
        <v>-53.2</v>
      </c>
    </row>
    <row r="110" spans="1:35" x14ac:dyDescent="0.25">
      <c r="A110" s="105" t="s">
        <v>112</v>
      </c>
      <c r="B110" s="106">
        <v>16</v>
      </c>
      <c r="C110" s="106">
        <v>8</v>
      </c>
      <c r="D110" s="106">
        <v>5</v>
      </c>
      <c r="E110" s="106">
        <v>24.9</v>
      </c>
      <c r="F110" s="106">
        <v>38.5</v>
      </c>
      <c r="G110" s="106">
        <v>18</v>
      </c>
      <c r="H110" s="106">
        <v>9.1999999999999993</v>
      </c>
      <c r="I110" s="106">
        <v>1.7</v>
      </c>
      <c r="J110" s="106">
        <v>6.1</v>
      </c>
      <c r="K110" s="106">
        <v>-16.399999999999999</v>
      </c>
      <c r="L110" s="106">
        <v>-20.3</v>
      </c>
      <c r="M110" s="106">
        <v>8.1</v>
      </c>
      <c r="N110" s="106">
        <v>8.9</v>
      </c>
      <c r="O110" s="106">
        <v>12</v>
      </c>
      <c r="P110" s="106">
        <v>15.1</v>
      </c>
      <c r="Q110" s="106">
        <v>0.5</v>
      </c>
      <c r="R110" s="106">
        <v>0.5</v>
      </c>
      <c r="S110" s="106">
        <v>-9</v>
      </c>
      <c r="T110" s="106">
        <v>-10.8</v>
      </c>
      <c r="U110" s="106">
        <v>-10.8</v>
      </c>
      <c r="V110" s="106">
        <v>9.1</v>
      </c>
      <c r="W110" s="106">
        <v>24.8</v>
      </c>
      <c r="X110" s="106">
        <v>37.1</v>
      </c>
      <c r="Y110" s="106">
        <v>-26.7</v>
      </c>
      <c r="Z110" s="106">
        <v>-8</v>
      </c>
      <c r="AA110" s="106">
        <v>-4.5</v>
      </c>
      <c r="AB110" s="106">
        <v>-4</v>
      </c>
      <c r="AC110" s="106">
        <v>-11.7</v>
      </c>
      <c r="AD110" s="106">
        <v>-7</v>
      </c>
      <c r="AE110" s="106">
        <v>-0.5</v>
      </c>
      <c r="AF110" s="106">
        <v>12.6</v>
      </c>
      <c r="AG110" s="108"/>
      <c r="AH110" s="48">
        <f t="shared" si="9"/>
        <v>38.5</v>
      </c>
      <c r="AI110" s="49">
        <f t="shared" si="10"/>
        <v>-26.7</v>
      </c>
    </row>
    <row r="111" spans="1:35" x14ac:dyDescent="0.25">
      <c r="A111" s="109" t="s">
        <v>113</v>
      </c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>
        <v>55.5</v>
      </c>
      <c r="Y111" s="94">
        <v>31.3</v>
      </c>
      <c r="Z111" s="94">
        <v>37.200000000000003</v>
      </c>
      <c r="AA111" s="94">
        <v>37.6</v>
      </c>
      <c r="AB111" s="94">
        <v>39.5</v>
      </c>
      <c r="AC111" s="94">
        <v>50.8</v>
      </c>
      <c r="AD111" s="94">
        <v>53.3</v>
      </c>
      <c r="AE111" s="94">
        <v>55.9</v>
      </c>
      <c r="AF111" s="94">
        <v>60.7</v>
      </c>
      <c r="AG111" s="108"/>
      <c r="AH111" s="48">
        <f t="shared" si="9"/>
        <v>60.7</v>
      </c>
      <c r="AI111" s="49">
        <f t="shared" si="10"/>
        <v>31.3</v>
      </c>
    </row>
    <row r="112" spans="1:35" ht="15.75" thickBot="1" x14ac:dyDescent="0.3">
      <c r="A112" s="109" t="s">
        <v>114</v>
      </c>
      <c r="B112" s="94">
        <v>92</v>
      </c>
      <c r="C112" s="94">
        <v>96</v>
      </c>
      <c r="D112" s="94">
        <v>94</v>
      </c>
      <c r="E112" s="94">
        <v>92</v>
      </c>
      <c r="F112" s="94">
        <v>68.2</v>
      </c>
      <c r="G112" s="94">
        <v>72</v>
      </c>
      <c r="H112" s="94">
        <v>92</v>
      </c>
      <c r="I112" s="94">
        <v>97</v>
      </c>
      <c r="J112" s="94">
        <v>89.2</v>
      </c>
      <c r="K112" s="94">
        <v>58.1</v>
      </c>
      <c r="L112" s="94">
        <v>37.299999999999997</v>
      </c>
      <c r="M112" s="94">
        <v>40.1</v>
      </c>
      <c r="N112" s="94">
        <v>36.4</v>
      </c>
      <c r="O112" s="94">
        <v>45</v>
      </c>
      <c r="P112" s="94">
        <v>60.8</v>
      </c>
      <c r="Q112" s="94">
        <v>77.5</v>
      </c>
      <c r="R112" s="94">
        <v>77.5</v>
      </c>
      <c r="S112" s="94">
        <v>97</v>
      </c>
      <c r="T112" s="94">
        <v>99.3</v>
      </c>
      <c r="U112" s="94">
        <v>99.3</v>
      </c>
      <c r="V112" s="94">
        <v>72.3</v>
      </c>
      <c r="W112" s="94">
        <v>23.9</v>
      </c>
      <c r="X112" s="94">
        <v>-10.199999999999999</v>
      </c>
      <c r="Y112" s="94">
        <v>13.8</v>
      </c>
      <c r="Z112" s="94">
        <v>39.4</v>
      </c>
      <c r="AA112" s="94">
        <v>45.5</v>
      </c>
      <c r="AB112" s="94">
        <v>66.3</v>
      </c>
      <c r="AC112" s="94">
        <v>88.3</v>
      </c>
      <c r="AD112" s="94">
        <v>93.6</v>
      </c>
      <c r="AE112" s="94">
        <v>107.3</v>
      </c>
      <c r="AF112" s="94">
        <v>110.3</v>
      </c>
      <c r="AG112" s="108"/>
      <c r="AH112" s="48">
        <f t="shared" si="9"/>
        <v>110.3</v>
      </c>
      <c r="AI112" s="49">
        <f t="shared" si="10"/>
        <v>-10.199999999999999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22">SUM(B114:B218)</f>
        <v>0</v>
      </c>
      <c r="C219" s="125">
        <f t="shared" si="22"/>
        <v>0</v>
      </c>
      <c r="D219" s="125">
        <f t="shared" si="22"/>
        <v>0</v>
      </c>
      <c r="E219" s="125">
        <f t="shared" si="22"/>
        <v>0</v>
      </c>
      <c r="F219" s="125">
        <f t="shared" si="22"/>
        <v>0</v>
      </c>
      <c r="G219" s="125">
        <f t="shared" si="22"/>
        <v>0</v>
      </c>
      <c r="H219" s="125">
        <f t="shared" si="22"/>
        <v>0</v>
      </c>
      <c r="I219" s="125">
        <f t="shared" si="22"/>
        <v>0</v>
      </c>
      <c r="J219" s="125">
        <f t="shared" si="22"/>
        <v>0</v>
      </c>
      <c r="K219" s="125">
        <f t="shared" si="22"/>
        <v>0</v>
      </c>
      <c r="L219" s="125">
        <f t="shared" si="22"/>
        <v>0</v>
      </c>
      <c r="M219" s="125">
        <f t="shared" si="22"/>
        <v>0</v>
      </c>
      <c r="N219" s="125">
        <f t="shared" si="22"/>
        <v>0</v>
      </c>
      <c r="O219" s="125">
        <f t="shared" si="22"/>
        <v>0</v>
      </c>
      <c r="P219" s="125">
        <f t="shared" si="22"/>
        <v>0</v>
      </c>
      <c r="Q219" s="125">
        <f t="shared" si="22"/>
        <v>0</v>
      </c>
      <c r="R219" s="125">
        <f t="shared" si="22"/>
        <v>0</v>
      </c>
      <c r="S219" s="125">
        <f t="shared" si="22"/>
        <v>0</v>
      </c>
      <c r="T219" s="125">
        <f t="shared" si="22"/>
        <v>0</v>
      </c>
      <c r="U219" s="125">
        <f t="shared" si="22"/>
        <v>0</v>
      </c>
      <c r="V219" s="125">
        <f t="shared" si="22"/>
        <v>0</v>
      </c>
      <c r="W219" s="125">
        <f t="shared" si="22"/>
        <v>0</v>
      </c>
      <c r="X219" s="125">
        <f t="shared" si="22"/>
        <v>0</v>
      </c>
      <c r="Y219" s="125">
        <f t="shared" si="22"/>
        <v>0</v>
      </c>
      <c r="Z219" s="125">
        <f t="shared" si="22"/>
        <v>0</v>
      </c>
      <c r="AA219" s="125">
        <f t="shared" si="22"/>
        <v>0</v>
      </c>
      <c r="AB219" s="125">
        <f t="shared" si="22"/>
        <v>0</v>
      </c>
      <c r="AC219" s="125">
        <f t="shared" si="22"/>
        <v>0</v>
      </c>
      <c r="AD219" s="125">
        <f t="shared" si="22"/>
        <v>0</v>
      </c>
      <c r="AE219" s="125">
        <f t="shared" si="22"/>
        <v>0</v>
      </c>
      <c r="AF219" s="126">
        <f t="shared" si="22"/>
        <v>0</v>
      </c>
      <c r="AG219" s="127">
        <f t="shared" si="22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23">AF221</f>
        <v>0</v>
      </c>
      <c r="C221" s="129">
        <v>0.3</v>
      </c>
      <c r="D221" s="129">
        <f t="shared" ref="D221:P226" si="24">C221</f>
        <v>0.3</v>
      </c>
      <c r="E221" s="129">
        <f t="shared" si="24"/>
        <v>0.3</v>
      </c>
      <c r="F221" s="129">
        <f t="shared" si="24"/>
        <v>0.3</v>
      </c>
      <c r="G221" s="129">
        <f t="shared" si="24"/>
        <v>0.3</v>
      </c>
      <c r="H221" s="129">
        <f t="shared" si="24"/>
        <v>0.3</v>
      </c>
      <c r="I221" s="129">
        <f t="shared" si="24"/>
        <v>0.3</v>
      </c>
      <c r="J221" s="129">
        <f t="shared" si="24"/>
        <v>0.3</v>
      </c>
      <c r="K221" s="129">
        <f t="shared" si="24"/>
        <v>0.3</v>
      </c>
      <c r="L221" s="129">
        <f t="shared" si="24"/>
        <v>0.3</v>
      </c>
      <c r="M221" s="129">
        <f t="shared" si="24"/>
        <v>0.3</v>
      </c>
      <c r="N221" s="129">
        <f t="shared" si="24"/>
        <v>0.3</v>
      </c>
      <c r="O221" s="129">
        <f t="shared" si="24"/>
        <v>0.3</v>
      </c>
      <c r="P221" s="129">
        <f t="shared" si="24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23"/>
        <v>0</v>
      </c>
      <c r="C223" s="117">
        <v>1.5</v>
      </c>
      <c r="D223" s="117">
        <f t="shared" si="24"/>
        <v>1.5</v>
      </c>
      <c r="E223" s="117">
        <f t="shared" si="24"/>
        <v>1.5</v>
      </c>
      <c r="F223" s="117">
        <f t="shared" si="24"/>
        <v>1.5</v>
      </c>
      <c r="G223" s="117">
        <f t="shared" si="24"/>
        <v>1.5</v>
      </c>
      <c r="H223" s="117">
        <f t="shared" si="24"/>
        <v>1.5</v>
      </c>
      <c r="I223" s="117">
        <f t="shared" si="24"/>
        <v>1.5</v>
      </c>
      <c r="J223" s="117">
        <f t="shared" si="24"/>
        <v>1.5</v>
      </c>
      <c r="K223" s="117">
        <f t="shared" si="24"/>
        <v>1.5</v>
      </c>
      <c r="L223" s="117">
        <f t="shared" si="24"/>
        <v>1.5</v>
      </c>
      <c r="M223" s="117">
        <f t="shared" si="24"/>
        <v>1.5</v>
      </c>
      <c r="N223" s="117">
        <f t="shared" si="24"/>
        <v>1.5</v>
      </c>
      <c r="O223" s="117">
        <f t="shared" si="24"/>
        <v>1.5</v>
      </c>
      <c r="P223" s="117">
        <f t="shared" si="24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23"/>
        <v>0</v>
      </c>
      <c r="C224" s="117">
        <v>0.3</v>
      </c>
      <c r="D224" s="117">
        <f t="shared" si="24"/>
        <v>0.3</v>
      </c>
      <c r="E224" s="117">
        <f t="shared" si="24"/>
        <v>0.3</v>
      </c>
      <c r="F224" s="117">
        <f t="shared" si="24"/>
        <v>0.3</v>
      </c>
      <c r="G224" s="117">
        <f t="shared" si="24"/>
        <v>0.3</v>
      </c>
      <c r="H224" s="117">
        <f t="shared" si="24"/>
        <v>0.3</v>
      </c>
      <c r="I224" s="117">
        <f t="shared" si="24"/>
        <v>0.3</v>
      </c>
      <c r="J224" s="117">
        <f t="shared" si="24"/>
        <v>0.3</v>
      </c>
      <c r="K224" s="117">
        <f t="shared" si="24"/>
        <v>0.3</v>
      </c>
      <c r="L224" s="117">
        <f t="shared" si="24"/>
        <v>0.3</v>
      </c>
      <c r="M224" s="117">
        <f t="shared" si="24"/>
        <v>0.3</v>
      </c>
      <c r="N224" s="117">
        <f t="shared" si="24"/>
        <v>0.3</v>
      </c>
      <c r="O224" s="117">
        <f t="shared" si="24"/>
        <v>0.3</v>
      </c>
      <c r="P224" s="117">
        <f t="shared" si="24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23"/>
        <v>0</v>
      </c>
      <c r="C225" s="117">
        <v>0.4</v>
      </c>
      <c r="D225" s="117">
        <f t="shared" si="24"/>
        <v>0.4</v>
      </c>
      <c r="E225" s="117">
        <f t="shared" si="24"/>
        <v>0.4</v>
      </c>
      <c r="F225" s="117">
        <f t="shared" si="24"/>
        <v>0.4</v>
      </c>
      <c r="G225" s="117">
        <f t="shared" si="24"/>
        <v>0.4</v>
      </c>
      <c r="H225" s="117">
        <f t="shared" si="24"/>
        <v>0.4</v>
      </c>
      <c r="I225" s="117">
        <f t="shared" si="24"/>
        <v>0.4</v>
      </c>
      <c r="J225" s="117">
        <f t="shared" si="24"/>
        <v>0.4</v>
      </c>
      <c r="K225" s="117">
        <f t="shared" si="24"/>
        <v>0.4</v>
      </c>
      <c r="L225" s="117">
        <f t="shared" si="24"/>
        <v>0.4</v>
      </c>
      <c r="M225" s="117">
        <f t="shared" si="24"/>
        <v>0.4</v>
      </c>
      <c r="N225" s="117">
        <f t="shared" si="24"/>
        <v>0.4</v>
      </c>
      <c r="O225" s="117">
        <f t="shared" si="24"/>
        <v>0.4</v>
      </c>
      <c r="P225" s="117">
        <f t="shared" si="24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23"/>
        <v>0</v>
      </c>
      <c r="C226" s="121">
        <v>0.64</v>
      </c>
      <c r="D226" s="121">
        <f t="shared" si="24"/>
        <v>0.64</v>
      </c>
      <c r="E226" s="121">
        <f t="shared" si="24"/>
        <v>0.64</v>
      </c>
      <c r="F226" s="121">
        <f t="shared" si="24"/>
        <v>0.64</v>
      </c>
      <c r="G226" s="121">
        <f t="shared" si="24"/>
        <v>0.64</v>
      </c>
      <c r="H226" s="121">
        <f t="shared" si="24"/>
        <v>0.64</v>
      </c>
      <c r="I226" s="121">
        <f t="shared" si="24"/>
        <v>0.64</v>
      </c>
      <c r="J226" s="121">
        <f t="shared" si="24"/>
        <v>0.64</v>
      </c>
      <c r="K226" s="121">
        <f t="shared" si="24"/>
        <v>0.64</v>
      </c>
      <c r="L226" s="121">
        <f t="shared" si="24"/>
        <v>0.64</v>
      </c>
      <c r="M226" s="121">
        <f t="shared" si="24"/>
        <v>0.64</v>
      </c>
      <c r="N226" s="121">
        <f t="shared" si="24"/>
        <v>0.64</v>
      </c>
      <c r="O226" s="121">
        <f t="shared" si="24"/>
        <v>0.64</v>
      </c>
      <c r="P226" s="121">
        <f t="shared" si="24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25">SUM(B221:B226)</f>
        <v>0</v>
      </c>
      <c r="C227" s="125">
        <f t="shared" si="25"/>
        <v>3.54</v>
      </c>
      <c r="D227" s="125">
        <f t="shared" si="25"/>
        <v>3.54</v>
      </c>
      <c r="E227" s="125">
        <f t="shared" si="25"/>
        <v>3.54</v>
      </c>
      <c r="F227" s="125">
        <f t="shared" si="25"/>
        <v>3.54</v>
      </c>
      <c r="G227" s="125">
        <f t="shared" si="25"/>
        <v>3.54</v>
      </c>
      <c r="H227" s="125">
        <f t="shared" si="25"/>
        <v>3.54</v>
      </c>
      <c r="I227" s="125">
        <f t="shared" si="25"/>
        <v>3.54</v>
      </c>
      <c r="J227" s="125">
        <f t="shared" si="25"/>
        <v>3.54</v>
      </c>
      <c r="K227" s="125">
        <f t="shared" si="25"/>
        <v>3.54</v>
      </c>
      <c r="L227" s="125">
        <f t="shared" si="25"/>
        <v>3.54</v>
      </c>
      <c r="M227" s="125">
        <f t="shared" si="25"/>
        <v>3.54</v>
      </c>
      <c r="N227" s="125">
        <f t="shared" si="25"/>
        <v>3.54</v>
      </c>
      <c r="O227" s="125">
        <f t="shared" si="25"/>
        <v>3.54</v>
      </c>
      <c r="P227" s="125">
        <f t="shared" si="25"/>
        <v>3.54</v>
      </c>
      <c r="Q227" s="125">
        <f t="shared" si="25"/>
        <v>0</v>
      </c>
      <c r="R227" s="125">
        <f t="shared" si="25"/>
        <v>0</v>
      </c>
      <c r="S227" s="125">
        <f t="shared" si="25"/>
        <v>0</v>
      </c>
      <c r="T227" s="125">
        <f t="shared" si="25"/>
        <v>0</v>
      </c>
      <c r="U227" s="125">
        <f t="shared" si="25"/>
        <v>0</v>
      </c>
      <c r="V227" s="125">
        <f t="shared" si="25"/>
        <v>0</v>
      </c>
      <c r="W227" s="125">
        <f t="shared" si="25"/>
        <v>0</v>
      </c>
      <c r="X227" s="125">
        <f t="shared" si="25"/>
        <v>0</v>
      </c>
      <c r="Y227" s="125">
        <f t="shared" si="25"/>
        <v>0</v>
      </c>
      <c r="Z227" s="125">
        <f t="shared" si="25"/>
        <v>0</v>
      </c>
      <c r="AA227" s="125">
        <f t="shared" si="25"/>
        <v>0</v>
      </c>
      <c r="AB227" s="125">
        <f t="shared" si="25"/>
        <v>0</v>
      </c>
      <c r="AC227" s="125">
        <f t="shared" si="25"/>
        <v>0</v>
      </c>
      <c r="AD227" s="125">
        <f t="shared" si="25"/>
        <v>0</v>
      </c>
      <c r="AE227" s="125">
        <f t="shared" si="25"/>
        <v>0</v>
      </c>
      <c r="AF227" s="125">
        <f t="shared" si="25"/>
        <v>0</v>
      </c>
      <c r="AG227" s="134">
        <f t="shared" si="25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1515.24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10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2079/08/10)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2079/08/10)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26">B84</f>
        <v>1107.74</v>
      </c>
      <c r="U241" s="159">
        <f t="shared" si="26"/>
        <v>1040.04</v>
      </c>
      <c r="V241" s="159">
        <f t="shared" si="26"/>
        <v>1014.24</v>
      </c>
      <c r="W241" s="159">
        <f t="shared" si="26"/>
        <v>994.24</v>
      </c>
      <c r="X241" s="159">
        <f t="shared" si="26"/>
        <v>1008.64</v>
      </c>
      <c r="Y241" s="159">
        <f t="shared" si="26"/>
        <v>1010.5400000000002</v>
      </c>
      <c r="Z241" s="159">
        <f t="shared" si="26"/>
        <v>1049.5400000000002</v>
      </c>
      <c r="AA241" s="159">
        <f t="shared" si="26"/>
        <v>1110.5400000000002</v>
      </c>
      <c r="AB241" s="159">
        <f t="shared" si="26"/>
        <v>1240.5400000000002</v>
      </c>
      <c r="AC241" s="159">
        <f t="shared" si="26"/>
        <v>1403.5400000000002</v>
      </c>
      <c r="AD241" s="159">
        <f t="shared" si="26"/>
        <v>1454.04</v>
      </c>
      <c r="AE241" s="159">
        <f t="shared" si="26"/>
        <v>1515.24</v>
      </c>
      <c r="AF241" s="159">
        <f t="shared" si="26"/>
        <v>1484.8400000000001</v>
      </c>
      <c r="AG241" s="159">
        <f t="shared" si="26"/>
        <v>1298.74</v>
      </c>
      <c r="AH241" s="159">
        <f t="shared" si="26"/>
        <v>1255.8400000000001</v>
      </c>
      <c r="AI241" s="159">
        <f t="shared" si="26"/>
        <v>1237.3400000000001</v>
      </c>
      <c r="AJ241" s="159">
        <f t="shared" si="26"/>
        <v>1228.3400000000001</v>
      </c>
      <c r="AK241" s="159">
        <f t="shared" si="26"/>
        <v>1169.3400000000001</v>
      </c>
      <c r="AL241" s="159">
        <f t="shared" si="26"/>
        <v>1146.44</v>
      </c>
      <c r="AM241" s="159">
        <f t="shared" si="26"/>
        <v>1156.24</v>
      </c>
      <c r="AN241" s="159">
        <f t="shared" si="26"/>
        <v>1317.44</v>
      </c>
      <c r="AO241" s="159">
        <f t="shared" si="26"/>
        <v>1431.54</v>
      </c>
      <c r="AP241" s="159">
        <f t="shared" si="26"/>
        <v>1603.8400000000001</v>
      </c>
      <c r="AQ241" s="159">
        <f t="shared" si="26"/>
        <v>1567.8400000000001</v>
      </c>
      <c r="AR241" s="159">
        <f t="shared" si="26"/>
        <v>1447.8400000000001</v>
      </c>
      <c r="AS241" s="159">
        <f t="shared" si="26"/>
        <v>1347.8400000000001</v>
      </c>
      <c r="AT241" s="159">
        <f t="shared" si="26"/>
        <v>1318.54</v>
      </c>
      <c r="AU241" s="159">
        <f t="shared" si="26"/>
        <v>1263.3400000000001</v>
      </c>
      <c r="AV241" s="159">
        <f t="shared" si="26"/>
        <v>1227.8400000000001</v>
      </c>
      <c r="AW241" s="159">
        <f t="shared" si="26"/>
        <v>1091.44</v>
      </c>
      <c r="AX241" s="159">
        <f t="shared" si="26"/>
        <v>1102.5400000000002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27">C226</f>
        <v>0.64</v>
      </c>
      <c r="C262" s="162">
        <f t="shared" si="27"/>
        <v>0.64</v>
      </c>
      <c r="D262" s="162">
        <f t="shared" si="27"/>
        <v>0.64</v>
      </c>
      <c r="E262" s="162">
        <f t="shared" si="27"/>
        <v>0.64</v>
      </c>
      <c r="F262" s="162">
        <f t="shared" si="27"/>
        <v>0.64</v>
      </c>
      <c r="G262" s="162">
        <f t="shared" si="27"/>
        <v>0.64</v>
      </c>
      <c r="H262" s="162">
        <f t="shared" si="27"/>
        <v>0.64</v>
      </c>
      <c r="I262" s="162">
        <f t="shared" si="27"/>
        <v>0.64</v>
      </c>
      <c r="J262" s="162">
        <f t="shared" si="27"/>
        <v>0.64</v>
      </c>
      <c r="K262" s="162">
        <f t="shared" si="27"/>
        <v>0.64</v>
      </c>
      <c r="L262" s="162">
        <f t="shared" si="27"/>
        <v>0.64</v>
      </c>
      <c r="M262" s="162">
        <f t="shared" si="27"/>
        <v>0.64</v>
      </c>
      <c r="N262" s="162">
        <f t="shared" si="27"/>
        <v>0.64</v>
      </c>
      <c r="O262" s="162">
        <f t="shared" si="27"/>
        <v>0.64</v>
      </c>
      <c r="P262" s="162">
        <f t="shared" si="27"/>
        <v>0</v>
      </c>
      <c r="Q262" s="162">
        <f t="shared" si="27"/>
        <v>0</v>
      </c>
      <c r="R262" s="162">
        <f t="shared" si="27"/>
        <v>0</v>
      </c>
      <c r="S262" s="162">
        <f t="shared" si="27"/>
        <v>0</v>
      </c>
      <c r="T262" s="162">
        <f t="shared" si="27"/>
        <v>0</v>
      </c>
      <c r="U262" s="162">
        <f t="shared" si="27"/>
        <v>0</v>
      </c>
      <c r="V262" s="162">
        <f t="shared" si="27"/>
        <v>0</v>
      </c>
      <c r="W262" s="162">
        <f t="shared" si="27"/>
        <v>0</v>
      </c>
      <c r="X262" s="162">
        <f t="shared" si="27"/>
        <v>0</v>
      </c>
      <c r="Y262" s="162">
        <f t="shared" si="27"/>
        <v>0</v>
      </c>
      <c r="Z262" s="162">
        <f t="shared" si="27"/>
        <v>0</v>
      </c>
      <c r="AA262" s="162">
        <f t="shared" si="27"/>
        <v>0</v>
      </c>
      <c r="AB262" s="162">
        <f t="shared" si="27"/>
        <v>0</v>
      </c>
      <c r="AC262" s="162">
        <f t="shared" si="27"/>
        <v>0</v>
      </c>
      <c r="AD262" s="162">
        <f t="shared" si="27"/>
        <v>0</v>
      </c>
      <c r="AE262" s="162">
        <f t="shared" si="27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28">IF(B230&lt;100,"",B230-520)</f>
        <v/>
      </c>
      <c r="C263" s="163" t="str">
        <f t="shared" si="28"/>
        <v/>
      </c>
      <c r="D263" s="163" t="str">
        <f t="shared" si="28"/>
        <v/>
      </c>
      <c r="E263" s="163" t="str">
        <f t="shared" si="28"/>
        <v/>
      </c>
      <c r="F263" s="163" t="str">
        <f t="shared" si="28"/>
        <v/>
      </c>
      <c r="G263" s="163" t="str">
        <f t="shared" si="28"/>
        <v/>
      </c>
      <c r="H263" s="163" t="str">
        <f t="shared" si="28"/>
        <v/>
      </c>
      <c r="I263" s="163" t="str">
        <f t="shared" si="28"/>
        <v/>
      </c>
      <c r="J263" s="163" t="str">
        <f t="shared" si="28"/>
        <v/>
      </c>
      <c r="K263" s="163" t="str">
        <f t="shared" si="28"/>
        <v/>
      </c>
      <c r="L263" s="163" t="str">
        <f t="shared" si="28"/>
        <v/>
      </c>
      <c r="M263" s="163" t="str">
        <f t="shared" si="28"/>
        <v/>
      </c>
      <c r="N263" s="163" t="str">
        <f t="shared" si="28"/>
        <v/>
      </c>
      <c r="O263" s="163" t="str">
        <f t="shared" si="28"/>
        <v/>
      </c>
      <c r="P263" s="163" t="str">
        <f t="shared" si="28"/>
        <v/>
      </c>
      <c r="Q263" s="163" t="str">
        <f t="shared" si="28"/>
        <v/>
      </c>
      <c r="R263" s="163" t="str">
        <f t="shared" si="28"/>
        <v/>
      </c>
      <c r="S263" s="163" t="str">
        <f t="shared" si="28"/>
        <v/>
      </c>
      <c r="T263" s="163" t="str">
        <f t="shared" si="28"/>
        <v/>
      </c>
      <c r="U263" s="163" t="str">
        <f t="shared" si="28"/>
        <v/>
      </c>
      <c r="V263" s="163" t="str">
        <f t="shared" si="28"/>
        <v/>
      </c>
      <c r="W263" s="163" t="str">
        <f t="shared" si="28"/>
        <v/>
      </c>
      <c r="X263" s="163" t="str">
        <f t="shared" si="28"/>
        <v/>
      </c>
      <c r="Y263" s="163" t="str">
        <f t="shared" si="28"/>
        <v/>
      </c>
      <c r="Z263" s="163" t="str">
        <f t="shared" si="28"/>
        <v/>
      </c>
      <c r="AA263" s="163" t="str">
        <f t="shared" si="28"/>
        <v/>
      </c>
      <c r="AB263" s="163" t="str">
        <f t="shared" si="28"/>
        <v/>
      </c>
      <c r="AC263" s="163" t="str">
        <f t="shared" si="28"/>
        <v/>
      </c>
      <c r="AD263" s="163" t="str">
        <f t="shared" si="28"/>
        <v/>
      </c>
      <c r="AE263" s="163" t="str">
        <f t="shared" si="28"/>
        <v/>
      </c>
      <c r="AF263" s="163" t="str">
        <f t="shared" si="28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29">IF(B231&lt;100,"",B231-620)</f>
        <v/>
      </c>
      <c r="C264" s="163" t="str">
        <f t="shared" si="29"/>
        <v/>
      </c>
      <c r="D264" s="163" t="str">
        <f t="shared" si="29"/>
        <v/>
      </c>
      <c r="E264" s="163" t="str">
        <f t="shared" si="29"/>
        <v/>
      </c>
      <c r="F264" s="163" t="str">
        <f t="shared" si="29"/>
        <v/>
      </c>
      <c r="G264" s="163" t="str">
        <f t="shared" si="29"/>
        <v/>
      </c>
      <c r="H264" s="163" t="str">
        <f t="shared" si="29"/>
        <v/>
      </c>
      <c r="I264" s="163" t="str">
        <f t="shared" si="29"/>
        <v/>
      </c>
      <c r="J264" s="163" t="str">
        <f t="shared" si="29"/>
        <v/>
      </c>
      <c r="K264" s="163" t="str">
        <f t="shared" si="29"/>
        <v/>
      </c>
      <c r="L264" s="163" t="str">
        <f t="shared" si="29"/>
        <v/>
      </c>
      <c r="M264" s="163" t="str">
        <f t="shared" si="29"/>
        <v/>
      </c>
      <c r="N264" s="163" t="str">
        <f t="shared" si="29"/>
        <v/>
      </c>
      <c r="O264" s="163" t="str">
        <f t="shared" si="29"/>
        <v/>
      </c>
      <c r="P264" s="163" t="str">
        <f t="shared" si="29"/>
        <v/>
      </c>
      <c r="Q264" s="163" t="str">
        <f t="shared" si="29"/>
        <v/>
      </c>
      <c r="R264" s="163" t="str">
        <f t="shared" si="29"/>
        <v/>
      </c>
      <c r="S264" s="163" t="str">
        <f t="shared" si="29"/>
        <v/>
      </c>
      <c r="T264" s="163" t="str">
        <f t="shared" si="29"/>
        <v/>
      </c>
      <c r="U264" s="163" t="str">
        <f t="shared" si="29"/>
        <v/>
      </c>
      <c r="V264" s="163" t="str">
        <f t="shared" si="29"/>
        <v/>
      </c>
      <c r="W264" s="163" t="str">
        <f t="shared" si="29"/>
        <v/>
      </c>
      <c r="X264" s="163" t="str">
        <f t="shared" si="29"/>
        <v/>
      </c>
      <c r="Y264" s="163" t="str">
        <f t="shared" si="29"/>
        <v/>
      </c>
      <c r="Z264" s="163" t="str">
        <f t="shared" si="29"/>
        <v/>
      </c>
      <c r="AA264" s="163" t="str">
        <f t="shared" si="29"/>
        <v/>
      </c>
      <c r="AB264" s="163" t="str">
        <f t="shared" si="29"/>
        <v/>
      </c>
      <c r="AC264" s="163" t="str">
        <f t="shared" si="29"/>
        <v/>
      </c>
      <c r="AD264" s="163" t="str">
        <f t="shared" si="29"/>
        <v/>
      </c>
      <c r="AE264" s="163" t="str">
        <f t="shared" si="29"/>
        <v/>
      </c>
      <c r="AF264" s="163" t="str">
        <f t="shared" si="29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30">IF(B232&lt;100,"",B232-330)</f>
        <v/>
      </c>
      <c r="C265" s="163" t="str">
        <f t="shared" si="30"/>
        <v/>
      </c>
      <c r="D265" s="163" t="str">
        <f t="shared" si="30"/>
        <v/>
      </c>
      <c r="E265" s="163" t="str">
        <f t="shared" si="30"/>
        <v/>
      </c>
      <c r="F265" s="163" t="str">
        <f t="shared" si="30"/>
        <v/>
      </c>
      <c r="G265" s="163" t="str">
        <f t="shared" si="30"/>
        <v/>
      </c>
      <c r="H265" s="163" t="str">
        <f t="shared" si="30"/>
        <v/>
      </c>
      <c r="I265" s="163" t="str">
        <f t="shared" si="30"/>
        <v/>
      </c>
      <c r="J265" s="163" t="str">
        <f t="shared" si="30"/>
        <v/>
      </c>
      <c r="K265" s="163" t="str">
        <f t="shared" si="30"/>
        <v/>
      </c>
      <c r="L265" s="163" t="str">
        <f t="shared" si="30"/>
        <v/>
      </c>
      <c r="M265" s="163" t="str">
        <f t="shared" si="30"/>
        <v/>
      </c>
      <c r="N265" s="163" t="str">
        <f t="shared" si="30"/>
        <v/>
      </c>
      <c r="O265" s="163" t="str">
        <f t="shared" si="30"/>
        <v/>
      </c>
      <c r="P265" s="163" t="str">
        <f t="shared" si="30"/>
        <v/>
      </c>
      <c r="Q265" s="163" t="str">
        <f t="shared" si="30"/>
        <v/>
      </c>
      <c r="R265" s="163" t="str">
        <f t="shared" si="30"/>
        <v/>
      </c>
      <c r="S265" s="163" t="str">
        <f t="shared" si="30"/>
        <v/>
      </c>
      <c r="T265" s="163" t="str">
        <f t="shared" si="30"/>
        <v/>
      </c>
      <c r="U265" s="163" t="str">
        <f t="shared" si="30"/>
        <v/>
      </c>
      <c r="V265" s="163" t="str">
        <f t="shared" si="30"/>
        <v/>
      </c>
      <c r="W265" s="163" t="str">
        <f t="shared" si="30"/>
        <v/>
      </c>
      <c r="X265" s="163" t="str">
        <f t="shared" si="30"/>
        <v/>
      </c>
      <c r="Y265" s="163" t="str">
        <f t="shared" si="30"/>
        <v/>
      </c>
      <c r="Z265" s="163" t="str">
        <f t="shared" si="30"/>
        <v/>
      </c>
      <c r="AA265" s="163" t="str">
        <f t="shared" si="30"/>
        <v/>
      </c>
      <c r="AB265" s="163" t="str">
        <f t="shared" si="30"/>
        <v/>
      </c>
      <c r="AC265" s="163" t="str">
        <f t="shared" si="30"/>
        <v/>
      </c>
      <c r="AD265" s="163" t="str">
        <f t="shared" si="30"/>
        <v/>
      </c>
      <c r="AE265" s="163" t="str">
        <f t="shared" si="30"/>
        <v/>
      </c>
      <c r="AF265" s="163" t="str">
        <f t="shared" si="30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31">IF(B233&lt;100,"",B233-1500)</f>
        <v/>
      </c>
      <c r="C266" s="163" t="str">
        <f t="shared" si="31"/>
        <v/>
      </c>
      <c r="D266" s="163" t="str">
        <f t="shared" si="31"/>
        <v/>
      </c>
      <c r="E266" s="163" t="str">
        <f t="shared" si="31"/>
        <v/>
      </c>
      <c r="F266" s="163" t="str">
        <f t="shared" si="31"/>
        <v/>
      </c>
      <c r="G266" s="163" t="str">
        <f t="shared" si="31"/>
        <v/>
      </c>
      <c r="H266" s="163" t="str">
        <f t="shared" si="31"/>
        <v/>
      </c>
      <c r="I266" s="163" t="str">
        <f t="shared" si="31"/>
        <v/>
      </c>
      <c r="J266" s="163" t="str">
        <f t="shared" si="31"/>
        <v/>
      </c>
      <c r="K266" s="163" t="str">
        <f t="shared" si="31"/>
        <v/>
      </c>
      <c r="L266" s="163" t="str">
        <f t="shared" si="31"/>
        <v/>
      </c>
      <c r="M266" s="163" t="str">
        <f t="shared" si="31"/>
        <v/>
      </c>
      <c r="N266" s="163" t="str">
        <f t="shared" si="31"/>
        <v/>
      </c>
      <c r="O266" s="163" t="str">
        <f t="shared" si="31"/>
        <v/>
      </c>
      <c r="P266" s="163" t="str">
        <f t="shared" si="31"/>
        <v/>
      </c>
      <c r="Q266" s="163" t="str">
        <f t="shared" si="31"/>
        <v/>
      </c>
      <c r="R266" s="163" t="str">
        <f t="shared" si="31"/>
        <v/>
      </c>
      <c r="S266" s="163" t="str">
        <f t="shared" si="31"/>
        <v/>
      </c>
      <c r="T266" s="163" t="str">
        <f t="shared" si="31"/>
        <v/>
      </c>
      <c r="U266" s="163" t="str">
        <f t="shared" si="31"/>
        <v/>
      </c>
      <c r="V266" s="163" t="str">
        <f t="shared" si="31"/>
        <v/>
      </c>
      <c r="W266" s="163" t="str">
        <f t="shared" si="31"/>
        <v/>
      </c>
      <c r="X266" s="163" t="str">
        <f t="shared" si="31"/>
        <v/>
      </c>
      <c r="Y266" s="163" t="str">
        <f t="shared" si="31"/>
        <v/>
      </c>
      <c r="Z266" s="163" t="str">
        <f t="shared" si="31"/>
        <v/>
      </c>
      <c r="AA266" s="163" t="str">
        <f t="shared" si="31"/>
        <v/>
      </c>
      <c r="AB266" s="163" t="str">
        <f t="shared" si="31"/>
        <v/>
      </c>
      <c r="AC266" s="163" t="str">
        <f t="shared" si="31"/>
        <v/>
      </c>
      <c r="AD266" s="163" t="str">
        <f t="shared" si="31"/>
        <v/>
      </c>
      <c r="AE266" s="163" t="str">
        <f t="shared" si="31"/>
        <v/>
      </c>
      <c r="AF266" s="163" t="str">
        <f t="shared" si="31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 X11:AF11 B15:AF15 B22:AF26 B17:AF18">
    <cfRule type="expression" dxfId="7015" priority="244">
      <formula>B$9&gt;=20/24</formula>
    </cfRule>
    <cfRule type="expression" dxfId="7014" priority="245">
      <formula>AND(B$9&gt;=14/24,B$9&lt;20/24)</formula>
    </cfRule>
    <cfRule type="expression" dxfId="7013" priority="246">
      <formula>AND(B$9&gt;=8/24,B$9&lt;14/24)</formula>
    </cfRule>
    <cfRule type="expression" dxfId="7012" priority="247">
      <formula>B$9&lt;8/24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42:AF42">
    <cfRule type="expression" dxfId="7011" priority="239">
      <formula>S$9&gt;=20/24</formula>
    </cfRule>
    <cfRule type="expression" dxfId="7010" priority="240">
      <formula>AND(S$9&gt;=14/24,S$9&lt;20/24)</formula>
    </cfRule>
    <cfRule type="expression" dxfId="7009" priority="241">
      <formula>AND(S$9&gt;=8/24,S$9&lt;14/24)</formula>
    </cfRule>
    <cfRule type="expression" dxfId="7008" priority="242">
      <formula>S$9&lt;8/24</formula>
    </cfRule>
  </conditionalFormatting>
  <conditionalFormatting sqref="AG60 B12:W18 S42:AF42 X11:AF18 B20:AF20 B22:AF26 B40:AF40">
    <cfRule type="expression" dxfId="7007" priority="238">
      <formula>B11&gt;$AG11</formula>
    </cfRule>
  </conditionalFormatting>
  <conditionalFormatting sqref="A94:A104 A54:A81 A90:A92 A197:A227 A41:A52 A113:A184 A37:A38 A86:A88 A83:A84 A106:A108 A34:A35 A20:A32 A17:A18 A11:A15">
    <cfRule type="expression" dxfId="7006" priority="237">
      <formula>$AH11=0</formula>
    </cfRule>
  </conditionalFormatting>
  <conditionalFormatting sqref="A109">
    <cfRule type="expression" dxfId="7005" priority="236">
      <formula>$AH109=0</formula>
    </cfRule>
  </conditionalFormatting>
  <conditionalFormatting sqref="AL38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7004" priority="234">
      <formula>$AH40=0</formula>
    </cfRule>
  </conditionalFormatting>
  <conditionalFormatting sqref="A93">
    <cfRule type="expression" dxfId="7003" priority="233">
      <formula>$AH93=0</formula>
    </cfRule>
  </conditionalFormatting>
  <conditionalFormatting sqref="A16">
    <cfRule type="expression" dxfId="7002" priority="232">
      <formula>$AH16=0</formula>
    </cfRule>
  </conditionalFormatting>
  <conditionalFormatting sqref="A191:A196">
    <cfRule type="expression" dxfId="7001" priority="231">
      <formula>$AH191=0</formula>
    </cfRule>
  </conditionalFormatting>
  <conditionalFormatting sqref="A185:A190">
    <cfRule type="expression" dxfId="7000" priority="230">
      <formula>$AH185=0</formula>
    </cfRule>
  </conditionalFormatting>
  <conditionalFormatting sqref="A53">
    <cfRule type="expression" dxfId="6999" priority="229">
      <formula>$AH53=0</formula>
    </cfRule>
  </conditionalFormatting>
  <conditionalFormatting sqref="A89">
    <cfRule type="expression" dxfId="6998" priority="228">
      <formula>$AH89=0</formula>
    </cfRule>
  </conditionalFormatting>
  <conditionalFormatting sqref="C94:AF94">
    <cfRule type="expression" dxfId="6997" priority="224">
      <formula>C$9&gt;=20/24</formula>
    </cfRule>
    <cfRule type="expression" dxfId="6996" priority="225">
      <formula>AND(C$9&gt;=14/24,C$9&lt;20/24)</formula>
    </cfRule>
    <cfRule type="expression" dxfId="6995" priority="226">
      <formula>AND(C$9&gt;=8/24,C$9&lt;14/24)</formula>
    </cfRule>
    <cfRule type="expression" dxfId="6994" priority="227">
      <formula>C$9&lt;8/24</formula>
    </cfRule>
  </conditionalFormatting>
  <conditionalFormatting sqref="AL39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93" priority="250">
      <formula>C$9&gt;=20/24</formula>
    </cfRule>
    <cfRule type="expression" dxfId="6992" priority="251">
      <formula>AND(C$9&gt;=14/24,C$9&lt;20/24)</formula>
    </cfRule>
    <cfRule type="expression" dxfId="6991" priority="252">
      <formula>AND(C$9&gt;=8/24,C$9&lt;14/24)</formula>
    </cfRule>
    <cfRule type="expression" dxfId="6990" priority="253">
      <formula>C$9&lt;8/24</formula>
    </cfRule>
  </conditionalFormatting>
  <conditionalFormatting sqref="A228">
    <cfRule type="expression" dxfId="6989" priority="254">
      <formula>$AH228=0</formula>
    </cfRule>
  </conditionalFormatting>
  <conditionalFormatting sqref="AG240">
    <cfRule type="expression" dxfId="6988" priority="255">
      <formula>B$9&gt;=20/24</formula>
    </cfRule>
    <cfRule type="expression" dxfId="6987" priority="256">
      <formula>AND(B$9&gt;=14/24,B$9&lt;20/24)</formula>
    </cfRule>
    <cfRule type="expression" dxfId="6986" priority="257">
      <formula>AND(B$9&gt;=8/24,B$9&lt;14/24)</formula>
    </cfRule>
    <cfRule type="expression" dxfId="6985" priority="258">
      <formula>B$9&lt;8/24</formula>
    </cfRule>
  </conditionalFormatting>
  <conditionalFormatting sqref="S8">
    <cfRule type="expression" dxfId="6984" priority="219">
      <formula>U$9&gt;=20/24</formula>
    </cfRule>
    <cfRule type="expression" dxfId="6983" priority="220">
      <formula>AND(U$9&gt;=14/24,U$9&lt;20/24)</formula>
    </cfRule>
    <cfRule type="expression" dxfId="6982" priority="221">
      <formula>AND(U$9&gt;=8/24,U$9&lt;14/24)</formula>
    </cfRule>
    <cfRule type="expression" dxfId="6981" priority="222">
      <formula>U$9&lt;8/24</formula>
    </cfRule>
  </conditionalFormatting>
  <conditionalFormatting sqref="AB8">
    <cfRule type="expression" dxfId="6980" priority="215">
      <formula>AD$9&gt;=20/24</formula>
    </cfRule>
    <cfRule type="expression" dxfId="6979" priority="216">
      <formula>AND(AD$9&gt;=14/24,AD$9&lt;20/24)</formula>
    </cfRule>
    <cfRule type="expression" dxfId="6978" priority="217">
      <formula>AND(AD$9&gt;=8/24,AD$9&lt;14/24)</formula>
    </cfRule>
    <cfRule type="expression" dxfId="6977" priority="218">
      <formula>AD$9&lt;8/24</formula>
    </cfRule>
  </conditionalFormatting>
  <conditionalFormatting sqref="AH240:AX240">
    <cfRule type="expression" dxfId="6976" priority="259">
      <formula>AG$9&gt;=20/24</formula>
    </cfRule>
    <cfRule type="expression" dxfId="6975" priority="260">
      <formula>AND(AG$9&gt;=14/24,AG$9&lt;20/24)</formula>
    </cfRule>
    <cfRule type="expression" dxfId="6974" priority="261">
      <formula>AND(AG$9&gt;=8/24,AG$9&lt;14/24)</formula>
    </cfRule>
    <cfRule type="expression" dxfId="6973" priority="262">
      <formula>AG$9&lt;8/24</formula>
    </cfRule>
  </conditionalFormatting>
  <conditionalFormatting sqref="T240">
    <cfRule type="expression" dxfId="6972" priority="263">
      <formula>AX$9&gt;=20/24</formula>
    </cfRule>
    <cfRule type="expression" dxfId="6971" priority="264">
      <formula>AND(AX$9&gt;=14/24,AX$9&lt;20/24)</formula>
    </cfRule>
    <cfRule type="expression" dxfId="6970" priority="265">
      <formula>AND(AX$9&gt;=8/24,AX$9&lt;14/24)</formula>
    </cfRule>
    <cfRule type="expression" dxfId="6969" priority="266">
      <formula>AX$9&lt;8/24</formula>
    </cfRule>
  </conditionalFormatting>
  <conditionalFormatting sqref="A110:A111">
    <cfRule type="expression" dxfId="6968" priority="214">
      <formula>$AH110=0</formula>
    </cfRule>
  </conditionalFormatting>
  <conditionalFormatting sqref="AD49:AF50 E49:W50 M66:AF66">
    <cfRule type="expression" dxfId="6967" priority="210">
      <formula>E$9&gt;=20/24</formula>
    </cfRule>
    <cfRule type="expression" dxfId="6966" priority="211">
      <formula>AND(E$9&gt;=14/24,E$9&lt;20/24)</formula>
    </cfRule>
    <cfRule type="expression" dxfId="6965" priority="212">
      <formula>AND(E$9&gt;=8/24,E$9&lt;14/24)</formula>
    </cfRule>
    <cfRule type="expression" dxfId="6964" priority="213">
      <formula>E$9&lt;8/24</formula>
    </cfRule>
  </conditionalFormatting>
  <conditionalFormatting sqref="AD48:AF48 E48:W48">
    <cfRule type="expression" dxfId="6963" priority="206">
      <formula>E$9&gt;=20/24</formula>
    </cfRule>
    <cfRule type="expression" dxfId="6962" priority="207">
      <formula>AND(E$9&gt;=14/24,E$9&lt;20/24)</formula>
    </cfRule>
    <cfRule type="expression" dxfId="6961" priority="208">
      <formula>AND(E$9&gt;=8/24,E$9&lt;14/24)</formula>
    </cfRule>
    <cfRule type="expression" dxfId="6960" priority="209">
      <formula>E$9&lt;8/24</formula>
    </cfRule>
  </conditionalFormatting>
  <conditionalFormatting sqref="AD48:AF50 E48:W50">
    <cfRule type="expression" dxfId="6959" priority="205">
      <formula>E48&gt;$AG48</formula>
    </cfRule>
  </conditionalFormatting>
  <conditionalFormatting sqref="C91:AF91 L42:R42 E95:AF101 M67:W68 T62:AF64 C78:AF81 X28:AF30 X32:AF32 X12:AF14 X20:AF20 X34:AF37 X67:AF76">
    <cfRule type="expression" dxfId="6958" priority="201">
      <formula>C$9&gt;=20/24</formula>
    </cfRule>
    <cfRule type="expression" dxfId="6957" priority="202">
      <formula>AND(C$9&gt;=14/24,C$9&lt;20/24)</formula>
    </cfRule>
    <cfRule type="expression" dxfId="6956" priority="203">
      <formula>AND(C$9&gt;=8/24,C$9&lt;14/24)</formula>
    </cfRule>
    <cfRule type="expression" dxfId="6955" priority="204">
      <formula>C$9&lt;8/24</formula>
    </cfRule>
  </conditionalFormatting>
  <conditionalFormatting sqref="X38:AF38">
    <cfRule type="expression" dxfId="6954" priority="197">
      <formula>X$9&gt;=20/24</formula>
    </cfRule>
    <cfRule type="expression" dxfId="6953" priority="198">
      <formula>AND(X$9&gt;=14/24,X$9&lt;20/24)</formula>
    </cfRule>
    <cfRule type="expression" dxfId="6952" priority="199">
      <formula>AND(X$9&gt;=8/24,X$9&lt;14/24)</formula>
    </cfRule>
    <cfRule type="expression" dxfId="6951" priority="200">
      <formula>X$9&lt;8/24</formula>
    </cfRule>
  </conditionalFormatting>
  <conditionalFormatting sqref="AD51:AF52 C60:AF60 L42:R42 E51:L51 T62:AF64 X28:AF32 X34:AF38">
    <cfRule type="expression" dxfId="6950" priority="196">
      <formula>C28&gt;$AG28</formula>
    </cfRule>
  </conditionalFormatting>
  <conditionalFormatting sqref="X40:AF40">
    <cfRule type="expression" dxfId="6949" priority="192">
      <formula>X$9&gt;=20/24</formula>
    </cfRule>
    <cfRule type="expression" dxfId="6948" priority="193">
      <formula>AND(X$9&gt;=14/24,X$9&lt;20/24)</formula>
    </cfRule>
    <cfRule type="expression" dxfId="6947" priority="194">
      <formula>AND(X$9&gt;=8/24,X$9&lt;14/24)</formula>
    </cfRule>
    <cfRule type="expression" dxfId="6946" priority="195">
      <formula>X$9&lt;8/24</formula>
    </cfRule>
  </conditionalFormatting>
  <conditionalFormatting sqref="X16:AF16">
    <cfRule type="expression" dxfId="6945" priority="188">
      <formula>X$9&gt;=20/24</formula>
    </cfRule>
    <cfRule type="expression" dxfId="6944" priority="189">
      <formula>AND(X$9&gt;=14/24,X$9&lt;20/24)</formula>
    </cfRule>
    <cfRule type="expression" dxfId="6943" priority="190">
      <formula>AND(X$9&gt;=8/24,X$9&lt;14/24)</formula>
    </cfRule>
    <cfRule type="expression" dxfId="6942" priority="191">
      <formula>X$9&lt;8/24</formula>
    </cfRule>
  </conditionalFormatting>
  <conditionalFormatting sqref="X39:AF39">
    <cfRule type="expression" dxfId="6941" priority="184">
      <formula>X$9&gt;=20/24</formula>
    </cfRule>
    <cfRule type="expression" dxfId="6940" priority="185">
      <formula>AND(X$9&gt;=14/24,X$9&lt;20/24)</formula>
    </cfRule>
    <cfRule type="expression" dxfId="6939" priority="186">
      <formula>AND(X$9&gt;=8/24,X$9&lt;14/24)</formula>
    </cfRule>
    <cfRule type="expression" dxfId="6938" priority="187">
      <formula>X$9&lt;8/24</formula>
    </cfRule>
  </conditionalFormatting>
  <conditionalFormatting sqref="X39:AF39">
    <cfRule type="expression" dxfId="6937" priority="183">
      <formula>X39&gt;$AG39</formula>
    </cfRule>
  </conditionalFormatting>
  <conditionalFormatting sqref="AD53:AF59 X51:AC52">
    <cfRule type="expression" dxfId="6936" priority="179">
      <formula>X$9&gt;=20/24</formula>
    </cfRule>
    <cfRule type="expression" dxfId="6935" priority="180">
      <formula>AND(X$9&gt;=14/24,X$9&lt;20/24)</formula>
    </cfRule>
    <cfRule type="expression" dxfId="6934" priority="181">
      <formula>AND(X$9&gt;=8/24,X$9&lt;14/24)</formula>
    </cfRule>
    <cfRule type="expression" dxfId="6933" priority="182">
      <formula>X$9&lt;8/24</formula>
    </cfRule>
  </conditionalFormatting>
  <conditionalFormatting sqref="AD53:AF59 X51:AC52">
    <cfRule type="expression" dxfId="6932" priority="178">
      <formula>X51&gt;$AG51</formula>
    </cfRule>
  </conditionalFormatting>
  <conditionalFormatting sqref="X53:AC54">
    <cfRule type="expression" dxfId="6931" priority="174">
      <formula>X$9&gt;=20/24</formula>
    </cfRule>
    <cfRule type="expression" dxfId="6930" priority="175">
      <formula>AND(X$9&gt;=14/24,X$9&lt;20/24)</formula>
    </cfRule>
    <cfRule type="expression" dxfId="6929" priority="176">
      <formula>AND(X$9&gt;=8/24,X$9&lt;14/24)</formula>
    </cfRule>
    <cfRule type="expression" dxfId="6928" priority="177">
      <formula>X$9&lt;8/24</formula>
    </cfRule>
  </conditionalFormatting>
  <conditionalFormatting sqref="X53:AC54">
    <cfRule type="expression" dxfId="6927" priority="173">
      <formula>X53&gt;$AG53</formula>
    </cfRule>
  </conditionalFormatting>
  <conditionalFormatting sqref="X31:AF31">
    <cfRule type="expression" dxfId="6926" priority="169">
      <formula>X$9&gt;=20/24</formula>
    </cfRule>
    <cfRule type="expression" dxfId="6925" priority="170">
      <formula>AND(X$9&gt;=14/24,X$9&lt;20/24)</formula>
    </cfRule>
    <cfRule type="expression" dxfId="6924" priority="171">
      <formula>AND(X$9&gt;=8/24,X$9&lt;14/24)</formula>
    </cfRule>
    <cfRule type="expression" dxfId="6923" priority="172">
      <formula>X$9&lt;8/24</formula>
    </cfRule>
  </conditionalFormatting>
  <conditionalFormatting sqref="N34:W34 X21:AF21 X27:AF27">
    <cfRule type="expression" dxfId="6922" priority="165">
      <formula>N$9&gt;=20/24</formula>
    </cfRule>
    <cfRule type="expression" dxfId="6921" priority="166">
      <formula>AND(N$9&gt;=14/24,N$9&lt;20/24)</formula>
    </cfRule>
    <cfRule type="expression" dxfId="6920" priority="167">
      <formula>AND(N$9&gt;=8/24,N$9&lt;14/24)</formula>
    </cfRule>
    <cfRule type="expression" dxfId="6919" priority="168">
      <formula>N$9&lt;8/24</formula>
    </cfRule>
  </conditionalFormatting>
  <conditionalFormatting sqref="N34:W34 X21:AF21 X27:AF27">
    <cfRule type="expression" dxfId="6918" priority="164">
      <formula>N21&gt;$AG21</formula>
    </cfRule>
  </conditionalFormatting>
  <conditionalFormatting sqref="D48">
    <cfRule type="expression" dxfId="6917" priority="160">
      <formula>D$9&gt;=20/24</formula>
    </cfRule>
    <cfRule type="expression" dxfId="6916" priority="161">
      <formula>AND(D$9&gt;=14/24,D$9&lt;20/24)</formula>
    </cfRule>
    <cfRule type="expression" dxfId="6915" priority="162">
      <formula>AND(D$9&gt;=8/24,D$9&lt;14/24)</formula>
    </cfRule>
    <cfRule type="expression" dxfId="6914" priority="163">
      <formula>D$9&lt;8/24</formula>
    </cfRule>
  </conditionalFormatting>
  <conditionalFormatting sqref="D48">
    <cfRule type="expression" dxfId="6913" priority="159">
      <formula>D48&gt;$AG48</formula>
    </cfRule>
  </conditionalFormatting>
  <conditionalFormatting sqref="X49:AC50">
    <cfRule type="expression" dxfId="6912" priority="155">
      <formula>X$9&gt;=20/24</formula>
    </cfRule>
    <cfRule type="expression" dxfId="6911" priority="156">
      <formula>AND(X$9&gt;=14/24,X$9&lt;20/24)</formula>
    </cfRule>
    <cfRule type="expression" dxfId="6910" priority="157">
      <formula>AND(X$9&gt;=8/24,X$9&lt;14/24)</formula>
    </cfRule>
    <cfRule type="expression" dxfId="6909" priority="158">
      <formula>X$9&lt;8/24</formula>
    </cfRule>
  </conditionalFormatting>
  <conditionalFormatting sqref="X48:AC48">
    <cfRule type="expression" dxfId="6908" priority="151">
      <formula>X$9&gt;=20/24</formula>
    </cfRule>
    <cfRule type="expression" dxfId="6907" priority="152">
      <formula>AND(X$9&gt;=14/24,X$9&lt;20/24)</formula>
    </cfRule>
    <cfRule type="expression" dxfId="6906" priority="153">
      <formula>AND(X$9&gt;=8/24,X$9&lt;14/24)</formula>
    </cfRule>
    <cfRule type="expression" dxfId="6905" priority="154">
      <formula>X$9&lt;8/24</formula>
    </cfRule>
  </conditionalFormatting>
  <conditionalFormatting sqref="X48:AC50">
    <cfRule type="expression" dxfId="6904" priority="150">
      <formula>X48&gt;$AG48</formula>
    </cfRule>
  </conditionalFormatting>
  <conditionalFormatting sqref="B104 B83:AF83 B106:B111 B11:W11 B92:AF92">
    <cfRule type="expression" dxfId="6903" priority="146">
      <formula>B$9&gt;=20/24</formula>
    </cfRule>
    <cfRule type="expression" dxfId="6902" priority="147">
      <formula>AND(B$9&gt;=14/24,B$9&lt;20/24)</formula>
    </cfRule>
    <cfRule type="expression" dxfId="6901" priority="148">
      <formula>AND(B$9&gt;=8/24,B$9&lt;14/24)</formula>
    </cfRule>
    <cfRule type="expression" dxfId="6900" priority="149">
      <formula>B$9&lt;8/24</formula>
    </cfRule>
  </conditionalFormatting>
  <conditionalFormatting sqref="B42:K42">
    <cfRule type="expression" dxfId="6899" priority="142">
      <formula>B$9&gt;=20/24</formula>
    </cfRule>
    <cfRule type="expression" dxfId="6898" priority="143">
      <formula>AND(B$9&gt;=14/24,B$9&lt;20/24)</formula>
    </cfRule>
    <cfRule type="expression" dxfId="6897" priority="144">
      <formula>AND(B$9&gt;=8/24,B$9&lt;14/24)</formula>
    </cfRule>
    <cfRule type="expression" dxfId="6896" priority="145">
      <formula>B$9&lt;8/24</formula>
    </cfRule>
  </conditionalFormatting>
  <conditionalFormatting sqref="B42:K42 B11:W11">
    <cfRule type="expression" dxfId="6895" priority="141">
      <formula>B11&gt;$AG11</formula>
    </cfRule>
  </conditionalFormatting>
  <conditionalFormatting sqref="B94">
    <cfRule type="expression" dxfId="6894" priority="137">
      <formula>B$9&gt;=20/24</formula>
    </cfRule>
    <cfRule type="expression" dxfId="6893" priority="138">
      <formula>AND(B$9&gt;=14/24,B$9&lt;20/24)</formula>
    </cfRule>
    <cfRule type="expression" dxfId="6892" priority="139">
      <formula>AND(B$9&gt;=8/24,B$9&lt;14/24)</formula>
    </cfRule>
    <cfRule type="expression" dxfId="6891" priority="140">
      <formula>B$9&lt;8/24</formula>
    </cfRule>
  </conditionalFormatting>
  <conditionalFormatting sqref="B49:D50 B66:L66 B41:AF41">
    <cfRule type="expression" dxfId="6890" priority="133">
      <formula>B$9&gt;=20/24</formula>
    </cfRule>
    <cfRule type="expression" dxfId="6889" priority="134">
      <formula>AND(B$9&gt;=14/24,B$9&lt;20/24)</formula>
    </cfRule>
    <cfRule type="expression" dxfId="6888" priority="135">
      <formula>AND(B$9&gt;=8/24,B$9&lt;14/24)</formula>
    </cfRule>
    <cfRule type="expression" dxfId="6887" priority="136">
      <formula>B$9&lt;8/24</formula>
    </cfRule>
  </conditionalFormatting>
  <conditionalFormatting sqref="B48:C48">
    <cfRule type="expression" dxfId="6886" priority="129">
      <formula>B$9&gt;=20/24</formula>
    </cfRule>
    <cfRule type="expression" dxfId="6885" priority="130">
      <formula>AND(B$9&gt;=14/24,B$9&lt;20/24)</formula>
    </cfRule>
    <cfRule type="expression" dxfId="6884" priority="131">
      <formula>AND(B$9&gt;=8/24,B$9&lt;14/24)</formula>
    </cfRule>
    <cfRule type="expression" dxfId="6883" priority="132">
      <formula>B$9&lt;8/24</formula>
    </cfRule>
  </conditionalFormatting>
  <conditionalFormatting sqref="B48:C50 D49:D50 B41:AF41">
    <cfRule type="expression" dxfId="6882" priority="128">
      <formula>B41&gt;$AG41</formula>
    </cfRule>
  </conditionalFormatting>
  <conditionalFormatting sqref="B62:B65 B78:B82 B91 B95:D101 B67:L76 B34:M37 C62:S64 B12:W14 N35:W37 B20:W20 B32:W32 B28:W30 M69:W76 B93:AF93 B84:AF84 C82:AG82 C65:AG65">
    <cfRule type="expression" dxfId="6881" priority="124">
      <formula>B$9&gt;=20/24</formula>
    </cfRule>
    <cfRule type="expression" dxfId="6880" priority="125">
      <formula>AND(B$9&gt;=14/24,B$9&lt;20/24)</formula>
    </cfRule>
    <cfRule type="expression" dxfId="6879" priority="126">
      <formula>AND(B$9&gt;=8/24,B$9&lt;14/24)</formula>
    </cfRule>
    <cfRule type="expression" dxfId="6878" priority="127">
      <formula>B$9&lt;8/24</formula>
    </cfRule>
  </conditionalFormatting>
  <conditionalFormatting sqref="B38:W38">
    <cfRule type="expression" dxfId="6877" priority="120">
      <formula>B$9&gt;=20/24</formula>
    </cfRule>
    <cfRule type="expression" dxfId="6876" priority="121">
      <formula>AND(B$9&gt;=14/24,B$9&lt;20/24)</formula>
    </cfRule>
    <cfRule type="expression" dxfId="6875" priority="122">
      <formula>AND(B$9&gt;=8/24,B$9&lt;14/24)</formula>
    </cfRule>
    <cfRule type="expression" dxfId="6874" priority="123">
      <formula>B$9&lt;8/24</formula>
    </cfRule>
  </conditionalFormatting>
  <conditionalFormatting sqref="B60:B65 B51:D52 B34:M38 E52:L52 C62:S64 N35:W38 B28:W32 C65:AG65 C61:AG61 B43:AG43">
    <cfRule type="expression" dxfId="6873" priority="119">
      <formula>B28&gt;$AG28</formula>
    </cfRule>
  </conditionalFormatting>
  <conditionalFormatting sqref="B40:W40">
    <cfRule type="expression" dxfId="6872" priority="115">
      <formula>B$9&gt;=20/24</formula>
    </cfRule>
    <cfRule type="expression" dxfId="6871" priority="116">
      <formula>AND(B$9&gt;=14/24,B$9&lt;20/24)</formula>
    </cfRule>
    <cfRule type="expression" dxfId="6870" priority="117">
      <formula>AND(B$9&gt;=8/24,B$9&lt;14/24)</formula>
    </cfRule>
    <cfRule type="expression" dxfId="6869" priority="118">
      <formula>B$9&lt;8/24</formula>
    </cfRule>
  </conditionalFormatting>
  <conditionalFormatting sqref="B16:W16">
    <cfRule type="expression" dxfId="6868" priority="111">
      <formula>B$9&gt;=20/24</formula>
    </cfRule>
    <cfRule type="expression" dxfId="6867" priority="112">
      <formula>AND(B$9&gt;=14/24,B$9&lt;20/24)</formula>
    </cfRule>
    <cfRule type="expression" dxfId="6866" priority="113">
      <formula>AND(B$9&gt;=8/24,B$9&lt;14/24)</formula>
    </cfRule>
    <cfRule type="expression" dxfId="6865" priority="114">
      <formula>B$9&lt;8/24</formula>
    </cfRule>
  </conditionalFormatting>
  <conditionalFormatting sqref="B39:W39">
    <cfRule type="expression" dxfId="6864" priority="107">
      <formula>B$9&gt;=20/24</formula>
    </cfRule>
    <cfRule type="expression" dxfId="6863" priority="108">
      <formula>AND(B$9&gt;=14/24,B$9&lt;20/24)</formula>
    </cfRule>
    <cfRule type="expression" dxfId="6862" priority="109">
      <formula>AND(B$9&gt;=8/24,B$9&lt;14/24)</formula>
    </cfRule>
    <cfRule type="expression" dxfId="6861" priority="110">
      <formula>B$9&lt;8/24</formula>
    </cfRule>
  </conditionalFormatting>
  <conditionalFormatting sqref="B39:W39">
    <cfRule type="expression" dxfId="6860" priority="106">
      <formula>B39&gt;$AG39</formula>
    </cfRule>
  </conditionalFormatting>
  <conditionalFormatting sqref="B53:W59">
    <cfRule type="expression" dxfId="6859" priority="102">
      <formula>B$9&gt;=20/24</formula>
    </cfRule>
    <cfRule type="expression" dxfId="6858" priority="103">
      <formula>AND(B$9&gt;=14/24,B$9&lt;20/24)</formula>
    </cfRule>
    <cfRule type="expression" dxfId="6857" priority="104">
      <formula>AND(B$9&gt;=8/24,B$9&lt;14/24)</formula>
    </cfRule>
    <cfRule type="expression" dxfId="6856" priority="105">
      <formula>B$9&lt;8/24</formula>
    </cfRule>
  </conditionalFormatting>
  <conditionalFormatting sqref="B53:W59">
    <cfRule type="expression" dxfId="6855" priority="101">
      <formula>B53&gt;$AG53</formula>
    </cfRule>
  </conditionalFormatting>
  <conditionalFormatting sqref="B31:W31">
    <cfRule type="expression" dxfId="6854" priority="97">
      <formula>B$9&gt;=20/24</formula>
    </cfRule>
    <cfRule type="expression" dxfId="6853" priority="98">
      <formula>AND(B$9&gt;=14/24,B$9&lt;20/24)</formula>
    </cfRule>
    <cfRule type="expression" dxfId="6852" priority="99">
      <formula>AND(B$9&gt;=8/24,B$9&lt;14/24)</formula>
    </cfRule>
    <cfRule type="expression" dxfId="6851" priority="100">
      <formula>B$9&lt;8/24</formula>
    </cfRule>
  </conditionalFormatting>
  <conditionalFormatting sqref="B27:W27 B21:W21">
    <cfRule type="expression" dxfId="6850" priority="93">
      <formula>B$9&gt;=20/24</formula>
    </cfRule>
    <cfRule type="expression" dxfId="6849" priority="94">
      <formula>AND(B$9&gt;=14/24,B$9&lt;20/24)</formula>
    </cfRule>
    <cfRule type="expression" dxfId="6848" priority="95">
      <formula>AND(B$9&gt;=8/24,B$9&lt;14/24)</formula>
    </cfRule>
    <cfRule type="expression" dxfId="6847" priority="96">
      <formula>B$9&lt;8/24</formula>
    </cfRule>
  </conditionalFormatting>
  <conditionalFormatting sqref="B27:W27 B21:W21">
    <cfRule type="expression" dxfId="6846" priority="92">
      <formula>B21&gt;$AG21</formula>
    </cfRule>
  </conditionalFormatting>
  <conditionalFormatting sqref="A39">
    <cfRule type="expression" dxfId="6845" priority="91">
      <formula>$AH39=0</formula>
    </cfRule>
  </conditionalFormatting>
  <conditionalFormatting sqref="B77:AF77">
    <cfRule type="expression" dxfId="6844" priority="87">
      <formula>B$9&gt;=20/24</formula>
    </cfRule>
    <cfRule type="expression" dxfId="6843" priority="88">
      <formula>AND(B$9&gt;=14/24,B$9&lt;20/24)</formula>
    </cfRule>
    <cfRule type="expression" dxfId="6842" priority="89">
      <formula>AND(B$9&gt;=8/24,B$9&lt;14/24)</formula>
    </cfRule>
    <cfRule type="expression" dxfId="6841" priority="90">
      <formula>B$9&lt;8/24</formula>
    </cfRule>
  </conditionalFormatting>
  <conditionalFormatting sqref="B86:AF90">
    <cfRule type="expression" dxfId="6840" priority="83">
      <formula>B$9&gt;=20/24</formula>
    </cfRule>
    <cfRule type="expression" dxfId="6839" priority="84">
      <formula>AND(B$9&gt;=14/24,B$9&lt;20/24)</formula>
    </cfRule>
    <cfRule type="expression" dxfId="6838" priority="85">
      <formula>AND(B$9&gt;=8/24,B$9&lt;14/24)</formula>
    </cfRule>
    <cfRule type="expression" dxfId="6837" priority="86">
      <formula>B$9&lt;8/24</formula>
    </cfRule>
  </conditionalFormatting>
  <conditionalFormatting sqref="AL40 AL37 AL20:AL32 AL34:AL35 AL7:AL18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6836" priority="79">
      <formula>C$9&gt;=20/24</formula>
    </cfRule>
    <cfRule type="expression" dxfId="6835" priority="80">
      <formula>AND(C$9&gt;=14/24,C$9&lt;20/24)</formula>
    </cfRule>
    <cfRule type="expression" dxfId="6834" priority="81">
      <formula>AND(C$9&gt;=8/24,C$9&lt;14/24)</formula>
    </cfRule>
    <cfRule type="expression" dxfId="6833" priority="82">
      <formula>C$9&lt;8/24</formula>
    </cfRule>
  </conditionalFormatting>
  <conditionalFormatting sqref="C44:AF46">
    <cfRule type="expression" dxfId="6832" priority="78">
      <formula>C44&gt;$AG44</formula>
    </cfRule>
  </conditionalFormatting>
  <conditionalFormatting sqref="B44:B47 C47:AG47">
    <cfRule type="expression" dxfId="6831" priority="74">
      <formula>B$9&gt;=20/24</formula>
    </cfRule>
    <cfRule type="expression" dxfId="6830" priority="75">
      <formula>AND(B$9&gt;=14/24,B$9&lt;20/24)</formula>
    </cfRule>
    <cfRule type="expression" dxfId="6829" priority="76">
      <formula>AND(B$9&gt;=8/24,B$9&lt;14/24)</formula>
    </cfRule>
    <cfRule type="expression" dxfId="6828" priority="77">
      <formula>B$9&lt;8/24</formula>
    </cfRule>
  </conditionalFormatting>
  <conditionalFormatting sqref="B44:B47 C47:AG47">
    <cfRule type="expression" dxfId="6827" priority="73">
      <formula>B44&gt;$AG44</formula>
    </cfRule>
  </conditionalFormatting>
  <conditionalFormatting sqref="C102:AF102">
    <cfRule type="expression" dxfId="6826" priority="69">
      <formula>C$9&gt;=20/24</formula>
    </cfRule>
    <cfRule type="expression" dxfId="6825" priority="70">
      <formula>AND(C$9&gt;=14/24,C$9&lt;20/24)</formula>
    </cfRule>
    <cfRule type="expression" dxfId="6824" priority="71">
      <formula>AND(C$9&gt;=8/24,C$9&lt;14/24)</formula>
    </cfRule>
    <cfRule type="expression" dxfId="6823" priority="72">
      <formula>C$9&lt;8/24</formula>
    </cfRule>
  </conditionalFormatting>
  <conditionalFormatting sqref="B102">
    <cfRule type="expression" dxfId="6822" priority="65">
      <formula>B$9&gt;=20/24</formula>
    </cfRule>
    <cfRule type="expression" dxfId="6821" priority="66">
      <formula>AND(B$9&gt;=14/24,B$9&lt;20/24)</formula>
    </cfRule>
    <cfRule type="expression" dxfId="6820" priority="67">
      <formula>AND(B$9&gt;=8/24,B$9&lt;14/24)</formula>
    </cfRule>
    <cfRule type="expression" dxfId="6819" priority="68">
      <formula>B$9&lt;8/24</formula>
    </cfRule>
  </conditionalFormatting>
  <conditionalFormatting sqref="AL36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6818" priority="59">
      <formula>$AH36=0</formula>
    </cfRule>
  </conditionalFormatting>
  <conditionalFormatting sqref="A85">
    <cfRule type="expression" dxfId="6817" priority="57">
      <formula>$AH85=0</formula>
    </cfRule>
  </conditionalFormatting>
  <conditionalFormatting sqref="A82">
    <cfRule type="expression" dxfId="6816" priority="58">
      <formula>$AH82=0</formula>
    </cfRule>
  </conditionalFormatting>
  <conditionalFormatting sqref="A112">
    <cfRule type="expression" dxfId="6815" priority="48">
      <formula>$AH112=0</formula>
    </cfRule>
  </conditionalFormatting>
  <conditionalFormatting sqref="C105:AF105">
    <cfRule type="expression" dxfId="6814" priority="44">
      <formula>C$9&gt;=20/24</formula>
    </cfRule>
    <cfRule type="expression" dxfId="6813" priority="45">
      <formula>AND(C$9&gt;=14/24,C$9&lt;20/24)</formula>
    </cfRule>
    <cfRule type="expression" dxfId="6812" priority="46">
      <formula>AND(C$9&gt;=8/24,C$9&lt;14/24)</formula>
    </cfRule>
    <cfRule type="expression" dxfId="6811" priority="47">
      <formula>C$9&lt;8/24</formula>
    </cfRule>
  </conditionalFormatting>
  <conditionalFormatting sqref="A105">
    <cfRule type="expression" dxfId="6810" priority="43">
      <formula>$AH105=0</formula>
    </cfRule>
  </conditionalFormatting>
  <conditionalFormatting sqref="B105">
    <cfRule type="expression" dxfId="6809" priority="39">
      <formula>B$9&gt;=20/24</formula>
    </cfRule>
    <cfRule type="expression" dxfId="6808" priority="40">
      <formula>AND(B$9&gt;=14/24,B$9&lt;20/24)</formula>
    </cfRule>
    <cfRule type="expression" dxfId="6807" priority="41">
      <formula>AND(B$9&gt;=8/24,B$9&lt;14/24)</formula>
    </cfRule>
    <cfRule type="expression" dxfId="6806" priority="42">
      <formula>B$9&lt;8/24</formula>
    </cfRule>
  </conditionalFormatting>
  <conditionalFormatting sqref="X55:AC59">
    <cfRule type="expression" dxfId="6805" priority="35">
      <formula>X$9&gt;=20/24</formula>
    </cfRule>
    <cfRule type="expression" dxfId="6804" priority="36">
      <formula>AND(X$9&gt;=14/24,X$9&lt;20/24)</formula>
    </cfRule>
    <cfRule type="expression" dxfId="6803" priority="37">
      <formula>AND(X$9&gt;=8/24,X$9&lt;14/24)</formula>
    </cfRule>
    <cfRule type="expression" dxfId="6802" priority="38">
      <formula>X$9&lt;8/24</formula>
    </cfRule>
  </conditionalFormatting>
  <conditionalFormatting sqref="X55:AC59">
    <cfRule type="expression" dxfId="6801" priority="34">
      <formula>X55&gt;$AG55</formula>
    </cfRule>
  </conditionalFormatting>
  <conditionalFormatting sqref="B19:AF19">
    <cfRule type="expression" dxfId="6800" priority="32">
      <formula>B19&gt;$AG19</formula>
    </cfRule>
  </conditionalFormatting>
  <conditionalFormatting sqref="A19">
    <cfRule type="expression" dxfId="6799" priority="31">
      <formula>$AH19=0</formula>
    </cfRule>
  </conditionalFormatting>
  <conditionalFormatting sqref="X19:AF19">
    <cfRule type="expression" dxfId="6798" priority="27">
      <formula>X$9&gt;=20/24</formula>
    </cfRule>
    <cfRule type="expression" dxfId="6797" priority="28">
      <formula>AND(X$9&gt;=14/24,X$9&lt;20/24)</formula>
    </cfRule>
    <cfRule type="expression" dxfId="6796" priority="29">
      <formula>AND(X$9&gt;=8/24,X$9&lt;14/24)</formula>
    </cfRule>
    <cfRule type="expression" dxfId="6795" priority="30">
      <formula>X$9&lt;8/24</formula>
    </cfRule>
  </conditionalFormatting>
  <conditionalFormatting sqref="B19:W19">
    <cfRule type="expression" dxfId="6794" priority="23">
      <formula>B$9&gt;=20/24</formula>
    </cfRule>
    <cfRule type="expression" dxfId="6793" priority="24">
      <formula>AND(B$9&gt;=14/24,B$9&lt;20/24)</formula>
    </cfRule>
    <cfRule type="expression" dxfId="6792" priority="25">
      <formula>AND(B$9&gt;=8/24,B$9&lt;14/24)</formula>
    </cfRule>
    <cfRule type="expression" dxfId="6791" priority="26">
      <formula>B$9&lt;8/24</formula>
    </cfRule>
  </conditionalFormatting>
  <conditionalFormatting sqref="AL19">
    <cfRule type="iconSet" priority="33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790" priority="21">
      <formula>$AH33=0</formula>
    </cfRule>
  </conditionalFormatting>
  <conditionalFormatting sqref="X33:AF33">
    <cfRule type="expression" dxfId="6789" priority="17">
      <formula>X$9&gt;=20/24</formula>
    </cfRule>
    <cfRule type="expression" dxfId="6788" priority="18">
      <formula>AND(X$9&gt;=14/24,X$9&lt;20/24)</formula>
    </cfRule>
    <cfRule type="expression" dxfId="6787" priority="19">
      <formula>AND(X$9&gt;=8/24,X$9&lt;14/24)</formula>
    </cfRule>
    <cfRule type="expression" dxfId="6786" priority="20">
      <formula>X$9&lt;8/24</formula>
    </cfRule>
  </conditionalFormatting>
  <conditionalFormatting sqref="X33:AF33">
    <cfRule type="expression" dxfId="6785" priority="16">
      <formula>X33&gt;$AG33</formula>
    </cfRule>
  </conditionalFormatting>
  <conditionalFormatting sqref="N33:W33">
    <cfRule type="expression" dxfId="6784" priority="12">
      <formula>N$9&gt;=20/24</formula>
    </cfRule>
    <cfRule type="expression" dxfId="6783" priority="13">
      <formula>AND(N$9&gt;=14/24,N$9&lt;20/24)</formula>
    </cfRule>
    <cfRule type="expression" dxfId="6782" priority="14">
      <formula>AND(N$9&gt;=8/24,N$9&lt;14/24)</formula>
    </cfRule>
    <cfRule type="expression" dxfId="6781" priority="15">
      <formula>N$9&lt;8/24</formula>
    </cfRule>
  </conditionalFormatting>
  <conditionalFormatting sqref="N33:W33">
    <cfRule type="expression" dxfId="6780" priority="11">
      <formula>N33&gt;$AG33</formula>
    </cfRule>
  </conditionalFormatting>
  <conditionalFormatting sqref="B33:M33">
    <cfRule type="expression" dxfId="6779" priority="7">
      <formula>B$9&gt;=20/24</formula>
    </cfRule>
    <cfRule type="expression" dxfId="6778" priority="8">
      <formula>AND(B$9&gt;=14/24,B$9&lt;20/24)</formula>
    </cfRule>
    <cfRule type="expression" dxfId="6777" priority="9">
      <formula>AND(B$9&gt;=8/24,B$9&lt;14/24)</formula>
    </cfRule>
    <cfRule type="expression" dxfId="6776" priority="10">
      <formula>B$9&lt;8/24</formula>
    </cfRule>
  </conditionalFormatting>
  <conditionalFormatting sqref="B33:M33">
    <cfRule type="expression" dxfId="6775" priority="6">
      <formula>B33&gt;$AG33</formula>
    </cfRule>
  </conditionalFormatting>
  <conditionalFormatting sqref="AL33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M51:W52">
    <cfRule type="expression" dxfId="6774" priority="2">
      <formula>M$9&gt;=20/24</formula>
    </cfRule>
    <cfRule type="expression" dxfId="6773" priority="3">
      <formula>AND(M$9&gt;=14/24,M$9&lt;20/24)</formula>
    </cfRule>
    <cfRule type="expression" dxfId="6772" priority="4">
      <formula>AND(M$9&gt;=8/24,M$9&lt;14/24)</formula>
    </cfRule>
    <cfRule type="expression" dxfId="6771" priority="5">
      <formula>M$9&lt;8/24</formula>
    </cfRule>
  </conditionalFormatting>
  <conditionalFormatting sqref="M51:W52">
    <cfRule type="expression" dxfId="6770" priority="1">
      <formula>M51&gt;$AG51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9502CE6F-6D6B-4A12-8BA6-181A7A715F4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1" id="{C670E362-B27B-4EB5-A295-9E89200C428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2" id="{C12F5CB0-56C5-42BC-999D-0F3694FCEB9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3" id="{F5B01396-CDE0-4E58-BEE3-14C96862A85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B85:AF85</xm:sqref>
        </x14:conditionalFormatting>
        <x14:conditionalFormatting xmlns:xm="http://schemas.microsoft.com/office/excel/2006/main">
          <x14:cfRule type="expression" priority="53" id="{FA71EE20-5479-4708-8381-23FE83CAAB6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A5210622-D3AB-401B-97DC-291191E7812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F2F6D965-C0A5-4808-AA44-CFCA5A78FCB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CA24CF4E-7DE8-443F-B7A5-1F0798D463F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49" id="{E828D621-59F3-459D-AAEC-FE13D847956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AB412CBA-0E8B-459D-BA89-DDA7DE8DF42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28D51031-ACE3-4D6A-B7C2-D353C290ECF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452ED1EF-AECE-4302-8D0C-0354C76D7F5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273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G103" sqref="G10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2079/08/11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1</v>
      </c>
      <c r="O5" s="30">
        <f t="shared" si="0"/>
        <v>0</v>
      </c>
      <c r="P5" s="30">
        <f t="shared" si="0"/>
        <v>0.3</v>
      </c>
      <c r="Q5" s="30">
        <f t="shared" si="0"/>
        <v>8.6999999999999993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1573MW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Load=947</v>
      </c>
      <c r="B7" s="35">
        <f t="shared" ref="B7:AF7" si="1">B84</f>
        <v>1105.8400000000001</v>
      </c>
      <c r="C7" s="35">
        <f t="shared" si="1"/>
        <v>947.34000000000015</v>
      </c>
      <c r="D7" s="35">
        <f t="shared" si="1"/>
        <v>955.04000000000019</v>
      </c>
      <c r="E7" s="35">
        <f t="shared" si="1"/>
        <v>947.44</v>
      </c>
      <c r="F7" s="35">
        <f t="shared" si="1"/>
        <v>964.74000000000012</v>
      </c>
      <c r="G7" s="35">
        <f t="shared" si="1"/>
        <v>1009.1400000000001</v>
      </c>
      <c r="H7" s="35">
        <f t="shared" si="1"/>
        <v>1039.8400000000001</v>
      </c>
      <c r="I7" s="35">
        <f t="shared" si="1"/>
        <v>1104.3400000000001</v>
      </c>
      <c r="J7" s="35">
        <f t="shared" si="1"/>
        <v>1263.2400000000002</v>
      </c>
      <c r="K7" s="35">
        <f t="shared" si="1"/>
        <v>1392.74</v>
      </c>
      <c r="L7" s="35">
        <f t="shared" si="1"/>
        <v>1523.3400000000001</v>
      </c>
      <c r="M7" s="35">
        <f t="shared" si="1"/>
        <v>1573.3400000000001</v>
      </c>
      <c r="N7" s="35">
        <f t="shared" si="1"/>
        <v>1304.0400000000002</v>
      </c>
      <c r="O7" s="35">
        <f t="shared" si="1"/>
        <v>1245.0400000000002</v>
      </c>
      <c r="P7" s="35">
        <f t="shared" si="1"/>
        <v>1199.8400000000001</v>
      </c>
      <c r="Q7" s="35">
        <f t="shared" si="1"/>
        <v>1121.6400000000001</v>
      </c>
      <c r="R7" s="35">
        <f t="shared" si="1"/>
        <v>1107.74</v>
      </c>
      <c r="S7" s="35">
        <f t="shared" si="1"/>
        <v>1087.74</v>
      </c>
      <c r="T7" s="35">
        <f t="shared" si="1"/>
        <v>1126.1400000000001</v>
      </c>
      <c r="U7" s="35">
        <f t="shared" si="1"/>
        <v>1160.3400000000001</v>
      </c>
      <c r="V7" s="35">
        <f t="shared" si="1"/>
        <v>1325.8400000000001</v>
      </c>
      <c r="W7" s="35">
        <f t="shared" si="1"/>
        <v>1576.94</v>
      </c>
      <c r="X7" s="35">
        <f t="shared" si="1"/>
        <v>1655.3400000000001</v>
      </c>
      <c r="Y7" s="35">
        <f t="shared" si="1"/>
        <v>1584.8400000000001</v>
      </c>
      <c r="Z7" s="35">
        <f t="shared" si="1"/>
        <v>1548.8400000000001</v>
      </c>
      <c r="AA7" s="35">
        <f t="shared" si="1"/>
        <v>1448.5400000000002</v>
      </c>
      <c r="AB7" s="35">
        <f t="shared" si="1"/>
        <v>1370.8400000000001</v>
      </c>
      <c r="AC7" s="35">
        <f t="shared" si="1"/>
        <v>1332.44</v>
      </c>
      <c r="AD7" s="35">
        <f t="shared" si="1"/>
        <v>1280.44</v>
      </c>
      <c r="AE7" s="35">
        <f t="shared" si="1"/>
        <v>1195.74</v>
      </c>
      <c r="AF7" s="35">
        <f t="shared" si="1"/>
        <v>1176.74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31.6</v>
      </c>
      <c r="C11" s="46">
        <v>31.6</v>
      </c>
      <c r="D11" s="46">
        <v>31.6</v>
      </c>
      <c r="E11" s="46">
        <v>32</v>
      </c>
      <c r="F11" s="46">
        <v>32</v>
      </c>
      <c r="G11" s="46">
        <v>32</v>
      </c>
      <c r="H11" s="46">
        <v>32</v>
      </c>
      <c r="I11" s="46">
        <v>32</v>
      </c>
      <c r="J11" s="46">
        <v>32</v>
      </c>
      <c r="K11" s="46">
        <v>32</v>
      </c>
      <c r="L11" s="46">
        <v>32</v>
      </c>
      <c r="M11" s="46">
        <v>32</v>
      </c>
      <c r="N11" s="46">
        <v>32</v>
      </c>
      <c r="O11" s="46">
        <v>32</v>
      </c>
      <c r="P11" s="46">
        <v>32</v>
      </c>
      <c r="Q11" s="46">
        <v>32</v>
      </c>
      <c r="R11" s="46">
        <v>32</v>
      </c>
      <c r="S11" s="46">
        <v>32</v>
      </c>
      <c r="T11" s="46">
        <v>32</v>
      </c>
      <c r="U11" s="46">
        <v>32</v>
      </c>
      <c r="V11" s="46">
        <v>32</v>
      </c>
      <c r="W11" s="46">
        <v>32</v>
      </c>
      <c r="X11" s="46">
        <v>32</v>
      </c>
      <c r="Y11" s="46">
        <v>32</v>
      </c>
      <c r="Z11" s="46">
        <v>32</v>
      </c>
      <c r="AA11" s="46">
        <v>32</v>
      </c>
      <c r="AB11" s="46">
        <v>33</v>
      </c>
      <c r="AC11" s="46">
        <v>33</v>
      </c>
      <c r="AD11" s="46">
        <v>32.9</v>
      </c>
      <c r="AE11" s="46">
        <v>33</v>
      </c>
      <c r="AF11" s="46">
        <v>32.9</v>
      </c>
      <c r="AG11" s="47">
        <v>52.4</v>
      </c>
      <c r="AH11" s="48">
        <f>MAX(B11:AF11)</f>
        <v>33</v>
      </c>
      <c r="AI11" s="49">
        <f>MIN(B11:AF11)</f>
        <v>31.6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50.4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50.6</v>
      </c>
      <c r="J12" s="45">
        <v>50.6</v>
      </c>
      <c r="K12" s="45">
        <v>50.6</v>
      </c>
      <c r="L12" s="45">
        <v>50.6</v>
      </c>
      <c r="M12" s="45">
        <v>50.6</v>
      </c>
      <c r="N12" s="45">
        <v>50.6</v>
      </c>
      <c r="O12" s="45">
        <v>50.6</v>
      </c>
      <c r="P12" s="45">
        <v>50.6</v>
      </c>
      <c r="Q12" s="45">
        <v>50.6</v>
      </c>
      <c r="R12" s="45">
        <v>50.6</v>
      </c>
      <c r="S12" s="45">
        <v>50.6</v>
      </c>
      <c r="T12" s="45">
        <v>50.6</v>
      </c>
      <c r="U12" s="45">
        <v>50.6</v>
      </c>
      <c r="V12" s="45">
        <v>50.6</v>
      </c>
      <c r="W12" s="45">
        <v>50.6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50.4</v>
      </c>
      <c r="AC12" s="45">
        <v>50.3</v>
      </c>
      <c r="AD12" s="45">
        <v>50.5</v>
      </c>
      <c r="AE12" s="45">
        <v>50.3</v>
      </c>
      <c r="AF12" s="45">
        <v>50</v>
      </c>
      <c r="AG12" s="51">
        <v>50</v>
      </c>
      <c r="AH12" s="48">
        <f t="shared" ref="AH12:AH78" si="2">MAX(B12:AF12)</f>
        <v>50.6</v>
      </c>
      <c r="AI12" s="49">
        <f t="shared" ref="AI12:AI78" si="3">MIN(B12:AF12)</f>
        <v>50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30.6</v>
      </c>
      <c r="C13" s="45">
        <v>30.6</v>
      </c>
      <c r="D13" s="45">
        <v>29.8</v>
      </c>
      <c r="E13" s="45">
        <v>29.8</v>
      </c>
      <c r="F13" s="45">
        <v>29.8</v>
      </c>
      <c r="G13" s="45">
        <v>29.8</v>
      </c>
      <c r="H13" s="45">
        <v>29.8</v>
      </c>
      <c r="I13" s="45">
        <v>29.8</v>
      </c>
      <c r="J13" s="45">
        <v>29.8</v>
      </c>
      <c r="K13" s="45">
        <v>29.8</v>
      </c>
      <c r="L13" s="45">
        <v>29.8</v>
      </c>
      <c r="M13" s="45">
        <v>29.8</v>
      </c>
      <c r="N13" s="45">
        <v>29.8</v>
      </c>
      <c r="O13" s="45">
        <v>29.8</v>
      </c>
      <c r="P13" s="45">
        <v>29.8</v>
      </c>
      <c r="Q13" s="45">
        <v>29.8</v>
      </c>
      <c r="R13" s="45">
        <v>29.8</v>
      </c>
      <c r="S13" s="45">
        <v>29.8</v>
      </c>
      <c r="T13" s="45">
        <v>29.8</v>
      </c>
      <c r="U13" s="45">
        <v>29.8</v>
      </c>
      <c r="V13" s="45">
        <v>29.8</v>
      </c>
      <c r="W13" s="45">
        <v>29.8</v>
      </c>
      <c r="X13" s="45">
        <v>29.8</v>
      </c>
      <c r="Y13" s="45">
        <v>29.8</v>
      </c>
      <c r="Z13" s="45">
        <v>29.8</v>
      </c>
      <c r="AA13" s="45">
        <v>29.8</v>
      </c>
      <c r="AB13" s="45">
        <v>29.4</v>
      </c>
      <c r="AC13" s="45">
        <v>30.9</v>
      </c>
      <c r="AD13" s="45">
        <v>30.8</v>
      </c>
      <c r="AE13" s="45">
        <v>29.9</v>
      </c>
      <c r="AF13" s="45">
        <v>31</v>
      </c>
      <c r="AG13" s="51">
        <v>45</v>
      </c>
      <c r="AH13" s="48">
        <f t="shared" si="2"/>
        <v>31</v>
      </c>
      <c r="AI13" s="49">
        <f t="shared" si="3"/>
        <v>29.4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18.5</v>
      </c>
      <c r="C14" s="45">
        <v>18.5</v>
      </c>
      <c r="D14" s="45">
        <v>18.5</v>
      </c>
      <c r="E14" s="45">
        <v>18.5</v>
      </c>
      <c r="F14" s="45">
        <v>18.5</v>
      </c>
      <c r="G14" s="45">
        <v>18.5</v>
      </c>
      <c r="H14" s="45">
        <v>18.5</v>
      </c>
      <c r="I14" s="45">
        <v>18.5</v>
      </c>
      <c r="J14" s="45">
        <v>18.5</v>
      </c>
      <c r="K14" s="45">
        <v>18.5</v>
      </c>
      <c r="L14" s="45">
        <v>18.5</v>
      </c>
      <c r="M14" s="45">
        <v>18.5</v>
      </c>
      <c r="N14" s="45">
        <v>18.5</v>
      </c>
      <c r="O14" s="45">
        <v>18.5</v>
      </c>
      <c r="P14" s="45">
        <v>18.5</v>
      </c>
      <c r="Q14" s="45">
        <v>18.5</v>
      </c>
      <c r="R14" s="45">
        <v>18.5</v>
      </c>
      <c r="S14" s="45">
        <v>18.5</v>
      </c>
      <c r="T14" s="45">
        <v>18.5</v>
      </c>
      <c r="U14" s="45">
        <v>18.5</v>
      </c>
      <c r="V14" s="45">
        <v>18.5</v>
      </c>
      <c r="W14" s="45">
        <v>18.5</v>
      </c>
      <c r="X14" s="45">
        <v>18.5</v>
      </c>
      <c r="Y14" s="45">
        <v>18.5</v>
      </c>
      <c r="Z14" s="45">
        <v>18.5</v>
      </c>
      <c r="AA14" s="45">
        <v>18.5</v>
      </c>
      <c r="AB14" s="45">
        <v>18.5</v>
      </c>
      <c r="AC14" s="45">
        <v>18.5</v>
      </c>
      <c r="AD14" s="45">
        <v>18.5</v>
      </c>
      <c r="AE14" s="45">
        <v>18.5</v>
      </c>
      <c r="AF14" s="45">
        <v>18.5</v>
      </c>
      <c r="AG14" s="51">
        <v>42</v>
      </c>
      <c r="AH14" s="48">
        <f t="shared" si="2"/>
        <v>18.5</v>
      </c>
      <c r="AI14" s="49">
        <f t="shared" si="3"/>
        <v>18.5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15</v>
      </c>
      <c r="G15" s="45">
        <v>0</v>
      </c>
      <c r="H15" s="45">
        <v>0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10.6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10</v>
      </c>
      <c r="J16" s="45">
        <v>18.600000000000001</v>
      </c>
      <c r="K16" s="45">
        <v>19</v>
      </c>
      <c r="L16" s="45">
        <v>19</v>
      </c>
      <c r="M16" s="45">
        <v>19.100000000000001</v>
      </c>
      <c r="N16" s="45">
        <v>18.8</v>
      </c>
      <c r="O16" s="45">
        <v>18.8</v>
      </c>
      <c r="P16" s="45">
        <v>18.8</v>
      </c>
      <c r="Q16" s="45">
        <v>18.8</v>
      </c>
      <c r="R16" s="45">
        <v>15.2</v>
      </c>
      <c r="S16" s="45">
        <v>15.2</v>
      </c>
      <c r="T16" s="45">
        <v>15.2</v>
      </c>
      <c r="U16" s="45">
        <v>15.2</v>
      </c>
      <c r="V16" s="45">
        <v>15.2</v>
      </c>
      <c r="W16" s="45">
        <v>17.8</v>
      </c>
      <c r="X16" s="45">
        <v>17.8</v>
      </c>
      <c r="Y16" s="45">
        <v>17.8</v>
      </c>
      <c r="Z16" s="45">
        <v>17.8</v>
      </c>
      <c r="AA16" s="45">
        <v>17.8</v>
      </c>
      <c r="AB16" s="45">
        <v>17.8</v>
      </c>
      <c r="AC16" s="45">
        <v>18.100000000000001</v>
      </c>
      <c r="AD16" s="45">
        <v>0</v>
      </c>
      <c r="AE16" s="45">
        <v>0</v>
      </c>
      <c r="AF16" s="45">
        <v>0</v>
      </c>
      <c r="AG16" s="52">
        <v>30</v>
      </c>
      <c r="AH16" s="48">
        <f t="shared" si="2"/>
        <v>19.100000000000001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15.3</v>
      </c>
      <c r="C17" s="45">
        <v>15.3</v>
      </c>
      <c r="D17" s="45">
        <v>15.3</v>
      </c>
      <c r="E17" s="45">
        <v>15.3</v>
      </c>
      <c r="F17" s="45">
        <v>15.3</v>
      </c>
      <c r="G17" s="45">
        <v>15.3</v>
      </c>
      <c r="H17" s="45">
        <v>15.3</v>
      </c>
      <c r="I17" s="45">
        <v>15.7</v>
      </c>
      <c r="J17" s="45">
        <v>15.7</v>
      </c>
      <c r="K17" s="45">
        <v>15.7</v>
      </c>
      <c r="L17" s="45">
        <v>15.7</v>
      </c>
      <c r="M17" s="45">
        <v>15.7</v>
      </c>
      <c r="N17" s="45">
        <v>15.7</v>
      </c>
      <c r="O17" s="45">
        <v>15.7</v>
      </c>
      <c r="P17" s="45">
        <v>15.7</v>
      </c>
      <c r="Q17" s="45">
        <v>15.7</v>
      </c>
      <c r="R17" s="45">
        <v>15.3</v>
      </c>
      <c r="S17" s="45">
        <v>15.3</v>
      </c>
      <c r="T17" s="45">
        <v>15.3</v>
      </c>
      <c r="U17" s="45">
        <v>15.3</v>
      </c>
      <c r="V17" s="45">
        <v>15.3</v>
      </c>
      <c r="W17" s="45">
        <v>15.3</v>
      </c>
      <c r="X17" s="45">
        <v>15.3</v>
      </c>
      <c r="Y17" s="45">
        <v>15.3</v>
      </c>
      <c r="Z17" s="45">
        <v>15.3</v>
      </c>
      <c r="AA17" s="45">
        <v>15.3</v>
      </c>
      <c r="AB17" s="45">
        <v>15.5</v>
      </c>
      <c r="AC17" s="45">
        <v>15.5</v>
      </c>
      <c r="AD17" s="45">
        <v>15.5</v>
      </c>
      <c r="AE17" s="45">
        <v>15.5</v>
      </c>
      <c r="AF17" s="45">
        <v>15.5</v>
      </c>
      <c r="AG17" s="51">
        <v>24.2</v>
      </c>
      <c r="AH17" s="48">
        <f t="shared" si="2"/>
        <v>15.7</v>
      </c>
      <c r="AI17" s="49">
        <f t="shared" si="3"/>
        <v>15.3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17</v>
      </c>
      <c r="C18" s="45">
        <v>17</v>
      </c>
      <c r="D18" s="45">
        <v>17</v>
      </c>
      <c r="E18" s="45">
        <v>17</v>
      </c>
      <c r="F18" s="45">
        <v>17</v>
      </c>
      <c r="G18" s="45">
        <v>17</v>
      </c>
      <c r="H18" s="45">
        <v>17</v>
      </c>
      <c r="I18" s="45">
        <v>17</v>
      </c>
      <c r="J18" s="45">
        <v>17</v>
      </c>
      <c r="K18" s="45">
        <v>17</v>
      </c>
      <c r="L18" s="45">
        <v>17</v>
      </c>
      <c r="M18" s="45">
        <v>17</v>
      </c>
      <c r="N18" s="45">
        <v>17</v>
      </c>
      <c r="O18" s="45">
        <v>17</v>
      </c>
      <c r="P18" s="45">
        <v>17</v>
      </c>
      <c r="Q18" s="45">
        <v>17</v>
      </c>
      <c r="R18" s="45">
        <v>17</v>
      </c>
      <c r="S18" s="45">
        <v>17</v>
      </c>
      <c r="T18" s="45">
        <v>17</v>
      </c>
      <c r="U18" s="45">
        <v>17</v>
      </c>
      <c r="V18" s="45">
        <v>17</v>
      </c>
      <c r="W18" s="45">
        <v>17</v>
      </c>
      <c r="X18" s="45">
        <v>17</v>
      </c>
      <c r="Y18" s="45">
        <v>17</v>
      </c>
      <c r="Z18" s="45">
        <v>17</v>
      </c>
      <c r="AA18" s="45">
        <v>17</v>
      </c>
      <c r="AB18" s="45">
        <v>17</v>
      </c>
      <c r="AC18" s="45">
        <v>17</v>
      </c>
      <c r="AD18" s="45">
        <v>17</v>
      </c>
      <c r="AE18" s="45">
        <v>17</v>
      </c>
      <c r="AF18" s="45">
        <v>17</v>
      </c>
      <c r="AG18" s="51">
        <v>28</v>
      </c>
      <c r="AH18" s="48">
        <f t="shared" si="2"/>
        <v>17</v>
      </c>
      <c r="AI18" s="49">
        <f t="shared" si="3"/>
        <v>17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17.100000000000001</v>
      </c>
      <c r="J19" s="45">
        <v>25</v>
      </c>
      <c r="K19" s="45">
        <v>25</v>
      </c>
      <c r="L19" s="45">
        <v>25</v>
      </c>
      <c r="M19" s="45">
        <v>25</v>
      </c>
      <c r="N19" s="45">
        <v>25</v>
      </c>
      <c r="O19" s="45">
        <v>25</v>
      </c>
      <c r="P19" s="45">
        <v>25</v>
      </c>
      <c r="Q19" s="45">
        <v>25</v>
      </c>
      <c r="R19" s="45">
        <v>25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0</v>
      </c>
      <c r="AE19" s="45">
        <v>0</v>
      </c>
      <c r="AF19" s="45">
        <v>0</v>
      </c>
      <c r="AG19" s="52">
        <v>30</v>
      </c>
      <c r="AH19" s="48">
        <f t="shared" si="2"/>
        <v>25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16.3</v>
      </c>
      <c r="C20" s="45">
        <v>16.3</v>
      </c>
      <c r="D20" s="45">
        <v>16.3</v>
      </c>
      <c r="E20" s="45">
        <v>16.3</v>
      </c>
      <c r="F20" s="45">
        <v>16.3</v>
      </c>
      <c r="G20" s="45">
        <v>16.3</v>
      </c>
      <c r="H20" s="45">
        <v>16.3</v>
      </c>
      <c r="I20" s="45">
        <v>16.3</v>
      </c>
      <c r="J20" s="45">
        <v>16.3</v>
      </c>
      <c r="K20" s="45">
        <v>16.3</v>
      </c>
      <c r="L20" s="45">
        <v>16.3</v>
      </c>
      <c r="M20" s="45">
        <v>16.3</v>
      </c>
      <c r="N20" s="45">
        <v>16.3</v>
      </c>
      <c r="O20" s="45">
        <v>16.3</v>
      </c>
      <c r="P20" s="45">
        <v>16.3</v>
      </c>
      <c r="Q20" s="45">
        <v>16.3</v>
      </c>
      <c r="R20" s="45">
        <v>16.3</v>
      </c>
      <c r="S20" s="45">
        <v>16.3</v>
      </c>
      <c r="T20" s="45">
        <v>16.3</v>
      </c>
      <c r="U20" s="45">
        <v>16.3</v>
      </c>
      <c r="V20" s="45">
        <v>16.3</v>
      </c>
      <c r="W20" s="45">
        <v>16.3</v>
      </c>
      <c r="X20" s="45">
        <v>16.3</v>
      </c>
      <c r="Y20" s="45">
        <v>16.3</v>
      </c>
      <c r="Z20" s="45">
        <v>16.3</v>
      </c>
      <c r="AA20" s="45">
        <v>16.3</v>
      </c>
      <c r="AB20" s="45">
        <v>18</v>
      </c>
      <c r="AC20" s="45">
        <v>18</v>
      </c>
      <c r="AD20" s="45">
        <v>18</v>
      </c>
      <c r="AE20" s="45">
        <v>18</v>
      </c>
      <c r="AF20" s="45">
        <v>18</v>
      </c>
      <c r="AG20" s="51">
        <v>25</v>
      </c>
      <c r="AH20" s="48">
        <f t="shared" si="2"/>
        <v>18</v>
      </c>
      <c r="AI20" s="49">
        <f t="shared" si="3"/>
        <v>16.3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</v>
      </c>
      <c r="C22" s="45">
        <v>10</v>
      </c>
      <c r="D22" s="45">
        <v>10</v>
      </c>
      <c r="E22" s="45">
        <v>10</v>
      </c>
      <c r="F22" s="45">
        <v>10</v>
      </c>
      <c r="G22" s="45">
        <v>10</v>
      </c>
      <c r="H22" s="45">
        <v>10</v>
      </c>
      <c r="I22" s="45">
        <v>10</v>
      </c>
      <c r="J22" s="45">
        <v>10</v>
      </c>
      <c r="K22" s="45">
        <v>10</v>
      </c>
      <c r="L22" s="45">
        <v>10</v>
      </c>
      <c r="M22" s="45">
        <v>10</v>
      </c>
      <c r="N22" s="45">
        <v>10</v>
      </c>
      <c r="O22" s="45">
        <v>10</v>
      </c>
      <c r="P22" s="45">
        <v>10</v>
      </c>
      <c r="Q22" s="45">
        <v>10</v>
      </c>
      <c r="R22" s="45">
        <v>10</v>
      </c>
      <c r="S22" s="45">
        <v>10</v>
      </c>
      <c r="T22" s="45">
        <v>10</v>
      </c>
      <c r="U22" s="45">
        <v>10</v>
      </c>
      <c r="V22" s="45">
        <v>10</v>
      </c>
      <c r="W22" s="45">
        <v>10</v>
      </c>
      <c r="X22" s="45">
        <v>10</v>
      </c>
      <c r="Y22" s="45">
        <v>10</v>
      </c>
      <c r="Z22" s="45">
        <v>10</v>
      </c>
      <c r="AA22" s="45">
        <v>10</v>
      </c>
      <c r="AB22" s="45">
        <v>10</v>
      </c>
      <c r="AC22" s="45">
        <v>10</v>
      </c>
      <c r="AD22" s="45">
        <v>10</v>
      </c>
      <c r="AE22" s="45">
        <v>10</v>
      </c>
      <c r="AF22" s="45">
        <v>10</v>
      </c>
      <c r="AG22" s="51">
        <v>25</v>
      </c>
      <c r="AH22" s="48">
        <f t="shared" si="2"/>
        <v>10</v>
      </c>
      <c r="AI22" s="49">
        <f t="shared" si="3"/>
        <v>10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18</v>
      </c>
      <c r="C23" s="45">
        <v>18</v>
      </c>
      <c r="D23" s="45">
        <v>18</v>
      </c>
      <c r="E23" s="45">
        <v>10</v>
      </c>
      <c r="F23" s="45">
        <v>0</v>
      </c>
      <c r="G23" s="45">
        <v>0</v>
      </c>
      <c r="H23" s="45">
        <v>0</v>
      </c>
      <c r="I23" s="45">
        <v>15</v>
      </c>
      <c r="J23" s="45">
        <v>17</v>
      </c>
      <c r="K23" s="45">
        <v>17</v>
      </c>
      <c r="L23" s="45">
        <v>17</v>
      </c>
      <c r="M23" s="45">
        <v>17</v>
      </c>
      <c r="N23" s="45">
        <v>17</v>
      </c>
      <c r="O23" s="45">
        <v>17</v>
      </c>
      <c r="P23" s="45">
        <v>17</v>
      </c>
      <c r="Q23" s="45">
        <v>17</v>
      </c>
      <c r="R23" s="45">
        <v>17</v>
      </c>
      <c r="S23" s="45">
        <v>17</v>
      </c>
      <c r="T23" s="45">
        <v>17</v>
      </c>
      <c r="U23" s="45">
        <v>17</v>
      </c>
      <c r="V23" s="45">
        <v>17</v>
      </c>
      <c r="W23" s="45">
        <v>17</v>
      </c>
      <c r="X23" s="45">
        <v>17</v>
      </c>
      <c r="Y23" s="45">
        <v>17</v>
      </c>
      <c r="Z23" s="45">
        <v>17</v>
      </c>
      <c r="AA23" s="45">
        <v>17</v>
      </c>
      <c r="AB23" s="45">
        <v>17</v>
      </c>
      <c r="AC23" s="45">
        <v>17</v>
      </c>
      <c r="AD23" s="45">
        <v>17</v>
      </c>
      <c r="AE23" s="45">
        <v>17</v>
      </c>
      <c r="AF23" s="45">
        <v>0</v>
      </c>
      <c r="AG23" s="51">
        <v>25</v>
      </c>
      <c r="AH23" s="48">
        <f t="shared" si="2"/>
        <v>18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14.4</v>
      </c>
      <c r="C24" s="45">
        <v>14.5</v>
      </c>
      <c r="D24" s="45">
        <v>14.5</v>
      </c>
      <c r="E24" s="45">
        <v>14.5</v>
      </c>
      <c r="F24" s="45">
        <v>14.5</v>
      </c>
      <c r="G24" s="45">
        <v>14.5</v>
      </c>
      <c r="H24" s="45">
        <v>14.5</v>
      </c>
      <c r="I24" s="45">
        <v>14.5</v>
      </c>
      <c r="J24" s="45">
        <v>14.5</v>
      </c>
      <c r="K24" s="45">
        <v>14.5</v>
      </c>
      <c r="L24" s="45">
        <v>14.5</v>
      </c>
      <c r="M24" s="45">
        <v>14.5</v>
      </c>
      <c r="N24" s="45">
        <v>14.5</v>
      </c>
      <c r="O24" s="45">
        <v>14.5</v>
      </c>
      <c r="P24" s="45">
        <v>14.5</v>
      </c>
      <c r="Q24" s="45">
        <v>14.5</v>
      </c>
      <c r="R24" s="45">
        <v>14.5</v>
      </c>
      <c r="S24" s="45">
        <v>14.5</v>
      </c>
      <c r="T24" s="45">
        <v>14.5</v>
      </c>
      <c r="U24" s="45">
        <v>14.5</v>
      </c>
      <c r="V24" s="45">
        <v>14.5</v>
      </c>
      <c r="W24" s="45">
        <v>11.9</v>
      </c>
      <c r="X24" s="45">
        <v>11.9</v>
      </c>
      <c r="Y24" s="45">
        <v>11.9</v>
      </c>
      <c r="Z24" s="45">
        <v>11.9</v>
      </c>
      <c r="AA24" s="45">
        <v>11.9</v>
      </c>
      <c r="AB24" s="45">
        <v>11.9</v>
      </c>
      <c r="AC24" s="45">
        <v>11.9</v>
      </c>
      <c r="AD24" s="45">
        <v>11.9</v>
      </c>
      <c r="AE24" s="45">
        <v>11.9</v>
      </c>
      <c r="AF24" s="45">
        <v>11.9</v>
      </c>
      <c r="AG24" s="51">
        <v>23.5</v>
      </c>
      <c r="AH24" s="48">
        <f t="shared" si="2"/>
        <v>14.5</v>
      </c>
      <c r="AI24" s="49">
        <f t="shared" si="3"/>
        <v>11.9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14</v>
      </c>
      <c r="C28" s="45">
        <v>14</v>
      </c>
      <c r="D28" s="45">
        <v>14</v>
      </c>
      <c r="E28" s="45">
        <v>14</v>
      </c>
      <c r="F28" s="45">
        <v>14</v>
      </c>
      <c r="G28" s="45">
        <v>14</v>
      </c>
      <c r="H28" s="45">
        <v>14</v>
      </c>
      <c r="I28" s="45">
        <v>14</v>
      </c>
      <c r="J28" s="45">
        <v>14</v>
      </c>
      <c r="K28" s="45">
        <v>14</v>
      </c>
      <c r="L28" s="45">
        <v>14</v>
      </c>
      <c r="M28" s="45">
        <v>14</v>
      </c>
      <c r="N28" s="45">
        <v>14</v>
      </c>
      <c r="O28" s="45">
        <v>14</v>
      </c>
      <c r="P28" s="45">
        <v>14</v>
      </c>
      <c r="Q28" s="45">
        <v>14</v>
      </c>
      <c r="R28" s="45">
        <v>14</v>
      </c>
      <c r="S28" s="45">
        <v>14</v>
      </c>
      <c r="T28" s="45">
        <v>14</v>
      </c>
      <c r="U28" s="45">
        <v>14</v>
      </c>
      <c r="V28" s="45">
        <v>14</v>
      </c>
      <c r="W28" s="45">
        <v>14</v>
      </c>
      <c r="X28" s="45">
        <v>14</v>
      </c>
      <c r="Y28" s="45">
        <v>14</v>
      </c>
      <c r="Z28" s="45">
        <v>14</v>
      </c>
      <c r="AA28" s="45">
        <v>14</v>
      </c>
      <c r="AB28" s="45">
        <v>14</v>
      </c>
      <c r="AC28" s="45">
        <v>14</v>
      </c>
      <c r="AD28" s="45">
        <v>14</v>
      </c>
      <c r="AE28" s="45">
        <v>14</v>
      </c>
      <c r="AF28" s="45">
        <v>14</v>
      </c>
      <c r="AG28" s="51">
        <v>22</v>
      </c>
      <c r="AH28" s="48">
        <f t="shared" si="2"/>
        <v>14</v>
      </c>
      <c r="AI28" s="49">
        <f t="shared" si="3"/>
        <v>14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5</v>
      </c>
      <c r="J29" s="45">
        <v>5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0</v>
      </c>
      <c r="AE29" s="45">
        <v>0</v>
      </c>
      <c r="AF29" s="45">
        <v>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3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0</v>
      </c>
      <c r="AE33" s="45">
        <v>0</v>
      </c>
      <c r="AF33" s="45">
        <v>0</v>
      </c>
      <c r="AG33" s="51">
        <v>12</v>
      </c>
      <c r="AH33" s="48">
        <f t="shared" si="2"/>
        <v>8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5</v>
      </c>
      <c r="C35" s="45">
        <v>5</v>
      </c>
      <c r="D35" s="45">
        <v>5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5</v>
      </c>
      <c r="L35" s="45">
        <v>5</v>
      </c>
      <c r="M35" s="45">
        <v>5</v>
      </c>
      <c r="N35" s="45">
        <v>5</v>
      </c>
      <c r="O35" s="45">
        <v>5</v>
      </c>
      <c r="P35" s="45">
        <v>5</v>
      </c>
      <c r="Q35" s="45">
        <v>5</v>
      </c>
      <c r="R35" s="45">
        <v>5</v>
      </c>
      <c r="S35" s="45">
        <v>5</v>
      </c>
      <c r="T35" s="45">
        <v>5</v>
      </c>
      <c r="U35" s="45">
        <v>5</v>
      </c>
      <c r="V35" s="45">
        <v>5</v>
      </c>
      <c r="W35" s="45">
        <v>5</v>
      </c>
      <c r="X35" s="45">
        <v>5</v>
      </c>
      <c r="Y35" s="45">
        <v>5</v>
      </c>
      <c r="Z35" s="45">
        <v>5</v>
      </c>
      <c r="AA35" s="45">
        <v>5</v>
      </c>
      <c r="AB35" s="45">
        <v>5</v>
      </c>
      <c r="AC35" s="45">
        <v>5</v>
      </c>
      <c r="AD35" s="45">
        <v>5</v>
      </c>
      <c r="AE35" s="45">
        <v>5</v>
      </c>
      <c r="AF35" s="45">
        <v>5</v>
      </c>
      <c r="AG35" s="51">
        <v>12</v>
      </c>
      <c r="AH35" s="48">
        <f t="shared" si="2"/>
        <v>5</v>
      </c>
      <c r="AI35" s="49">
        <f t="shared" si="3"/>
        <v>5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6</v>
      </c>
      <c r="AG39" s="55">
        <v>10</v>
      </c>
      <c r="AH39" s="48">
        <f t="shared" si="2"/>
        <v>6</v>
      </c>
      <c r="AI39" s="49">
        <f t="shared" si="3"/>
        <v>6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1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220</v>
      </c>
      <c r="C41" s="57">
        <v>220</v>
      </c>
      <c r="D41" s="57">
        <v>220</v>
      </c>
      <c r="E41" s="57">
        <v>220</v>
      </c>
      <c r="F41" s="57">
        <v>220</v>
      </c>
      <c r="G41" s="57">
        <v>220</v>
      </c>
      <c r="H41" s="57">
        <v>220</v>
      </c>
      <c r="I41" s="57">
        <v>220</v>
      </c>
      <c r="J41" s="57">
        <v>220</v>
      </c>
      <c r="K41" s="57">
        <v>220</v>
      </c>
      <c r="L41" s="57">
        <v>220</v>
      </c>
      <c r="M41" s="57">
        <v>220</v>
      </c>
      <c r="N41" s="57">
        <v>220</v>
      </c>
      <c r="O41" s="57">
        <v>220</v>
      </c>
      <c r="P41" s="57">
        <v>220</v>
      </c>
      <c r="Q41" s="57">
        <v>220</v>
      </c>
      <c r="R41" s="57">
        <v>220</v>
      </c>
      <c r="S41" s="57">
        <v>220</v>
      </c>
      <c r="T41" s="57">
        <v>220</v>
      </c>
      <c r="U41" s="57">
        <v>220</v>
      </c>
      <c r="V41" s="57">
        <v>220</v>
      </c>
      <c r="W41" s="57">
        <v>220</v>
      </c>
      <c r="X41" s="57">
        <v>220</v>
      </c>
      <c r="Y41" s="57">
        <v>220</v>
      </c>
      <c r="Z41" s="57">
        <v>220</v>
      </c>
      <c r="AA41" s="57">
        <v>220</v>
      </c>
      <c r="AB41" s="57">
        <v>220</v>
      </c>
      <c r="AC41" s="57">
        <v>220</v>
      </c>
      <c r="AD41" s="57">
        <v>220</v>
      </c>
      <c r="AE41" s="57">
        <v>220</v>
      </c>
      <c r="AF41" s="57">
        <v>220</v>
      </c>
      <c r="AG41" s="55">
        <v>85</v>
      </c>
      <c r="AH41" s="48">
        <f t="shared" si="2"/>
        <v>220</v>
      </c>
      <c r="AI41" s="49">
        <f t="shared" si="3"/>
        <v>220</v>
      </c>
      <c r="AK41" s="50"/>
    </row>
    <row r="42" spans="1:88" ht="15.75" thickBot="1" x14ac:dyDescent="0.3">
      <c r="A42" s="58" t="s">
        <v>47</v>
      </c>
      <c r="B42" s="59">
        <f>39+49.9</f>
        <v>88.9</v>
      </c>
      <c r="C42" s="59">
        <f>38.4+49.3</f>
        <v>87.699999999999989</v>
      </c>
      <c r="D42" s="59">
        <f>38.2+48.2</f>
        <v>86.4</v>
      </c>
      <c r="E42" s="59">
        <f>37.6+51.2</f>
        <v>88.800000000000011</v>
      </c>
      <c r="F42" s="59">
        <f>37.3+47.1</f>
        <v>84.4</v>
      </c>
      <c r="G42" s="59">
        <f>37+49.5</f>
        <v>86.5</v>
      </c>
      <c r="H42" s="59">
        <f>36.8+48</f>
        <v>84.8</v>
      </c>
      <c r="I42" s="59">
        <f>38.8+49.6</f>
        <v>88.4</v>
      </c>
      <c r="J42" s="59">
        <f>39.1+48.3</f>
        <v>87.4</v>
      </c>
      <c r="K42" s="59">
        <f>39.8+48.7</f>
        <v>88.5</v>
      </c>
      <c r="L42" s="57">
        <f>39.4+48</f>
        <v>87.4</v>
      </c>
      <c r="M42" s="57">
        <f>40.2+48.7</f>
        <v>88.9</v>
      </c>
      <c r="N42" s="57">
        <f>47.9+39.6</f>
        <v>87.5</v>
      </c>
      <c r="O42" s="57">
        <f>47.3+40.1</f>
        <v>87.4</v>
      </c>
      <c r="P42" s="57">
        <f>47.6+41</f>
        <v>88.6</v>
      </c>
      <c r="Q42" s="57">
        <f>48.3+38.2</f>
        <v>86.5</v>
      </c>
      <c r="R42" s="57">
        <f>52+41</f>
        <v>93</v>
      </c>
      <c r="S42" s="59">
        <f>52+39.5</f>
        <v>91.5</v>
      </c>
      <c r="T42" s="59">
        <f>38.7+50.1</f>
        <v>88.800000000000011</v>
      </c>
      <c r="U42" s="59">
        <f>38.4+47.7</f>
        <v>86.1</v>
      </c>
      <c r="V42" s="59">
        <f>38.5+45.6</f>
        <v>84.1</v>
      </c>
      <c r="W42" s="59">
        <v>80</v>
      </c>
      <c r="X42" s="59">
        <v>81.2</v>
      </c>
      <c r="Y42" s="59">
        <f>37.1+48.2</f>
        <v>85.300000000000011</v>
      </c>
      <c r="Z42" s="59">
        <f>37.2+48.4</f>
        <v>85.6</v>
      </c>
      <c r="AA42" s="59">
        <f>37.4+45.7</f>
        <v>83.1</v>
      </c>
      <c r="AB42" s="59">
        <f>37.6+48.6</f>
        <v>86.2</v>
      </c>
      <c r="AC42" s="59">
        <f>38.1+49.4</f>
        <v>87.5</v>
      </c>
      <c r="AD42" s="59">
        <f>37.9+48.1</f>
        <v>86</v>
      </c>
      <c r="AE42" s="59">
        <f>37.9+46.8</f>
        <v>84.699999999999989</v>
      </c>
      <c r="AF42" s="59">
        <f>39.1+45.9</f>
        <v>85</v>
      </c>
      <c r="AG42" s="55">
        <v>240</v>
      </c>
      <c r="AH42" s="48">
        <f t="shared" si="2"/>
        <v>93</v>
      </c>
      <c r="AI42" s="49">
        <f t="shared" si="3"/>
        <v>80</v>
      </c>
      <c r="AK42" s="50"/>
    </row>
    <row r="43" spans="1:88" ht="15.75" thickBot="1" x14ac:dyDescent="0.3">
      <c r="A43" s="60" t="s">
        <v>48</v>
      </c>
      <c r="B43" s="61">
        <f t="shared" ref="B43:AG43" si="4">SUM(B11:B41)</f>
        <v>607.30000000000007</v>
      </c>
      <c r="C43" s="61">
        <f t="shared" si="4"/>
        <v>583.90000000000009</v>
      </c>
      <c r="D43" s="61">
        <f t="shared" si="4"/>
        <v>583.30000000000007</v>
      </c>
      <c r="E43" s="61">
        <f t="shared" si="4"/>
        <v>575.70000000000005</v>
      </c>
      <c r="F43" s="61">
        <f t="shared" si="4"/>
        <v>556.70000000000005</v>
      </c>
      <c r="G43" s="61">
        <f t="shared" si="4"/>
        <v>541.70000000000005</v>
      </c>
      <c r="H43" s="61">
        <f t="shared" si="4"/>
        <v>541.70000000000005</v>
      </c>
      <c r="I43" s="61">
        <f t="shared" si="4"/>
        <v>621.20000000000005</v>
      </c>
      <c r="J43" s="61">
        <f t="shared" si="4"/>
        <v>639.70000000000005</v>
      </c>
      <c r="K43" s="61">
        <f t="shared" si="4"/>
        <v>645.1</v>
      </c>
      <c r="L43" s="61">
        <f t="shared" si="4"/>
        <v>645.1</v>
      </c>
      <c r="M43" s="61">
        <f t="shared" si="4"/>
        <v>646.20000000000005</v>
      </c>
      <c r="N43" s="61">
        <f t="shared" si="4"/>
        <v>646.90000000000009</v>
      </c>
      <c r="O43" s="61">
        <f t="shared" si="4"/>
        <v>646.90000000000009</v>
      </c>
      <c r="P43" s="61">
        <f t="shared" si="4"/>
        <v>646.90000000000009</v>
      </c>
      <c r="Q43" s="61">
        <f t="shared" si="4"/>
        <v>646.90000000000009</v>
      </c>
      <c r="R43" s="61">
        <f t="shared" si="4"/>
        <v>642.90000000000009</v>
      </c>
      <c r="S43" s="61">
        <f t="shared" si="4"/>
        <v>634.90000000000009</v>
      </c>
      <c r="T43" s="61">
        <f t="shared" si="4"/>
        <v>634.90000000000009</v>
      </c>
      <c r="U43" s="61">
        <f t="shared" si="4"/>
        <v>633.90000000000009</v>
      </c>
      <c r="V43" s="61">
        <f t="shared" si="4"/>
        <v>632.90000000000009</v>
      </c>
      <c r="W43" s="61">
        <f t="shared" si="4"/>
        <v>632.90000000000009</v>
      </c>
      <c r="X43" s="61">
        <f t="shared" si="4"/>
        <v>632.90000000000009</v>
      </c>
      <c r="Y43" s="61">
        <f t="shared" si="4"/>
        <v>632.90000000000009</v>
      </c>
      <c r="Z43" s="61">
        <f t="shared" si="4"/>
        <v>632.90000000000009</v>
      </c>
      <c r="AA43" s="61">
        <f t="shared" si="4"/>
        <v>632.90000000000009</v>
      </c>
      <c r="AB43" s="61">
        <f t="shared" si="4"/>
        <v>635.20000000000005</v>
      </c>
      <c r="AC43" s="61">
        <f t="shared" si="4"/>
        <v>636.9</v>
      </c>
      <c r="AD43" s="61">
        <f t="shared" si="4"/>
        <v>583.79999999999995</v>
      </c>
      <c r="AE43" s="61">
        <f t="shared" si="4"/>
        <v>582.79999999999995</v>
      </c>
      <c r="AF43" s="61">
        <f t="shared" si="4"/>
        <v>566.5</v>
      </c>
      <c r="AG43" s="62">
        <f t="shared" si="4"/>
        <v>796.78000000000009</v>
      </c>
      <c r="AH43" s="48">
        <f t="shared" si="2"/>
        <v>646.90000000000009</v>
      </c>
      <c r="AI43" s="49">
        <f t="shared" si="3"/>
        <v>541.70000000000005</v>
      </c>
      <c r="AK43" s="50"/>
    </row>
    <row r="44" spans="1:88" x14ac:dyDescent="0.25">
      <c r="A44" s="63" t="s">
        <v>49</v>
      </c>
      <c r="B44" s="45">
        <v>110</v>
      </c>
      <c r="C44" s="45">
        <v>13</v>
      </c>
      <c r="D44" s="45">
        <v>13</v>
      </c>
      <c r="E44" s="45">
        <v>13</v>
      </c>
      <c r="F44" s="45">
        <v>13</v>
      </c>
      <c r="G44" s="45">
        <v>13</v>
      </c>
      <c r="H44" s="45">
        <v>13</v>
      </c>
      <c r="I44" s="45">
        <v>13</v>
      </c>
      <c r="J44" s="45">
        <v>150</v>
      </c>
      <c r="K44" s="45">
        <v>250</v>
      </c>
      <c r="L44" s="45">
        <v>380</v>
      </c>
      <c r="M44" s="45">
        <v>410</v>
      </c>
      <c r="N44" s="45">
        <v>145</v>
      </c>
      <c r="O44" s="45">
        <v>80</v>
      </c>
      <c r="P44" s="45">
        <v>65</v>
      </c>
      <c r="Q44" s="45">
        <v>50</v>
      </c>
      <c r="R44" s="45">
        <v>35</v>
      </c>
      <c r="S44" s="45">
        <v>35</v>
      </c>
      <c r="T44" s="45">
        <v>40</v>
      </c>
      <c r="U44" s="45">
        <v>50</v>
      </c>
      <c r="V44" s="45">
        <v>230</v>
      </c>
      <c r="W44" s="45">
        <v>456</v>
      </c>
      <c r="X44" s="45">
        <v>456</v>
      </c>
      <c r="Y44" s="45">
        <v>456</v>
      </c>
      <c r="Z44" s="45">
        <v>420</v>
      </c>
      <c r="AA44" s="45">
        <v>320</v>
      </c>
      <c r="AB44" s="45">
        <v>240</v>
      </c>
      <c r="AC44" s="45">
        <v>200</v>
      </c>
      <c r="AD44" s="45">
        <v>200</v>
      </c>
      <c r="AE44" s="45">
        <v>150</v>
      </c>
      <c r="AF44" s="45">
        <v>150</v>
      </c>
      <c r="AG44" s="52">
        <v>456</v>
      </c>
      <c r="AH44" s="48">
        <f t="shared" si="2"/>
        <v>456</v>
      </c>
      <c r="AI44" s="49">
        <f t="shared" si="3"/>
        <v>13</v>
      </c>
      <c r="AK44" s="50"/>
    </row>
    <row r="45" spans="1:88" x14ac:dyDescent="0.25">
      <c r="A45" s="64" t="s">
        <v>50</v>
      </c>
      <c r="B45" s="65">
        <v>60</v>
      </c>
      <c r="C45" s="65">
        <v>60</v>
      </c>
      <c r="D45" s="65">
        <v>60</v>
      </c>
      <c r="E45" s="65">
        <v>60</v>
      </c>
      <c r="F45" s="65">
        <v>60</v>
      </c>
      <c r="G45" s="65">
        <v>60</v>
      </c>
      <c r="H45" s="65">
        <v>60</v>
      </c>
      <c r="I45" s="65">
        <v>60</v>
      </c>
      <c r="J45" s="65">
        <v>60</v>
      </c>
      <c r="K45" s="65">
        <v>60</v>
      </c>
      <c r="L45" s="65">
        <v>60</v>
      </c>
      <c r="M45" s="65">
        <v>60</v>
      </c>
      <c r="N45" s="65">
        <v>55</v>
      </c>
      <c r="O45" s="65">
        <v>60</v>
      </c>
      <c r="P45" s="65">
        <v>60</v>
      </c>
      <c r="Q45" s="65">
        <v>60</v>
      </c>
      <c r="R45" s="65">
        <v>60</v>
      </c>
      <c r="S45" s="65">
        <v>58</v>
      </c>
      <c r="T45" s="65">
        <v>58</v>
      </c>
      <c r="U45" s="65">
        <v>58</v>
      </c>
      <c r="V45" s="65">
        <v>58</v>
      </c>
      <c r="W45" s="65">
        <v>58</v>
      </c>
      <c r="X45" s="65">
        <v>58</v>
      </c>
      <c r="Y45" s="65">
        <v>58</v>
      </c>
      <c r="Z45" s="65">
        <v>58</v>
      </c>
      <c r="AA45" s="65">
        <v>58</v>
      </c>
      <c r="AB45" s="65">
        <v>58</v>
      </c>
      <c r="AC45" s="65">
        <v>58</v>
      </c>
      <c r="AD45" s="65">
        <v>58</v>
      </c>
      <c r="AE45" s="65">
        <v>58</v>
      </c>
      <c r="AF45" s="65">
        <v>60</v>
      </c>
      <c r="AG45" s="55">
        <v>60</v>
      </c>
      <c r="AH45" s="48">
        <f t="shared" si="2"/>
        <v>60</v>
      </c>
      <c r="AI45" s="49">
        <f t="shared" si="3"/>
        <v>55</v>
      </c>
      <c r="AK45" s="50"/>
    </row>
    <row r="46" spans="1:88" ht="15.75" thickBot="1" x14ac:dyDescent="0.3">
      <c r="A46" s="66" t="s">
        <v>51</v>
      </c>
      <c r="B46" s="67">
        <v>21.1</v>
      </c>
      <c r="C46" s="67">
        <v>21.6</v>
      </c>
      <c r="D46" s="67">
        <v>21.7</v>
      </c>
      <c r="E46" s="67">
        <v>21.7</v>
      </c>
      <c r="F46" s="67">
        <v>21.7</v>
      </c>
      <c r="G46" s="67">
        <v>21.7</v>
      </c>
      <c r="H46" s="67">
        <v>21.7</v>
      </c>
      <c r="I46" s="67">
        <v>21.7</v>
      </c>
      <c r="J46" s="67">
        <v>21.6</v>
      </c>
      <c r="K46" s="67">
        <v>21</v>
      </c>
      <c r="L46" s="67">
        <v>21.6</v>
      </c>
      <c r="M46" s="67">
        <v>21.6</v>
      </c>
      <c r="N46" s="67">
        <v>21.6</v>
      </c>
      <c r="O46" s="67">
        <v>21.6</v>
      </c>
      <c r="P46" s="67">
        <v>21.6</v>
      </c>
      <c r="Q46" s="67">
        <v>21.6</v>
      </c>
      <c r="R46" s="67">
        <v>20.399999999999999</v>
      </c>
      <c r="S46" s="67">
        <v>20.3</v>
      </c>
      <c r="T46" s="67">
        <v>20.399999999999999</v>
      </c>
      <c r="U46" s="67">
        <v>20.399999999999999</v>
      </c>
      <c r="V46" s="67">
        <v>19.3</v>
      </c>
      <c r="W46" s="67">
        <v>19.3</v>
      </c>
      <c r="X46" s="67">
        <v>22.2</v>
      </c>
      <c r="Y46" s="67">
        <v>22.2</v>
      </c>
      <c r="Z46" s="67">
        <v>22.2</v>
      </c>
      <c r="AA46" s="67">
        <v>21.9</v>
      </c>
      <c r="AB46" s="67">
        <v>21.9</v>
      </c>
      <c r="AC46" s="67">
        <v>21.9</v>
      </c>
      <c r="AD46" s="67">
        <v>21.9</v>
      </c>
      <c r="AE46" s="67">
        <v>21.9</v>
      </c>
      <c r="AF46" s="67">
        <v>21.9</v>
      </c>
      <c r="AG46" s="68">
        <v>22.1</v>
      </c>
      <c r="AH46" s="48">
        <f t="shared" si="2"/>
        <v>22.2</v>
      </c>
      <c r="AI46" s="49">
        <f t="shared" si="3"/>
        <v>19.3</v>
      </c>
      <c r="AK46" s="50"/>
    </row>
    <row r="47" spans="1:88" ht="15.75" thickBot="1" x14ac:dyDescent="0.3">
      <c r="A47" s="69" t="s">
        <v>52</v>
      </c>
      <c r="B47" s="61">
        <f t="shared" ref="B47" si="5">SUM(B44:B46)</f>
        <v>191.1</v>
      </c>
      <c r="C47" s="61">
        <f t="shared" ref="C47:AG47" si="6">SUM(C44:C46)</f>
        <v>94.6</v>
      </c>
      <c r="D47" s="61">
        <f t="shared" si="6"/>
        <v>94.7</v>
      </c>
      <c r="E47" s="61">
        <f t="shared" si="6"/>
        <v>94.7</v>
      </c>
      <c r="F47" s="61">
        <f t="shared" si="6"/>
        <v>94.7</v>
      </c>
      <c r="G47" s="61">
        <f t="shared" si="6"/>
        <v>94.7</v>
      </c>
      <c r="H47" s="61">
        <f t="shared" si="6"/>
        <v>94.7</v>
      </c>
      <c r="I47" s="61">
        <f t="shared" si="6"/>
        <v>94.7</v>
      </c>
      <c r="J47" s="61">
        <f t="shared" si="6"/>
        <v>231.6</v>
      </c>
      <c r="K47" s="61">
        <f t="shared" si="6"/>
        <v>331</v>
      </c>
      <c r="L47" s="61">
        <f t="shared" si="6"/>
        <v>461.6</v>
      </c>
      <c r="M47" s="61">
        <f t="shared" si="6"/>
        <v>491.6</v>
      </c>
      <c r="N47" s="61">
        <f t="shared" si="6"/>
        <v>221.6</v>
      </c>
      <c r="O47" s="61">
        <f t="shared" si="6"/>
        <v>161.6</v>
      </c>
      <c r="P47" s="61">
        <f t="shared" si="6"/>
        <v>146.6</v>
      </c>
      <c r="Q47" s="61">
        <f t="shared" si="6"/>
        <v>131.6</v>
      </c>
      <c r="R47" s="61">
        <f t="shared" si="6"/>
        <v>115.4</v>
      </c>
      <c r="S47" s="61">
        <f t="shared" si="6"/>
        <v>113.3</v>
      </c>
      <c r="T47" s="61">
        <f t="shared" si="6"/>
        <v>118.4</v>
      </c>
      <c r="U47" s="61">
        <f t="shared" si="6"/>
        <v>128.4</v>
      </c>
      <c r="V47" s="61">
        <f t="shared" si="6"/>
        <v>307.3</v>
      </c>
      <c r="W47" s="61">
        <f t="shared" si="6"/>
        <v>533.29999999999995</v>
      </c>
      <c r="X47" s="61">
        <f t="shared" si="6"/>
        <v>536.20000000000005</v>
      </c>
      <c r="Y47" s="61">
        <f t="shared" si="6"/>
        <v>536.20000000000005</v>
      </c>
      <c r="Z47" s="61">
        <f t="shared" si="6"/>
        <v>500.2</v>
      </c>
      <c r="AA47" s="61">
        <f t="shared" si="6"/>
        <v>399.9</v>
      </c>
      <c r="AB47" s="61">
        <f t="shared" si="6"/>
        <v>319.89999999999998</v>
      </c>
      <c r="AC47" s="61">
        <f t="shared" si="6"/>
        <v>279.89999999999998</v>
      </c>
      <c r="AD47" s="61">
        <f t="shared" si="6"/>
        <v>279.89999999999998</v>
      </c>
      <c r="AE47" s="61">
        <f t="shared" si="6"/>
        <v>229.9</v>
      </c>
      <c r="AF47" s="61">
        <f t="shared" si="6"/>
        <v>231.9</v>
      </c>
      <c r="AG47" s="62">
        <f t="shared" si="6"/>
        <v>538.1</v>
      </c>
      <c r="AH47" s="48">
        <f t="shared" si="2"/>
        <v>536.20000000000005</v>
      </c>
      <c r="AI47" s="49">
        <f t="shared" si="3"/>
        <v>94.6</v>
      </c>
      <c r="AK47" s="50"/>
    </row>
    <row r="48" spans="1:88" x14ac:dyDescent="0.25">
      <c r="A48" s="44" t="s">
        <v>53</v>
      </c>
      <c r="B48" s="45">
        <v>80</v>
      </c>
      <c r="C48" s="45">
        <v>60.9</v>
      </c>
      <c r="D48" s="45">
        <v>60.8</v>
      </c>
      <c r="E48" s="45">
        <v>60.8</v>
      </c>
      <c r="F48" s="45">
        <v>60.9</v>
      </c>
      <c r="G48" s="45">
        <v>121.8</v>
      </c>
      <c r="H48" s="45">
        <v>141.69999999999999</v>
      </c>
      <c r="I48" s="45">
        <v>131.6</v>
      </c>
      <c r="J48" s="45">
        <v>131.5</v>
      </c>
      <c r="K48" s="45">
        <v>141.6</v>
      </c>
      <c r="L48" s="45">
        <v>141.6</v>
      </c>
      <c r="M48" s="45">
        <v>141.6</v>
      </c>
      <c r="N48" s="45">
        <v>141.6</v>
      </c>
      <c r="O48" s="45">
        <v>141.6</v>
      </c>
      <c r="P48" s="45">
        <v>141.6</v>
      </c>
      <c r="Q48" s="45">
        <v>111</v>
      </c>
      <c r="R48" s="45">
        <v>111.5</v>
      </c>
      <c r="S48" s="45">
        <v>111.5</v>
      </c>
      <c r="T48" s="45">
        <v>115.5</v>
      </c>
      <c r="U48" s="45">
        <v>143.69999999999999</v>
      </c>
      <c r="V48" s="45">
        <v>143.69999999999999</v>
      </c>
      <c r="W48" s="45">
        <v>144</v>
      </c>
      <c r="X48" s="45">
        <v>143.6</v>
      </c>
      <c r="Y48" s="45">
        <v>143.6</v>
      </c>
      <c r="Z48" s="45">
        <v>143.6</v>
      </c>
      <c r="AA48" s="45">
        <v>143.6</v>
      </c>
      <c r="AB48" s="45">
        <v>143.4</v>
      </c>
      <c r="AC48" s="45">
        <v>143.19999999999999</v>
      </c>
      <c r="AD48" s="45">
        <v>143.1</v>
      </c>
      <c r="AE48" s="45">
        <v>143.5</v>
      </c>
      <c r="AF48" s="45">
        <v>138.5</v>
      </c>
      <c r="AG48" s="52">
        <v>144</v>
      </c>
      <c r="AH48" s="48">
        <f t="shared" si="2"/>
        <v>144</v>
      </c>
      <c r="AI48" s="49">
        <f t="shared" si="3"/>
        <v>60.8</v>
      </c>
      <c r="AK48" s="50"/>
    </row>
    <row r="49" spans="1:41" x14ac:dyDescent="0.25">
      <c r="A49" s="54" t="s">
        <v>54</v>
      </c>
      <c r="B49" s="65">
        <v>45.2</v>
      </c>
      <c r="C49" s="65">
        <v>25.7</v>
      </c>
      <c r="D49" s="65">
        <v>25.3</v>
      </c>
      <c r="E49" s="65">
        <v>25.3</v>
      </c>
      <c r="F49" s="65">
        <v>61.1</v>
      </c>
      <c r="G49" s="65">
        <v>59.7</v>
      </c>
      <c r="H49" s="65">
        <v>71.8</v>
      </c>
      <c r="I49" s="65">
        <v>66.900000000000006</v>
      </c>
      <c r="J49" s="65">
        <v>70.900000000000006</v>
      </c>
      <c r="K49" s="65">
        <v>71.599999999999994</v>
      </c>
      <c r="L49" s="65">
        <v>71.599999999999994</v>
      </c>
      <c r="M49" s="65">
        <v>71.599999999999994</v>
      </c>
      <c r="N49" s="65">
        <v>71.599999999999994</v>
      </c>
      <c r="O49" s="65">
        <v>71.599999999999994</v>
      </c>
      <c r="P49" s="65">
        <v>71.599999999999994</v>
      </c>
      <c r="Q49" s="45">
        <v>52.3</v>
      </c>
      <c r="R49" s="45">
        <v>47</v>
      </c>
      <c r="S49" s="45">
        <v>47</v>
      </c>
      <c r="T49" s="45">
        <v>62.7</v>
      </c>
      <c r="U49" s="65">
        <v>61.8</v>
      </c>
      <c r="V49" s="65">
        <v>53.6</v>
      </c>
      <c r="W49" s="65">
        <v>70</v>
      </c>
      <c r="X49" s="65">
        <v>69.3</v>
      </c>
      <c r="Y49" s="65">
        <v>69.3</v>
      </c>
      <c r="Z49" s="65">
        <v>69.3</v>
      </c>
      <c r="AA49" s="65">
        <v>69.3</v>
      </c>
      <c r="AB49" s="65">
        <v>70.099999999999994</v>
      </c>
      <c r="AC49" s="65">
        <v>71.599999999999994</v>
      </c>
      <c r="AD49" s="65">
        <v>71.8</v>
      </c>
      <c r="AE49" s="65">
        <v>51.9</v>
      </c>
      <c r="AF49" s="65">
        <v>50.2</v>
      </c>
      <c r="AG49" s="55">
        <v>70</v>
      </c>
      <c r="AH49" s="48">
        <f t="shared" si="2"/>
        <v>71.8</v>
      </c>
      <c r="AI49" s="49">
        <f t="shared" si="3"/>
        <v>25.3</v>
      </c>
      <c r="AK49" s="50"/>
    </row>
    <row r="50" spans="1:41" x14ac:dyDescent="0.25">
      <c r="A50" s="54" t="s">
        <v>55</v>
      </c>
      <c r="B50" s="65">
        <v>62.2</v>
      </c>
      <c r="C50" s="65">
        <v>62.3</v>
      </c>
      <c r="D50" s="65">
        <v>70.599999999999994</v>
      </c>
      <c r="E50" s="65">
        <v>70.599999999999994</v>
      </c>
      <c r="F50" s="65">
        <v>70.900000000000006</v>
      </c>
      <c r="G50" s="65">
        <v>70.8</v>
      </c>
      <c r="H50" s="65">
        <v>70</v>
      </c>
      <c r="I50" s="65">
        <v>70.099999999999994</v>
      </c>
      <c r="J50" s="65">
        <v>69.7</v>
      </c>
      <c r="K50" s="65">
        <v>69.3</v>
      </c>
      <c r="L50" s="65">
        <v>69.3</v>
      </c>
      <c r="M50" s="65">
        <v>69.3</v>
      </c>
      <c r="N50" s="65">
        <v>69.3</v>
      </c>
      <c r="O50" s="65">
        <v>69.3</v>
      </c>
      <c r="P50" s="65">
        <v>69.3</v>
      </c>
      <c r="Q50" s="45">
        <v>55.7</v>
      </c>
      <c r="R50" s="45">
        <v>58.4</v>
      </c>
      <c r="S50" s="45">
        <v>58.4</v>
      </c>
      <c r="T50" s="45">
        <v>70</v>
      </c>
      <c r="U50" s="65">
        <v>69.900000000000006</v>
      </c>
      <c r="V50" s="65">
        <v>69.7</v>
      </c>
      <c r="W50" s="65">
        <v>70</v>
      </c>
      <c r="X50" s="65">
        <v>69.400000000000006</v>
      </c>
      <c r="Y50" s="65">
        <v>69.400000000000006</v>
      </c>
      <c r="Z50" s="65">
        <v>69.400000000000006</v>
      </c>
      <c r="AA50" s="65">
        <v>69.400000000000006</v>
      </c>
      <c r="AB50" s="65">
        <v>69</v>
      </c>
      <c r="AC50" s="65">
        <v>69.3</v>
      </c>
      <c r="AD50" s="65">
        <v>69.3</v>
      </c>
      <c r="AE50" s="65">
        <v>69.8</v>
      </c>
      <c r="AF50" s="65">
        <v>69.900000000000006</v>
      </c>
      <c r="AG50" s="55">
        <v>69</v>
      </c>
      <c r="AH50" s="48">
        <f t="shared" si="2"/>
        <v>70.900000000000006</v>
      </c>
      <c r="AI50" s="49">
        <f t="shared" si="3"/>
        <v>55.7</v>
      </c>
      <c r="AK50" s="50"/>
    </row>
    <row r="51" spans="1:41" x14ac:dyDescent="0.25">
      <c r="A51" s="54" t="s">
        <v>56</v>
      </c>
      <c r="B51" s="57">
        <v>61.5</v>
      </c>
      <c r="C51" s="57">
        <v>61.5</v>
      </c>
      <c r="D51" s="57">
        <v>61.5</v>
      </c>
      <c r="E51" s="57">
        <v>61.5</v>
      </c>
      <c r="F51" s="57">
        <v>61.5</v>
      </c>
      <c r="G51" s="57">
        <v>61.5</v>
      </c>
      <c r="H51" s="57">
        <v>61.5</v>
      </c>
      <c r="I51" s="57">
        <v>61.5</v>
      </c>
      <c r="J51" s="57">
        <v>61.5</v>
      </c>
      <c r="K51" s="57">
        <v>61.5</v>
      </c>
      <c r="L51" s="57">
        <v>61.5</v>
      </c>
      <c r="M51" s="57">
        <v>61.5</v>
      </c>
      <c r="N51" s="57">
        <v>61.5</v>
      </c>
      <c r="O51" s="57">
        <v>61.5</v>
      </c>
      <c r="P51" s="57">
        <v>61.5</v>
      </c>
      <c r="Q51" s="45">
        <v>61.5</v>
      </c>
      <c r="R51" s="45">
        <v>61.5</v>
      </c>
      <c r="S51" s="45">
        <v>61.5</v>
      </c>
      <c r="T51" s="45">
        <v>61.5</v>
      </c>
      <c r="U51" s="45">
        <v>61.5</v>
      </c>
      <c r="V51" s="45">
        <v>61.5</v>
      </c>
      <c r="W51" s="65">
        <v>61.5</v>
      </c>
      <c r="X51" s="65">
        <v>61.5</v>
      </c>
      <c r="Y51" s="65">
        <v>61.5</v>
      </c>
      <c r="Z51" s="65">
        <v>61.5</v>
      </c>
      <c r="AA51" s="65">
        <v>61.5</v>
      </c>
      <c r="AB51" s="57">
        <v>61.5</v>
      </c>
      <c r="AC51" s="57">
        <v>61.5</v>
      </c>
      <c r="AD51" s="57">
        <v>61.5</v>
      </c>
      <c r="AE51" s="57">
        <v>61.5</v>
      </c>
      <c r="AF51" s="57">
        <v>61.5</v>
      </c>
      <c r="AG51" s="55">
        <v>60</v>
      </c>
      <c r="AH51" s="48">
        <f t="shared" si="2"/>
        <v>61.5</v>
      </c>
      <c r="AI51" s="49">
        <f t="shared" si="3"/>
        <v>61.5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14.3</v>
      </c>
      <c r="L52" s="57">
        <v>14.3</v>
      </c>
      <c r="M52" s="65">
        <v>29.2</v>
      </c>
      <c r="N52" s="65">
        <v>29.2</v>
      </c>
      <c r="O52" s="65">
        <v>29.2</v>
      </c>
      <c r="P52" s="65">
        <v>0</v>
      </c>
      <c r="Q52" s="6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0</v>
      </c>
      <c r="W52" s="65">
        <v>15</v>
      </c>
      <c r="X52" s="65">
        <v>14.6</v>
      </c>
      <c r="Y52" s="65">
        <v>14.6</v>
      </c>
      <c r="Z52" s="65">
        <v>14.6</v>
      </c>
      <c r="AA52" s="65">
        <v>14.6</v>
      </c>
      <c r="AB52" s="57">
        <v>13.5</v>
      </c>
      <c r="AC52" s="57">
        <v>14.9</v>
      </c>
      <c r="AD52" s="57">
        <v>14.7</v>
      </c>
      <c r="AE52" s="57">
        <v>0</v>
      </c>
      <c r="AF52" s="57">
        <v>0</v>
      </c>
      <c r="AG52" s="55">
        <v>30</v>
      </c>
      <c r="AH52" s="48">
        <f t="shared" si="2"/>
        <v>29.2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4</v>
      </c>
      <c r="N53" s="65">
        <v>4</v>
      </c>
      <c r="O53" s="65">
        <v>4</v>
      </c>
      <c r="P53" s="65">
        <v>4</v>
      </c>
      <c r="Q53" s="65">
        <v>4</v>
      </c>
      <c r="R53" s="45">
        <v>4</v>
      </c>
      <c r="S53" s="45">
        <v>4</v>
      </c>
      <c r="T53" s="45">
        <v>6</v>
      </c>
      <c r="U53" s="45">
        <v>4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25</v>
      </c>
      <c r="AH53" s="48">
        <f t="shared" si="2"/>
        <v>6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17.399999999999999</v>
      </c>
      <c r="C54" s="65">
        <v>17.399999999999999</v>
      </c>
      <c r="D54" s="65">
        <v>17.399999999999999</v>
      </c>
      <c r="E54" s="65">
        <v>17.399999999999999</v>
      </c>
      <c r="F54" s="65">
        <v>17.399999999999999</v>
      </c>
      <c r="G54" s="65">
        <v>17.399999999999999</v>
      </c>
      <c r="H54" s="65">
        <v>17.399999999999999</v>
      </c>
      <c r="I54" s="65">
        <v>17.399999999999999</v>
      </c>
      <c r="J54" s="65">
        <v>17.399999999999999</v>
      </c>
      <c r="K54" s="65">
        <v>17.399999999999999</v>
      </c>
      <c r="L54" s="65">
        <v>17.399999999999999</v>
      </c>
      <c r="M54" s="65">
        <v>17.399999999999999</v>
      </c>
      <c r="N54" s="65">
        <v>17.399999999999999</v>
      </c>
      <c r="O54" s="65">
        <v>17.399999999999999</v>
      </c>
      <c r="P54" s="65">
        <v>17.399999999999999</v>
      </c>
      <c r="Q54" s="65">
        <v>17.399999999999999</v>
      </c>
      <c r="R54" s="65">
        <v>17.399999999999999</v>
      </c>
      <c r="S54" s="65">
        <v>17.399999999999999</v>
      </c>
      <c r="T54" s="65">
        <v>17.399999999999999</v>
      </c>
      <c r="U54" s="65">
        <v>17.399999999999999</v>
      </c>
      <c r="V54" s="65">
        <v>17.399999999999999</v>
      </c>
      <c r="W54" s="45">
        <v>11.4</v>
      </c>
      <c r="X54" s="45">
        <v>17.5</v>
      </c>
      <c r="Y54" s="45">
        <v>17.5</v>
      </c>
      <c r="Z54" s="45">
        <v>17.5</v>
      </c>
      <c r="AA54" s="45">
        <v>17.5</v>
      </c>
      <c r="AB54" s="65">
        <v>17.5</v>
      </c>
      <c r="AC54" s="65">
        <v>17.5</v>
      </c>
      <c r="AD54" s="65">
        <v>17.5</v>
      </c>
      <c r="AE54" s="65">
        <v>17.5</v>
      </c>
      <c r="AF54" s="65">
        <v>17.5</v>
      </c>
      <c r="AG54" s="55">
        <v>24</v>
      </c>
      <c r="AH54" s="48">
        <f t="shared" si="2"/>
        <v>17.5</v>
      </c>
      <c r="AI54" s="49">
        <f t="shared" si="3"/>
        <v>11.4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15</v>
      </c>
      <c r="C56" s="65">
        <v>14.9</v>
      </c>
      <c r="D56" s="65">
        <v>15</v>
      </c>
      <c r="E56" s="65">
        <v>15</v>
      </c>
      <c r="F56" s="65">
        <v>14.9</v>
      </c>
      <c r="G56" s="65">
        <v>14.9</v>
      </c>
      <c r="H56" s="65">
        <v>14.4</v>
      </c>
      <c r="I56" s="65">
        <v>14.3</v>
      </c>
      <c r="J56" s="65">
        <v>14.3</v>
      </c>
      <c r="K56" s="65">
        <v>14.3</v>
      </c>
      <c r="L56" s="65">
        <v>14.3</v>
      </c>
      <c r="M56" s="65">
        <v>14.3</v>
      </c>
      <c r="N56" s="65">
        <v>14.3</v>
      </c>
      <c r="O56" s="65">
        <v>14.3</v>
      </c>
      <c r="P56" s="65">
        <v>14.3</v>
      </c>
      <c r="Q56" s="65">
        <v>14.3</v>
      </c>
      <c r="R56" s="65">
        <v>14.3</v>
      </c>
      <c r="S56" s="65">
        <v>14.3</v>
      </c>
      <c r="T56" s="65">
        <v>14.3</v>
      </c>
      <c r="U56" s="65">
        <v>14.3</v>
      </c>
      <c r="V56" s="65">
        <v>14.3</v>
      </c>
      <c r="W56" s="65">
        <v>13.6</v>
      </c>
      <c r="X56" s="65">
        <v>13.6</v>
      </c>
      <c r="Y56" s="65">
        <v>13.6</v>
      </c>
      <c r="Z56" s="65">
        <v>13.6</v>
      </c>
      <c r="AA56" s="65">
        <v>13.6</v>
      </c>
      <c r="AB56" s="65">
        <v>14.1</v>
      </c>
      <c r="AC56" s="65">
        <v>14.2</v>
      </c>
      <c r="AD56" s="65">
        <v>14.4</v>
      </c>
      <c r="AE56" s="65">
        <v>14.4</v>
      </c>
      <c r="AF56" s="65">
        <v>14.4</v>
      </c>
      <c r="AG56" s="55">
        <v>14.1</v>
      </c>
      <c r="AH56" s="48">
        <f t="shared" si="2"/>
        <v>15</v>
      </c>
      <c r="AI56" s="49">
        <f t="shared" si="3"/>
        <v>13.6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9</v>
      </c>
      <c r="C57" s="65">
        <v>9</v>
      </c>
      <c r="D57" s="65">
        <v>9.3000000000000007</v>
      </c>
      <c r="E57" s="65">
        <v>9.3000000000000007</v>
      </c>
      <c r="F57" s="65">
        <v>9.5</v>
      </c>
      <c r="G57" s="65">
        <v>9.5</v>
      </c>
      <c r="H57" s="65">
        <v>9.5</v>
      </c>
      <c r="I57" s="65">
        <v>9.5</v>
      </c>
      <c r="J57" s="65">
        <v>9.5</v>
      </c>
      <c r="K57" s="65">
        <v>9.5</v>
      </c>
      <c r="L57" s="65">
        <v>9.5</v>
      </c>
      <c r="M57" s="65">
        <v>9.5</v>
      </c>
      <c r="N57" s="65">
        <v>9.5</v>
      </c>
      <c r="O57" s="65">
        <v>9.5</v>
      </c>
      <c r="P57" s="65">
        <v>9.5</v>
      </c>
      <c r="Q57" s="65">
        <v>9.5</v>
      </c>
      <c r="R57" s="65">
        <v>9.5</v>
      </c>
      <c r="S57" s="65">
        <v>9.5</v>
      </c>
      <c r="T57" s="65">
        <v>9.5</v>
      </c>
      <c r="U57" s="65">
        <v>9.5</v>
      </c>
      <c r="V57" s="65">
        <v>9.5</v>
      </c>
      <c r="W57" s="65">
        <v>9.3000000000000007</v>
      </c>
      <c r="X57" s="65">
        <v>10.3</v>
      </c>
      <c r="Y57" s="65">
        <v>10.3</v>
      </c>
      <c r="Z57" s="65">
        <v>10.3</v>
      </c>
      <c r="AA57" s="65">
        <v>10.3</v>
      </c>
      <c r="AB57" s="65">
        <v>9.5</v>
      </c>
      <c r="AC57" s="65">
        <v>6.3</v>
      </c>
      <c r="AD57" s="65">
        <v>7.3</v>
      </c>
      <c r="AE57" s="65">
        <v>7.3</v>
      </c>
      <c r="AF57" s="65">
        <v>9.1999999999999993</v>
      </c>
      <c r="AG57" s="55">
        <v>14</v>
      </c>
      <c r="AH57" s="48">
        <f t="shared" si="2"/>
        <v>10.3</v>
      </c>
      <c r="AI57" s="49">
        <f t="shared" si="3"/>
        <v>6.3</v>
      </c>
      <c r="AK57" s="50"/>
    </row>
    <row r="58" spans="1:41" x14ac:dyDescent="0.25">
      <c r="A58" s="54" t="s">
        <v>63</v>
      </c>
      <c r="B58" s="65">
        <v>9</v>
      </c>
      <c r="C58" s="65">
        <v>9</v>
      </c>
      <c r="D58" s="65">
        <v>9</v>
      </c>
      <c r="E58" s="65">
        <v>9</v>
      </c>
      <c r="F58" s="65">
        <v>9</v>
      </c>
      <c r="G58" s="65">
        <v>9</v>
      </c>
      <c r="H58" s="65">
        <v>9</v>
      </c>
      <c r="I58" s="65">
        <v>9</v>
      </c>
      <c r="J58" s="65">
        <v>9</v>
      </c>
      <c r="K58" s="65">
        <v>9</v>
      </c>
      <c r="L58" s="65">
        <v>9</v>
      </c>
      <c r="M58" s="65">
        <v>9</v>
      </c>
      <c r="N58" s="65">
        <v>9</v>
      </c>
      <c r="O58" s="65">
        <v>9</v>
      </c>
      <c r="P58" s="65">
        <v>9</v>
      </c>
      <c r="Q58" s="65">
        <v>9</v>
      </c>
      <c r="R58" s="65">
        <v>9</v>
      </c>
      <c r="S58" s="65">
        <v>7.8</v>
      </c>
      <c r="T58" s="65">
        <v>7.8</v>
      </c>
      <c r="U58" s="65">
        <v>7.8</v>
      </c>
      <c r="V58" s="65">
        <v>7.8</v>
      </c>
      <c r="W58" s="65">
        <v>7.8</v>
      </c>
      <c r="X58" s="65">
        <v>7.8</v>
      </c>
      <c r="Y58" s="65">
        <v>7.8</v>
      </c>
      <c r="Z58" s="65">
        <v>7.8</v>
      </c>
      <c r="AA58" s="65">
        <v>7.8</v>
      </c>
      <c r="AB58" s="65">
        <v>9</v>
      </c>
      <c r="AC58" s="65">
        <v>9</v>
      </c>
      <c r="AD58" s="65">
        <v>9</v>
      </c>
      <c r="AE58" s="65">
        <v>9</v>
      </c>
      <c r="AF58" s="65">
        <v>9</v>
      </c>
      <c r="AG58" s="55">
        <v>10.050000000000001</v>
      </c>
      <c r="AH58" s="48">
        <f t="shared" si="2"/>
        <v>9</v>
      </c>
      <c r="AI58" s="49">
        <f t="shared" si="3"/>
        <v>7.8</v>
      </c>
      <c r="AK58" s="50"/>
    </row>
    <row r="59" spans="1:41" x14ac:dyDescent="0.25">
      <c r="A59" s="54" t="s">
        <v>64</v>
      </c>
      <c r="B59" s="65">
        <v>4.5999999999999996</v>
      </c>
      <c r="C59" s="65">
        <v>4.5999999999999996</v>
      </c>
      <c r="D59" s="65">
        <v>4.5999999999999996</v>
      </c>
      <c r="E59" s="65">
        <v>4.5999999999999996</v>
      </c>
      <c r="F59" s="65">
        <v>4.5999999999999996</v>
      </c>
      <c r="G59" s="65">
        <v>4.5999999999999996</v>
      </c>
      <c r="H59" s="65">
        <v>4.5999999999999996</v>
      </c>
      <c r="I59" s="65">
        <v>4.5999999999999996</v>
      </c>
      <c r="J59" s="65">
        <v>4.5999999999999996</v>
      </c>
      <c r="K59" s="65">
        <v>4.5999999999999996</v>
      </c>
      <c r="L59" s="65">
        <v>4.5999999999999996</v>
      </c>
      <c r="M59" s="65">
        <v>4.5999999999999996</v>
      </c>
      <c r="N59" s="65">
        <v>4.5999999999999996</v>
      </c>
      <c r="O59" s="65">
        <v>4.5999999999999996</v>
      </c>
      <c r="P59" s="65">
        <v>4.5999999999999996</v>
      </c>
      <c r="Q59" s="65">
        <v>4.5999999999999996</v>
      </c>
      <c r="R59" s="65">
        <v>4.5999999999999996</v>
      </c>
      <c r="S59" s="65">
        <v>4.5999999999999996</v>
      </c>
      <c r="T59" s="65">
        <v>4.5999999999999996</v>
      </c>
      <c r="U59" s="65">
        <v>4.5999999999999996</v>
      </c>
      <c r="V59" s="65">
        <v>4.5999999999999996</v>
      </c>
      <c r="W59" s="65">
        <v>4.5999999999999996</v>
      </c>
      <c r="X59" s="65">
        <v>4.5999999999999996</v>
      </c>
      <c r="Y59" s="65">
        <v>4.5999999999999996</v>
      </c>
      <c r="Z59" s="65">
        <v>4.5999999999999996</v>
      </c>
      <c r="AA59" s="65">
        <v>4.5999999999999996</v>
      </c>
      <c r="AB59" s="65">
        <v>4.5999999999999996</v>
      </c>
      <c r="AC59" s="65">
        <v>4.5999999999999996</v>
      </c>
      <c r="AD59" s="65">
        <v>4.5999999999999996</v>
      </c>
      <c r="AE59" s="65">
        <v>4.5999999999999996</v>
      </c>
      <c r="AF59" s="65">
        <v>4.5999999999999996</v>
      </c>
      <c r="AG59" s="55">
        <v>6.2</v>
      </c>
      <c r="AH59" s="48">
        <f t="shared" si="2"/>
        <v>4.5999999999999996</v>
      </c>
      <c r="AI59" s="49">
        <f t="shared" si="3"/>
        <v>4.5999999999999996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" si="7">SUM(B48:B60)</f>
        <v>307.44000000000005</v>
      </c>
      <c r="C61" s="61">
        <f t="shared" ref="C61:AG61" si="8">SUM(C48:C60)</f>
        <v>268.84000000000003</v>
      </c>
      <c r="D61" s="61">
        <f t="shared" si="8"/>
        <v>277.04000000000002</v>
      </c>
      <c r="E61" s="61">
        <f t="shared" si="8"/>
        <v>277.04000000000002</v>
      </c>
      <c r="F61" s="61">
        <f t="shared" si="8"/>
        <v>313.34000000000003</v>
      </c>
      <c r="G61" s="61">
        <f t="shared" si="8"/>
        <v>372.74</v>
      </c>
      <c r="H61" s="61">
        <f t="shared" si="8"/>
        <v>403.44</v>
      </c>
      <c r="I61" s="61">
        <f t="shared" si="8"/>
        <v>388.44000000000005</v>
      </c>
      <c r="J61" s="61">
        <f t="shared" si="8"/>
        <v>391.94000000000005</v>
      </c>
      <c r="K61" s="61">
        <f t="shared" si="8"/>
        <v>416.64000000000004</v>
      </c>
      <c r="L61" s="61">
        <f t="shared" si="8"/>
        <v>416.64000000000004</v>
      </c>
      <c r="M61" s="61">
        <f t="shared" si="8"/>
        <v>435.54</v>
      </c>
      <c r="N61" s="61">
        <f t="shared" si="8"/>
        <v>435.54</v>
      </c>
      <c r="O61" s="61">
        <f t="shared" si="8"/>
        <v>435.54</v>
      </c>
      <c r="P61" s="61">
        <f t="shared" si="8"/>
        <v>406.34000000000003</v>
      </c>
      <c r="Q61" s="61">
        <f t="shared" si="8"/>
        <v>342.84000000000003</v>
      </c>
      <c r="R61" s="61">
        <f t="shared" si="8"/>
        <v>340.74</v>
      </c>
      <c r="S61" s="61">
        <f t="shared" si="8"/>
        <v>339.54</v>
      </c>
      <c r="T61" s="61">
        <f t="shared" si="8"/>
        <v>372.84000000000003</v>
      </c>
      <c r="U61" s="61">
        <f t="shared" si="8"/>
        <v>398.04</v>
      </c>
      <c r="V61" s="61">
        <f t="shared" si="8"/>
        <v>385.64000000000004</v>
      </c>
      <c r="W61" s="61">
        <f t="shared" si="8"/>
        <v>410.74000000000007</v>
      </c>
      <c r="X61" s="61">
        <f t="shared" si="8"/>
        <v>415.74000000000007</v>
      </c>
      <c r="Y61" s="61">
        <f t="shared" si="8"/>
        <v>415.74000000000007</v>
      </c>
      <c r="Z61" s="61">
        <f t="shared" si="8"/>
        <v>415.74000000000007</v>
      </c>
      <c r="AA61" s="61">
        <f t="shared" si="8"/>
        <v>415.74000000000007</v>
      </c>
      <c r="AB61" s="61">
        <f t="shared" si="8"/>
        <v>415.74000000000007</v>
      </c>
      <c r="AC61" s="61">
        <f t="shared" si="8"/>
        <v>415.64</v>
      </c>
      <c r="AD61" s="61">
        <f t="shared" si="8"/>
        <v>416.74</v>
      </c>
      <c r="AE61" s="61">
        <f t="shared" si="8"/>
        <v>383.04</v>
      </c>
      <c r="AF61" s="61">
        <f t="shared" si="8"/>
        <v>378.34000000000003</v>
      </c>
      <c r="AG61" s="62">
        <f t="shared" si="8"/>
        <v>489.91</v>
      </c>
      <c r="AH61" s="48">
        <f t="shared" si="2"/>
        <v>435.54</v>
      </c>
      <c r="AI61" s="49">
        <f t="shared" si="3"/>
        <v>268.84000000000003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40.299999999999997</v>
      </c>
      <c r="Y62" s="45">
        <v>0</v>
      </c>
      <c r="Z62" s="45">
        <v>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52">
        <v>60</v>
      </c>
      <c r="AH62" s="48">
        <f t="shared" si="2"/>
        <v>40.299999999999997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22.1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  <c r="AG63" s="55">
        <v>32</v>
      </c>
      <c r="AH63" s="48">
        <f t="shared" si="2"/>
        <v>22.1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8.1</v>
      </c>
      <c r="Y64" s="67">
        <v>0</v>
      </c>
      <c r="Z64" s="67">
        <v>0</v>
      </c>
      <c r="AA64" s="67">
        <v>0</v>
      </c>
      <c r="AB64" s="67">
        <v>0</v>
      </c>
      <c r="AC64" s="67">
        <v>0</v>
      </c>
      <c r="AD64" s="67">
        <v>0</v>
      </c>
      <c r="AE64" s="67">
        <v>0</v>
      </c>
      <c r="AF64" s="67">
        <v>0</v>
      </c>
      <c r="AG64" s="68">
        <v>14</v>
      </c>
      <c r="AH64" s="48">
        <f t="shared" si="2"/>
        <v>8.1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" si="9">SUM(B62:B64)</f>
        <v>0</v>
      </c>
      <c r="C65" s="61">
        <f t="shared" ref="C65:AG65" si="10">SUM(C62:C64)</f>
        <v>0</v>
      </c>
      <c r="D65" s="61">
        <f t="shared" si="10"/>
        <v>0</v>
      </c>
      <c r="E65" s="61">
        <f t="shared" si="10"/>
        <v>0</v>
      </c>
      <c r="F65" s="61">
        <f t="shared" si="10"/>
        <v>0</v>
      </c>
      <c r="G65" s="61">
        <f t="shared" si="10"/>
        <v>0</v>
      </c>
      <c r="H65" s="61">
        <f t="shared" si="10"/>
        <v>0</v>
      </c>
      <c r="I65" s="61">
        <f t="shared" si="10"/>
        <v>0</v>
      </c>
      <c r="J65" s="61">
        <f t="shared" si="10"/>
        <v>0</v>
      </c>
      <c r="K65" s="61">
        <f t="shared" si="10"/>
        <v>0</v>
      </c>
      <c r="L65" s="61">
        <f t="shared" si="10"/>
        <v>0</v>
      </c>
      <c r="M65" s="61">
        <f t="shared" si="10"/>
        <v>0</v>
      </c>
      <c r="N65" s="61">
        <f t="shared" si="10"/>
        <v>0</v>
      </c>
      <c r="O65" s="61">
        <f t="shared" si="10"/>
        <v>0</v>
      </c>
      <c r="P65" s="61">
        <f t="shared" si="10"/>
        <v>0</v>
      </c>
      <c r="Q65" s="61">
        <f t="shared" si="10"/>
        <v>0</v>
      </c>
      <c r="R65" s="61">
        <f t="shared" si="10"/>
        <v>0</v>
      </c>
      <c r="S65" s="61">
        <f t="shared" si="10"/>
        <v>0</v>
      </c>
      <c r="T65" s="61">
        <f t="shared" si="10"/>
        <v>0</v>
      </c>
      <c r="U65" s="61">
        <f t="shared" si="10"/>
        <v>0</v>
      </c>
      <c r="V65" s="61">
        <f t="shared" si="10"/>
        <v>0</v>
      </c>
      <c r="W65" s="61">
        <f t="shared" si="10"/>
        <v>0</v>
      </c>
      <c r="X65" s="61">
        <f t="shared" si="10"/>
        <v>70.5</v>
      </c>
      <c r="Y65" s="61">
        <f t="shared" si="10"/>
        <v>0</v>
      </c>
      <c r="Z65" s="61">
        <f t="shared" si="10"/>
        <v>0</v>
      </c>
      <c r="AA65" s="61">
        <f t="shared" si="10"/>
        <v>0</v>
      </c>
      <c r="AB65" s="61">
        <f t="shared" si="10"/>
        <v>0</v>
      </c>
      <c r="AC65" s="61">
        <f t="shared" si="10"/>
        <v>0</v>
      </c>
      <c r="AD65" s="61">
        <f t="shared" si="10"/>
        <v>0</v>
      </c>
      <c r="AE65" s="61">
        <f t="shared" si="10"/>
        <v>0</v>
      </c>
      <c r="AF65" s="61">
        <f t="shared" si="10"/>
        <v>0</v>
      </c>
      <c r="AG65" s="62">
        <f t="shared" si="10"/>
        <v>106</v>
      </c>
      <c r="AH65" s="48">
        <f t="shared" si="2"/>
        <v>70.5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52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-210.5</v>
      </c>
      <c r="C68" s="65">
        <v>-95.3</v>
      </c>
      <c r="D68" s="65">
        <v>-96.3</v>
      </c>
      <c r="E68" s="65">
        <v>-120.2</v>
      </c>
      <c r="F68" s="65">
        <v>-106.7</v>
      </c>
      <c r="G68" s="65">
        <v>-78.599999999999994</v>
      </c>
      <c r="H68" s="65">
        <v>-64</v>
      </c>
      <c r="I68" s="65">
        <v>-60.3</v>
      </c>
      <c r="J68" s="65">
        <v>-110.6</v>
      </c>
      <c r="K68" s="65">
        <v>-147</v>
      </c>
      <c r="L68" s="65">
        <v>-177</v>
      </c>
      <c r="M68" s="65">
        <v>-213.5</v>
      </c>
      <c r="N68" s="65">
        <v>-3.7</v>
      </c>
      <c r="O68" s="65">
        <v>1</v>
      </c>
      <c r="P68" s="65">
        <v>-1.6</v>
      </c>
      <c r="Q68" s="65">
        <v>0.3</v>
      </c>
      <c r="R68" s="65">
        <v>8.6999999999999993</v>
      </c>
      <c r="S68" s="65">
        <v>-20</v>
      </c>
      <c r="T68" s="65">
        <v>-11</v>
      </c>
      <c r="U68" s="65">
        <v>-5.3</v>
      </c>
      <c r="V68" s="65">
        <v>-102.1</v>
      </c>
      <c r="W68" s="65">
        <v>-206</v>
      </c>
      <c r="X68" s="65">
        <v>-224.2</v>
      </c>
      <c r="Y68" s="65">
        <v>-251.6</v>
      </c>
      <c r="Z68" s="65">
        <v>-256.89999999999998</v>
      </c>
      <c r="AA68" s="65">
        <v>-203.6</v>
      </c>
      <c r="AB68" s="65">
        <v>-225</v>
      </c>
      <c r="AC68" s="65">
        <v>-215.4</v>
      </c>
      <c r="AD68" s="65">
        <v>-238.4</v>
      </c>
      <c r="AE68" s="65">
        <v>-229.5</v>
      </c>
      <c r="AF68" s="65">
        <v>-224.6</v>
      </c>
      <c r="AG68" s="75"/>
      <c r="AH68" s="48">
        <f t="shared" si="2"/>
        <v>8.6999999999999993</v>
      </c>
      <c r="AI68" s="49">
        <f t="shared" si="3"/>
        <v>-256.89999999999998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7">
        <v>0</v>
      </c>
      <c r="AC73" s="77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7">
        <v>0</v>
      </c>
      <c r="AC74" s="77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6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7">
        <v>0</v>
      </c>
      <c r="AC75" s="77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6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7">
        <v>0</v>
      </c>
      <c r="AC76" s="77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" si="11">SUMIF(B66:B76,"&gt;0")</f>
        <v>0</v>
      </c>
      <c r="C77" s="61">
        <f t="shared" ref="C77:AF77" si="12">SUMIF(C66:C76,"&gt;0")</f>
        <v>0</v>
      </c>
      <c r="D77" s="61">
        <f t="shared" si="12"/>
        <v>0</v>
      </c>
      <c r="E77" s="61">
        <f t="shared" si="12"/>
        <v>0</v>
      </c>
      <c r="F77" s="61">
        <f t="shared" si="12"/>
        <v>0</v>
      </c>
      <c r="G77" s="61">
        <f t="shared" si="12"/>
        <v>0</v>
      </c>
      <c r="H77" s="61">
        <f t="shared" si="12"/>
        <v>0</v>
      </c>
      <c r="I77" s="61">
        <f t="shared" si="12"/>
        <v>0</v>
      </c>
      <c r="J77" s="61">
        <f t="shared" si="12"/>
        <v>0</v>
      </c>
      <c r="K77" s="61">
        <f t="shared" si="12"/>
        <v>0</v>
      </c>
      <c r="L77" s="61">
        <f t="shared" si="12"/>
        <v>0</v>
      </c>
      <c r="M77" s="61">
        <f t="shared" si="12"/>
        <v>0</v>
      </c>
      <c r="N77" s="61">
        <f t="shared" si="12"/>
        <v>0</v>
      </c>
      <c r="O77" s="61">
        <f t="shared" si="12"/>
        <v>1</v>
      </c>
      <c r="P77" s="61">
        <f t="shared" si="12"/>
        <v>0</v>
      </c>
      <c r="Q77" s="61">
        <f t="shared" si="12"/>
        <v>0.3</v>
      </c>
      <c r="R77" s="61">
        <f t="shared" si="12"/>
        <v>8.6999999999999993</v>
      </c>
      <c r="S77" s="61">
        <f t="shared" si="12"/>
        <v>0</v>
      </c>
      <c r="T77" s="61">
        <f t="shared" si="12"/>
        <v>0</v>
      </c>
      <c r="U77" s="61">
        <f t="shared" si="12"/>
        <v>0</v>
      </c>
      <c r="V77" s="61">
        <f t="shared" si="12"/>
        <v>0</v>
      </c>
      <c r="W77" s="61">
        <f t="shared" si="12"/>
        <v>0</v>
      </c>
      <c r="X77" s="61">
        <f t="shared" si="12"/>
        <v>0</v>
      </c>
      <c r="Y77" s="61">
        <f t="shared" si="12"/>
        <v>0</v>
      </c>
      <c r="Z77" s="61">
        <f t="shared" si="12"/>
        <v>0</v>
      </c>
      <c r="AA77" s="61">
        <f t="shared" si="12"/>
        <v>0</v>
      </c>
      <c r="AB77" s="61">
        <f t="shared" si="12"/>
        <v>0</v>
      </c>
      <c r="AC77" s="61">
        <f t="shared" si="12"/>
        <v>0</v>
      </c>
      <c r="AD77" s="61">
        <f t="shared" si="12"/>
        <v>0</v>
      </c>
      <c r="AE77" s="61">
        <f t="shared" si="12"/>
        <v>0</v>
      </c>
      <c r="AF77" s="61">
        <f t="shared" si="12"/>
        <v>0</v>
      </c>
      <c r="AG77" s="81">
        <f>SUM(AG66:AG76)</f>
        <v>0</v>
      </c>
      <c r="AH77" s="48">
        <f t="shared" si="2"/>
        <v>8.6999999999999993</v>
      </c>
      <c r="AI77" s="49">
        <f t="shared" si="3"/>
        <v>0</v>
      </c>
      <c r="AK77" s="50"/>
    </row>
    <row r="78" spans="1:37" x14ac:dyDescent="0.25">
      <c r="A78" s="44" t="s">
        <v>83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>
        <v>14.4</v>
      </c>
      <c r="AH79" s="48">
        <f t="shared" ref="AH79:AH112" si="13">MAX(B79:AF79)</f>
        <v>0</v>
      </c>
      <c r="AI79" s="49">
        <f t="shared" ref="AI79:AI112" si="14">MIN(B79:AF79)</f>
        <v>0</v>
      </c>
      <c r="AK79" s="50"/>
    </row>
    <row r="80" spans="1:37" ht="15.75" thickBot="1" x14ac:dyDescent="0.3">
      <c r="A80" s="78" t="s">
        <v>85</v>
      </c>
      <c r="B80" s="79">
        <v>0</v>
      </c>
      <c r="C80" s="79">
        <v>0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80">
        <v>2</v>
      </c>
      <c r="AH80" s="48">
        <f t="shared" si="13"/>
        <v>0</v>
      </c>
      <c r="AI80" s="49">
        <f t="shared" si="14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3"/>
        <v>0</v>
      </c>
      <c r="AI81" s="49">
        <f t="shared" si="14"/>
        <v>0</v>
      </c>
    </row>
    <row r="82" spans="1:37" ht="15.75" thickBot="1" x14ac:dyDescent="0.3">
      <c r="A82" s="74" t="s">
        <v>87</v>
      </c>
      <c r="B82" s="83">
        <f t="shared" ref="B82" si="15">B43+B47+B65+B61+B77+B81</f>
        <v>1105.8400000000001</v>
      </c>
      <c r="C82" s="83">
        <f t="shared" ref="C82:AG82" si="16">C43+C47+C65+C61+C77+C81</f>
        <v>947.34000000000015</v>
      </c>
      <c r="D82" s="83">
        <f t="shared" si="16"/>
        <v>955.04000000000019</v>
      </c>
      <c r="E82" s="83">
        <f t="shared" si="16"/>
        <v>947.44</v>
      </c>
      <c r="F82" s="83">
        <f t="shared" si="16"/>
        <v>964.74000000000012</v>
      </c>
      <c r="G82" s="83">
        <f t="shared" si="16"/>
        <v>1009.1400000000001</v>
      </c>
      <c r="H82" s="83">
        <f t="shared" si="16"/>
        <v>1039.8400000000001</v>
      </c>
      <c r="I82" s="83">
        <f t="shared" si="16"/>
        <v>1104.3400000000001</v>
      </c>
      <c r="J82" s="83">
        <f t="shared" si="16"/>
        <v>1263.2400000000002</v>
      </c>
      <c r="K82" s="83">
        <f t="shared" si="16"/>
        <v>1392.74</v>
      </c>
      <c r="L82" s="83">
        <f t="shared" si="16"/>
        <v>1523.3400000000001</v>
      </c>
      <c r="M82" s="83">
        <f t="shared" si="16"/>
        <v>1573.3400000000001</v>
      </c>
      <c r="N82" s="83">
        <f t="shared" si="16"/>
        <v>1304.0400000000002</v>
      </c>
      <c r="O82" s="83">
        <f t="shared" si="16"/>
        <v>1245.0400000000002</v>
      </c>
      <c r="P82" s="83">
        <f t="shared" si="16"/>
        <v>1199.8400000000001</v>
      </c>
      <c r="Q82" s="83">
        <f t="shared" si="16"/>
        <v>1121.6400000000001</v>
      </c>
      <c r="R82" s="83">
        <f t="shared" si="16"/>
        <v>1107.74</v>
      </c>
      <c r="S82" s="83">
        <f t="shared" si="16"/>
        <v>1087.74</v>
      </c>
      <c r="T82" s="83">
        <f t="shared" si="16"/>
        <v>1126.1400000000001</v>
      </c>
      <c r="U82" s="83">
        <f t="shared" si="16"/>
        <v>1160.3400000000001</v>
      </c>
      <c r="V82" s="83">
        <f t="shared" si="16"/>
        <v>1325.8400000000001</v>
      </c>
      <c r="W82" s="83">
        <f t="shared" si="16"/>
        <v>1576.94</v>
      </c>
      <c r="X82" s="83">
        <f t="shared" si="16"/>
        <v>1655.3400000000001</v>
      </c>
      <c r="Y82" s="83">
        <f t="shared" si="16"/>
        <v>1584.8400000000001</v>
      </c>
      <c r="Z82" s="83">
        <f t="shared" si="16"/>
        <v>1548.8400000000001</v>
      </c>
      <c r="AA82" s="83">
        <f t="shared" si="16"/>
        <v>1448.5400000000002</v>
      </c>
      <c r="AB82" s="83">
        <f t="shared" si="16"/>
        <v>1370.8400000000001</v>
      </c>
      <c r="AC82" s="83">
        <f t="shared" si="16"/>
        <v>1332.44</v>
      </c>
      <c r="AD82" s="83">
        <f t="shared" si="16"/>
        <v>1280.44</v>
      </c>
      <c r="AE82" s="83">
        <f t="shared" si="16"/>
        <v>1195.74</v>
      </c>
      <c r="AF82" s="83">
        <f t="shared" si="16"/>
        <v>1176.74</v>
      </c>
      <c r="AG82" s="62">
        <f t="shared" si="16"/>
        <v>1986.1900000000003</v>
      </c>
      <c r="AH82" s="48">
        <f t="shared" si="13"/>
        <v>1655.3400000000001</v>
      </c>
      <c r="AI82" s="49">
        <f t="shared" si="14"/>
        <v>947.34000000000015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13"/>
        <v>0</v>
      </c>
      <c r="AI83" s="49">
        <f t="shared" si="14"/>
        <v>0</v>
      </c>
    </row>
    <row r="84" spans="1:37" ht="15.75" thickBot="1" x14ac:dyDescent="0.3">
      <c r="A84" s="74" t="s">
        <v>89</v>
      </c>
      <c r="B84" s="83">
        <f t="shared" ref="B84" si="17">B82+B83</f>
        <v>1105.8400000000001</v>
      </c>
      <c r="C84" s="83">
        <f t="shared" ref="C84:AF84" si="18">C82+C83</f>
        <v>947.34000000000015</v>
      </c>
      <c r="D84" s="83">
        <f t="shared" si="18"/>
        <v>955.04000000000019</v>
      </c>
      <c r="E84" s="83">
        <f t="shared" si="18"/>
        <v>947.44</v>
      </c>
      <c r="F84" s="83">
        <f t="shared" si="18"/>
        <v>964.74000000000012</v>
      </c>
      <c r="G84" s="83">
        <f t="shared" si="18"/>
        <v>1009.1400000000001</v>
      </c>
      <c r="H84" s="83">
        <f t="shared" si="18"/>
        <v>1039.8400000000001</v>
      </c>
      <c r="I84" s="83">
        <f t="shared" si="18"/>
        <v>1104.3400000000001</v>
      </c>
      <c r="J84" s="83">
        <f t="shared" si="18"/>
        <v>1263.2400000000002</v>
      </c>
      <c r="K84" s="83">
        <f t="shared" si="18"/>
        <v>1392.74</v>
      </c>
      <c r="L84" s="83">
        <f t="shared" si="18"/>
        <v>1523.3400000000001</v>
      </c>
      <c r="M84" s="83">
        <f t="shared" si="18"/>
        <v>1573.3400000000001</v>
      </c>
      <c r="N84" s="83">
        <f t="shared" si="18"/>
        <v>1304.0400000000002</v>
      </c>
      <c r="O84" s="83">
        <f t="shared" si="18"/>
        <v>1245.0400000000002</v>
      </c>
      <c r="P84" s="83">
        <f t="shared" si="18"/>
        <v>1199.8400000000001</v>
      </c>
      <c r="Q84" s="83">
        <f t="shared" si="18"/>
        <v>1121.6400000000001</v>
      </c>
      <c r="R84" s="83">
        <f t="shared" si="18"/>
        <v>1107.74</v>
      </c>
      <c r="S84" s="83">
        <f t="shared" si="18"/>
        <v>1087.74</v>
      </c>
      <c r="T84" s="83">
        <f t="shared" si="18"/>
        <v>1126.1400000000001</v>
      </c>
      <c r="U84" s="83">
        <f t="shared" si="18"/>
        <v>1160.3400000000001</v>
      </c>
      <c r="V84" s="83">
        <f t="shared" si="18"/>
        <v>1325.8400000000001</v>
      </c>
      <c r="W84" s="83">
        <f t="shared" si="18"/>
        <v>1576.94</v>
      </c>
      <c r="X84" s="83">
        <f t="shared" si="18"/>
        <v>1655.3400000000001</v>
      </c>
      <c r="Y84" s="83">
        <f t="shared" si="18"/>
        <v>1584.8400000000001</v>
      </c>
      <c r="Z84" s="83">
        <f t="shared" si="18"/>
        <v>1548.8400000000001</v>
      </c>
      <c r="AA84" s="83">
        <f t="shared" si="18"/>
        <v>1448.5400000000002</v>
      </c>
      <c r="AB84" s="83">
        <f t="shared" si="18"/>
        <v>1370.8400000000001</v>
      </c>
      <c r="AC84" s="83">
        <f t="shared" si="18"/>
        <v>1332.44</v>
      </c>
      <c r="AD84" s="83">
        <f t="shared" si="18"/>
        <v>1280.44</v>
      </c>
      <c r="AE84" s="83">
        <f t="shared" si="18"/>
        <v>1195.74</v>
      </c>
      <c r="AF84" s="83">
        <f t="shared" si="18"/>
        <v>1176.74</v>
      </c>
      <c r="AG84" s="81">
        <f>AG81+AG77+AG65+AG61+AG43+AG83</f>
        <v>1448.0900000000001</v>
      </c>
      <c r="AH84" s="48">
        <f t="shared" si="13"/>
        <v>1655.3400000000001</v>
      </c>
      <c r="AI84" s="49">
        <f t="shared" si="14"/>
        <v>947.34000000000015</v>
      </c>
    </row>
    <row r="85" spans="1:37" ht="15.75" thickBot="1" x14ac:dyDescent="0.3">
      <c r="A85" s="74" t="s">
        <v>90</v>
      </c>
      <c r="B85" s="83">
        <f t="shared" ref="B85" si="19">B84-B92</f>
        <v>895.34000000000015</v>
      </c>
      <c r="C85" s="83">
        <f t="shared" ref="C85:AF85" si="20">C84-C92</f>
        <v>852.04000000000019</v>
      </c>
      <c r="D85" s="83">
        <f t="shared" si="20"/>
        <v>858.74000000000024</v>
      </c>
      <c r="E85" s="83">
        <f t="shared" si="20"/>
        <v>827.24</v>
      </c>
      <c r="F85" s="83">
        <f t="shared" si="20"/>
        <v>858.04000000000008</v>
      </c>
      <c r="G85" s="83">
        <f t="shared" si="20"/>
        <v>930.54000000000008</v>
      </c>
      <c r="H85" s="83">
        <f t="shared" si="20"/>
        <v>975.84000000000015</v>
      </c>
      <c r="I85" s="83">
        <f t="shared" si="20"/>
        <v>1044.0400000000002</v>
      </c>
      <c r="J85" s="83">
        <f t="shared" si="20"/>
        <v>1152.6400000000003</v>
      </c>
      <c r="K85" s="83">
        <f t="shared" si="20"/>
        <v>1245.74</v>
      </c>
      <c r="L85" s="83">
        <f t="shared" si="20"/>
        <v>1346.3400000000001</v>
      </c>
      <c r="M85" s="83">
        <f t="shared" si="20"/>
        <v>1359.8400000000001</v>
      </c>
      <c r="N85" s="83">
        <f t="shared" si="20"/>
        <v>1300.3400000000001</v>
      </c>
      <c r="O85" s="83">
        <f t="shared" si="20"/>
        <v>1245.0400000000002</v>
      </c>
      <c r="P85" s="83">
        <f t="shared" si="20"/>
        <v>1198.2400000000002</v>
      </c>
      <c r="Q85" s="83">
        <f t="shared" si="20"/>
        <v>1121.6400000000001</v>
      </c>
      <c r="R85" s="83">
        <f t="shared" si="20"/>
        <v>1107.74</v>
      </c>
      <c r="S85" s="83">
        <f t="shared" si="20"/>
        <v>1067.74</v>
      </c>
      <c r="T85" s="83">
        <f t="shared" si="20"/>
        <v>1115.1400000000001</v>
      </c>
      <c r="U85" s="83">
        <f t="shared" si="20"/>
        <v>1155.0400000000002</v>
      </c>
      <c r="V85" s="83">
        <f t="shared" si="20"/>
        <v>1223.7400000000002</v>
      </c>
      <c r="W85" s="83">
        <f t="shared" si="20"/>
        <v>1370.94</v>
      </c>
      <c r="X85" s="83">
        <f t="shared" si="20"/>
        <v>1431.14</v>
      </c>
      <c r="Y85" s="83">
        <f t="shared" si="20"/>
        <v>1333.2400000000002</v>
      </c>
      <c r="Z85" s="83">
        <f t="shared" si="20"/>
        <v>1291.94</v>
      </c>
      <c r="AA85" s="83">
        <f t="shared" si="20"/>
        <v>1244.9400000000003</v>
      </c>
      <c r="AB85" s="83">
        <f t="shared" si="20"/>
        <v>1145.8400000000001</v>
      </c>
      <c r="AC85" s="83">
        <f t="shared" si="20"/>
        <v>1117.04</v>
      </c>
      <c r="AD85" s="83">
        <f t="shared" si="20"/>
        <v>1042.04</v>
      </c>
      <c r="AE85" s="83">
        <f t="shared" si="20"/>
        <v>966.24</v>
      </c>
      <c r="AF85" s="83">
        <f t="shared" si="20"/>
        <v>952.14</v>
      </c>
      <c r="AG85" s="81"/>
      <c r="AH85" s="48">
        <f t="shared" si="13"/>
        <v>1431.14</v>
      </c>
      <c r="AI85" s="49">
        <f t="shared" si="14"/>
        <v>827.24</v>
      </c>
    </row>
    <row r="86" spans="1:37" x14ac:dyDescent="0.25">
      <c r="A86" s="44" t="s">
        <v>74</v>
      </c>
      <c r="B86" s="76">
        <f t="shared" ref="B86" si="21">IF(B69&lt;0,B69*-1,0)</f>
        <v>0</v>
      </c>
      <c r="C86" s="76">
        <f t="shared" ref="C86:AF86" si="22">IF(C69&lt;0,C69*-1,0)</f>
        <v>0</v>
      </c>
      <c r="D86" s="76">
        <f t="shared" si="22"/>
        <v>0</v>
      </c>
      <c r="E86" s="76">
        <f t="shared" si="22"/>
        <v>0</v>
      </c>
      <c r="F86" s="76">
        <f t="shared" si="22"/>
        <v>0</v>
      </c>
      <c r="G86" s="76">
        <f t="shared" si="22"/>
        <v>0</v>
      </c>
      <c r="H86" s="76">
        <f t="shared" si="22"/>
        <v>0</v>
      </c>
      <c r="I86" s="76">
        <f t="shared" si="22"/>
        <v>0</v>
      </c>
      <c r="J86" s="76">
        <f t="shared" si="22"/>
        <v>0</v>
      </c>
      <c r="K86" s="76">
        <f t="shared" si="22"/>
        <v>0</v>
      </c>
      <c r="L86" s="76">
        <f t="shared" si="22"/>
        <v>0</v>
      </c>
      <c r="M86" s="76">
        <f t="shared" si="22"/>
        <v>0</v>
      </c>
      <c r="N86" s="76">
        <f t="shared" si="22"/>
        <v>0</v>
      </c>
      <c r="O86" s="76">
        <f t="shared" si="22"/>
        <v>0</v>
      </c>
      <c r="P86" s="76">
        <f t="shared" si="22"/>
        <v>0</v>
      </c>
      <c r="Q86" s="76">
        <f t="shared" si="22"/>
        <v>0</v>
      </c>
      <c r="R86" s="76">
        <f t="shared" si="22"/>
        <v>0</v>
      </c>
      <c r="S86" s="76">
        <f t="shared" si="22"/>
        <v>0</v>
      </c>
      <c r="T86" s="76">
        <f t="shared" si="22"/>
        <v>0</v>
      </c>
      <c r="U86" s="76">
        <f t="shared" si="22"/>
        <v>0</v>
      </c>
      <c r="V86" s="76">
        <f t="shared" si="22"/>
        <v>0</v>
      </c>
      <c r="W86" s="76">
        <f t="shared" si="22"/>
        <v>0</v>
      </c>
      <c r="X86" s="76">
        <f t="shared" si="22"/>
        <v>0</v>
      </c>
      <c r="Y86" s="76">
        <f t="shared" si="22"/>
        <v>0</v>
      </c>
      <c r="Z86" s="76">
        <f t="shared" si="22"/>
        <v>0</v>
      </c>
      <c r="AA86" s="76">
        <f t="shared" si="22"/>
        <v>0</v>
      </c>
      <c r="AB86" s="76">
        <f t="shared" si="22"/>
        <v>0</v>
      </c>
      <c r="AC86" s="76">
        <f t="shared" si="22"/>
        <v>0</v>
      </c>
      <c r="AD86" s="76">
        <f t="shared" si="22"/>
        <v>0</v>
      </c>
      <c r="AE86" s="76">
        <f t="shared" si="22"/>
        <v>0</v>
      </c>
      <c r="AF86" s="76">
        <f t="shared" si="22"/>
        <v>0</v>
      </c>
      <c r="AG86" s="52"/>
      <c r="AH86" s="48">
        <f t="shared" si="13"/>
        <v>0</v>
      </c>
      <c r="AI86" s="49">
        <f t="shared" si="14"/>
        <v>0</v>
      </c>
    </row>
    <row r="87" spans="1:37" x14ac:dyDescent="0.25">
      <c r="A87" s="54" t="s">
        <v>72</v>
      </c>
      <c r="B87" s="76">
        <f t="shared" ref="B87" si="23">IF(B67&lt;0,B67*-1,0)</f>
        <v>0</v>
      </c>
      <c r="C87" s="76">
        <f t="shared" ref="C87:AF87" si="24">IF(C67&lt;0,C67*-1,0)</f>
        <v>0</v>
      </c>
      <c r="D87" s="76">
        <f t="shared" si="24"/>
        <v>0</v>
      </c>
      <c r="E87" s="76">
        <f t="shared" si="24"/>
        <v>0</v>
      </c>
      <c r="F87" s="76">
        <f t="shared" si="24"/>
        <v>0</v>
      </c>
      <c r="G87" s="76">
        <f t="shared" si="24"/>
        <v>0</v>
      </c>
      <c r="H87" s="76">
        <f t="shared" si="24"/>
        <v>0</v>
      </c>
      <c r="I87" s="76">
        <f t="shared" si="24"/>
        <v>0</v>
      </c>
      <c r="J87" s="76">
        <f t="shared" si="24"/>
        <v>0</v>
      </c>
      <c r="K87" s="76">
        <f t="shared" si="24"/>
        <v>0</v>
      </c>
      <c r="L87" s="76">
        <f t="shared" si="24"/>
        <v>0</v>
      </c>
      <c r="M87" s="76">
        <f t="shared" si="24"/>
        <v>0</v>
      </c>
      <c r="N87" s="76">
        <f t="shared" si="24"/>
        <v>0</v>
      </c>
      <c r="O87" s="76">
        <f t="shared" si="24"/>
        <v>0</v>
      </c>
      <c r="P87" s="76">
        <f t="shared" si="24"/>
        <v>0</v>
      </c>
      <c r="Q87" s="76">
        <f t="shared" si="24"/>
        <v>0</v>
      </c>
      <c r="R87" s="76">
        <f t="shared" si="24"/>
        <v>0</v>
      </c>
      <c r="S87" s="76">
        <f t="shared" si="24"/>
        <v>0</v>
      </c>
      <c r="T87" s="76">
        <f t="shared" si="24"/>
        <v>0</v>
      </c>
      <c r="U87" s="76">
        <f t="shared" si="24"/>
        <v>0</v>
      </c>
      <c r="V87" s="76">
        <f t="shared" si="24"/>
        <v>0</v>
      </c>
      <c r="W87" s="76">
        <f t="shared" si="24"/>
        <v>0</v>
      </c>
      <c r="X87" s="76">
        <f t="shared" si="24"/>
        <v>0</v>
      </c>
      <c r="Y87" s="76">
        <f t="shared" si="24"/>
        <v>0</v>
      </c>
      <c r="Z87" s="76">
        <f t="shared" si="24"/>
        <v>0</v>
      </c>
      <c r="AA87" s="76">
        <f t="shared" si="24"/>
        <v>0</v>
      </c>
      <c r="AB87" s="76">
        <f t="shared" si="24"/>
        <v>0</v>
      </c>
      <c r="AC87" s="76">
        <f t="shared" si="24"/>
        <v>0</v>
      </c>
      <c r="AD87" s="76">
        <f t="shared" si="24"/>
        <v>0</v>
      </c>
      <c r="AE87" s="76">
        <f t="shared" si="24"/>
        <v>0</v>
      </c>
      <c r="AF87" s="76">
        <f t="shared" si="24"/>
        <v>0</v>
      </c>
      <c r="AG87" s="55"/>
      <c r="AH87" s="48">
        <f t="shared" si="13"/>
        <v>0</v>
      </c>
      <c r="AI87" s="49">
        <f t="shared" si="14"/>
        <v>0</v>
      </c>
    </row>
    <row r="88" spans="1:37" x14ac:dyDescent="0.25">
      <c r="A88" s="78" t="s">
        <v>91</v>
      </c>
      <c r="B88" s="76">
        <f t="shared" ref="B88" si="25">IF(B70&lt;0,B70*-1,0)</f>
        <v>0</v>
      </c>
      <c r="C88" s="76">
        <f t="shared" ref="C88:AF88" si="26">IF(C70&lt;0,C70*-1,0)</f>
        <v>0</v>
      </c>
      <c r="D88" s="76">
        <f t="shared" si="26"/>
        <v>0</v>
      </c>
      <c r="E88" s="76">
        <f t="shared" si="26"/>
        <v>0</v>
      </c>
      <c r="F88" s="76">
        <f t="shared" si="26"/>
        <v>0</v>
      </c>
      <c r="G88" s="76">
        <f t="shared" si="26"/>
        <v>0</v>
      </c>
      <c r="H88" s="76">
        <f t="shared" si="26"/>
        <v>0</v>
      </c>
      <c r="I88" s="76">
        <f t="shared" si="26"/>
        <v>0</v>
      </c>
      <c r="J88" s="76">
        <f t="shared" si="26"/>
        <v>0</v>
      </c>
      <c r="K88" s="76">
        <f t="shared" si="26"/>
        <v>0</v>
      </c>
      <c r="L88" s="76">
        <f t="shared" si="26"/>
        <v>0</v>
      </c>
      <c r="M88" s="76">
        <f t="shared" si="26"/>
        <v>0</v>
      </c>
      <c r="N88" s="76">
        <f t="shared" si="26"/>
        <v>0</v>
      </c>
      <c r="O88" s="76">
        <f t="shared" si="26"/>
        <v>0</v>
      </c>
      <c r="P88" s="76">
        <f t="shared" si="26"/>
        <v>0</v>
      </c>
      <c r="Q88" s="76">
        <f t="shared" si="26"/>
        <v>0</v>
      </c>
      <c r="R88" s="76">
        <f t="shared" si="26"/>
        <v>0</v>
      </c>
      <c r="S88" s="76">
        <f t="shared" si="26"/>
        <v>0</v>
      </c>
      <c r="T88" s="76">
        <f t="shared" si="26"/>
        <v>0</v>
      </c>
      <c r="U88" s="76">
        <f t="shared" si="26"/>
        <v>0</v>
      </c>
      <c r="V88" s="76">
        <f t="shared" si="26"/>
        <v>0</v>
      </c>
      <c r="W88" s="76">
        <f t="shared" si="26"/>
        <v>0</v>
      </c>
      <c r="X88" s="76">
        <f t="shared" si="26"/>
        <v>0</v>
      </c>
      <c r="Y88" s="76">
        <f t="shared" si="26"/>
        <v>0</v>
      </c>
      <c r="Z88" s="76">
        <f t="shared" si="26"/>
        <v>0</v>
      </c>
      <c r="AA88" s="76">
        <f t="shared" si="26"/>
        <v>0</v>
      </c>
      <c r="AB88" s="76">
        <f t="shared" si="26"/>
        <v>0</v>
      </c>
      <c r="AC88" s="76">
        <f t="shared" si="26"/>
        <v>0</v>
      </c>
      <c r="AD88" s="76">
        <f t="shared" si="26"/>
        <v>0</v>
      </c>
      <c r="AE88" s="76">
        <f t="shared" si="26"/>
        <v>0</v>
      </c>
      <c r="AF88" s="76">
        <f t="shared" si="26"/>
        <v>0</v>
      </c>
      <c r="AG88" s="86"/>
      <c r="AH88" s="48">
        <f t="shared" si="13"/>
        <v>0</v>
      </c>
      <c r="AI88" s="49">
        <f t="shared" si="14"/>
        <v>0</v>
      </c>
    </row>
    <row r="89" spans="1:37" x14ac:dyDescent="0.25">
      <c r="A89" s="78" t="s">
        <v>92</v>
      </c>
      <c r="B89" s="76">
        <f t="shared" ref="B89" si="27">IF(B68&lt;0,B68*-1,0)</f>
        <v>210.5</v>
      </c>
      <c r="C89" s="76">
        <f t="shared" ref="C89:AF89" si="28">IF(C68&lt;0,C68*-1,0)</f>
        <v>95.3</v>
      </c>
      <c r="D89" s="76">
        <f t="shared" si="28"/>
        <v>96.3</v>
      </c>
      <c r="E89" s="76">
        <f t="shared" si="28"/>
        <v>120.2</v>
      </c>
      <c r="F89" s="76">
        <f t="shared" si="28"/>
        <v>106.7</v>
      </c>
      <c r="G89" s="76">
        <f t="shared" si="28"/>
        <v>78.599999999999994</v>
      </c>
      <c r="H89" s="76">
        <f t="shared" si="28"/>
        <v>64</v>
      </c>
      <c r="I89" s="76">
        <f t="shared" si="28"/>
        <v>60.3</v>
      </c>
      <c r="J89" s="76">
        <f t="shared" si="28"/>
        <v>110.6</v>
      </c>
      <c r="K89" s="76">
        <f t="shared" si="28"/>
        <v>147</v>
      </c>
      <c r="L89" s="76">
        <f t="shared" si="28"/>
        <v>177</v>
      </c>
      <c r="M89" s="76">
        <f t="shared" si="28"/>
        <v>213.5</v>
      </c>
      <c r="N89" s="76">
        <f t="shared" si="28"/>
        <v>3.7</v>
      </c>
      <c r="O89" s="76">
        <f t="shared" si="28"/>
        <v>0</v>
      </c>
      <c r="P89" s="76">
        <f t="shared" si="28"/>
        <v>1.6</v>
      </c>
      <c r="Q89" s="76">
        <f t="shared" si="28"/>
        <v>0</v>
      </c>
      <c r="R89" s="76">
        <f t="shared" si="28"/>
        <v>0</v>
      </c>
      <c r="S89" s="76">
        <f t="shared" si="28"/>
        <v>20</v>
      </c>
      <c r="T89" s="76">
        <f t="shared" si="28"/>
        <v>11</v>
      </c>
      <c r="U89" s="76">
        <f t="shared" si="28"/>
        <v>5.3</v>
      </c>
      <c r="V89" s="76">
        <f t="shared" si="28"/>
        <v>102.1</v>
      </c>
      <c r="W89" s="76">
        <f t="shared" si="28"/>
        <v>206</v>
      </c>
      <c r="X89" s="76">
        <f t="shared" si="28"/>
        <v>224.2</v>
      </c>
      <c r="Y89" s="76">
        <f t="shared" si="28"/>
        <v>251.6</v>
      </c>
      <c r="Z89" s="76">
        <f t="shared" si="28"/>
        <v>256.89999999999998</v>
      </c>
      <c r="AA89" s="76">
        <f t="shared" si="28"/>
        <v>203.6</v>
      </c>
      <c r="AB89" s="76">
        <f t="shared" si="28"/>
        <v>225</v>
      </c>
      <c r="AC89" s="76">
        <f t="shared" si="28"/>
        <v>215.4</v>
      </c>
      <c r="AD89" s="76">
        <f t="shared" si="28"/>
        <v>238.4</v>
      </c>
      <c r="AE89" s="76">
        <f t="shared" si="28"/>
        <v>229.5</v>
      </c>
      <c r="AF89" s="76">
        <f t="shared" si="28"/>
        <v>224.6</v>
      </c>
      <c r="AG89" s="86"/>
      <c r="AH89" s="48">
        <f t="shared" si="13"/>
        <v>256.89999999999998</v>
      </c>
      <c r="AI89" s="49">
        <f t="shared" si="14"/>
        <v>0</v>
      </c>
    </row>
    <row r="90" spans="1:37" x14ac:dyDescent="0.25">
      <c r="A90" s="78" t="s">
        <v>71</v>
      </c>
      <c r="B90" s="76">
        <f t="shared" ref="B90" si="29">IF(B66&lt;0,B66*-1,0)</f>
        <v>0</v>
      </c>
      <c r="C90" s="76">
        <f t="shared" ref="C90:AF90" si="30">IF(C66&lt;0,C66*-1,0)</f>
        <v>0</v>
      </c>
      <c r="D90" s="76">
        <f t="shared" si="30"/>
        <v>0</v>
      </c>
      <c r="E90" s="76">
        <f t="shared" si="30"/>
        <v>0</v>
      </c>
      <c r="F90" s="76">
        <f t="shared" si="30"/>
        <v>0</v>
      </c>
      <c r="G90" s="76">
        <f t="shared" si="30"/>
        <v>0</v>
      </c>
      <c r="H90" s="76">
        <f t="shared" si="30"/>
        <v>0</v>
      </c>
      <c r="I90" s="76">
        <f t="shared" si="30"/>
        <v>0</v>
      </c>
      <c r="J90" s="76">
        <f t="shared" si="30"/>
        <v>0</v>
      </c>
      <c r="K90" s="76">
        <f t="shared" si="30"/>
        <v>0</v>
      </c>
      <c r="L90" s="76">
        <f t="shared" si="30"/>
        <v>0</v>
      </c>
      <c r="M90" s="76">
        <f t="shared" si="30"/>
        <v>0</v>
      </c>
      <c r="N90" s="76">
        <f t="shared" si="30"/>
        <v>0</v>
      </c>
      <c r="O90" s="76">
        <f t="shared" si="30"/>
        <v>0</v>
      </c>
      <c r="P90" s="76">
        <f t="shared" si="30"/>
        <v>0</v>
      </c>
      <c r="Q90" s="76">
        <f t="shared" si="30"/>
        <v>0</v>
      </c>
      <c r="R90" s="76">
        <f t="shared" si="30"/>
        <v>0</v>
      </c>
      <c r="S90" s="76">
        <f t="shared" si="30"/>
        <v>0</v>
      </c>
      <c r="T90" s="76">
        <f t="shared" si="30"/>
        <v>0</v>
      </c>
      <c r="U90" s="76">
        <f t="shared" si="30"/>
        <v>0</v>
      </c>
      <c r="V90" s="76">
        <f t="shared" si="30"/>
        <v>0</v>
      </c>
      <c r="W90" s="76">
        <f t="shared" si="30"/>
        <v>0</v>
      </c>
      <c r="X90" s="76">
        <f t="shared" si="30"/>
        <v>0</v>
      </c>
      <c r="Y90" s="76">
        <f t="shared" si="30"/>
        <v>0</v>
      </c>
      <c r="Z90" s="76">
        <f t="shared" si="30"/>
        <v>0</v>
      </c>
      <c r="AA90" s="76">
        <f t="shared" si="30"/>
        <v>0</v>
      </c>
      <c r="AB90" s="76">
        <f t="shared" si="30"/>
        <v>0</v>
      </c>
      <c r="AC90" s="76">
        <f t="shared" si="30"/>
        <v>0</v>
      </c>
      <c r="AD90" s="76">
        <f t="shared" si="30"/>
        <v>0</v>
      </c>
      <c r="AE90" s="76">
        <f t="shared" si="30"/>
        <v>0</v>
      </c>
      <c r="AF90" s="76">
        <f t="shared" si="30"/>
        <v>0</v>
      </c>
      <c r="AG90" s="86"/>
      <c r="AH90" s="48">
        <f t="shared" si="13"/>
        <v>0</v>
      </c>
      <c r="AI90" s="49">
        <f t="shared" si="14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3"/>
        <v>0</v>
      </c>
      <c r="AI91" s="49">
        <f t="shared" si="14"/>
        <v>0</v>
      </c>
    </row>
    <row r="92" spans="1:37" ht="15.75" thickBot="1" x14ac:dyDescent="0.3">
      <c r="A92" s="87" t="s">
        <v>94</v>
      </c>
      <c r="B92" s="61">
        <f t="shared" ref="B92" si="31">SUM(B86:B91)</f>
        <v>210.5</v>
      </c>
      <c r="C92" s="61">
        <f t="shared" ref="C92:AF92" si="32">SUM(C86:C91)</f>
        <v>95.3</v>
      </c>
      <c r="D92" s="61">
        <f t="shared" si="32"/>
        <v>96.3</v>
      </c>
      <c r="E92" s="61">
        <f t="shared" si="32"/>
        <v>120.2</v>
      </c>
      <c r="F92" s="61">
        <f t="shared" si="32"/>
        <v>106.7</v>
      </c>
      <c r="G92" s="61">
        <f t="shared" si="32"/>
        <v>78.599999999999994</v>
      </c>
      <c r="H92" s="61">
        <f t="shared" si="32"/>
        <v>64</v>
      </c>
      <c r="I92" s="61">
        <f t="shared" si="32"/>
        <v>60.3</v>
      </c>
      <c r="J92" s="61">
        <f t="shared" si="32"/>
        <v>110.6</v>
      </c>
      <c r="K92" s="61">
        <f t="shared" si="32"/>
        <v>147</v>
      </c>
      <c r="L92" s="61">
        <f t="shared" si="32"/>
        <v>177</v>
      </c>
      <c r="M92" s="61">
        <f t="shared" si="32"/>
        <v>213.5</v>
      </c>
      <c r="N92" s="61">
        <f t="shared" si="32"/>
        <v>3.7</v>
      </c>
      <c r="O92" s="61">
        <f t="shared" si="32"/>
        <v>0</v>
      </c>
      <c r="P92" s="61">
        <f t="shared" si="32"/>
        <v>1.6</v>
      </c>
      <c r="Q92" s="61">
        <f t="shared" si="32"/>
        <v>0</v>
      </c>
      <c r="R92" s="61">
        <f t="shared" si="32"/>
        <v>0</v>
      </c>
      <c r="S92" s="61">
        <f t="shared" si="32"/>
        <v>20</v>
      </c>
      <c r="T92" s="61">
        <f t="shared" si="32"/>
        <v>11</v>
      </c>
      <c r="U92" s="61">
        <f t="shared" si="32"/>
        <v>5.3</v>
      </c>
      <c r="V92" s="61">
        <f t="shared" si="32"/>
        <v>102.1</v>
      </c>
      <c r="W92" s="61">
        <f t="shared" si="32"/>
        <v>206</v>
      </c>
      <c r="X92" s="61">
        <f t="shared" si="32"/>
        <v>224.2</v>
      </c>
      <c r="Y92" s="61">
        <f t="shared" si="32"/>
        <v>251.6</v>
      </c>
      <c r="Z92" s="61">
        <f t="shared" si="32"/>
        <v>256.89999999999998</v>
      </c>
      <c r="AA92" s="61">
        <f t="shared" si="32"/>
        <v>203.6</v>
      </c>
      <c r="AB92" s="61">
        <f t="shared" si="32"/>
        <v>225</v>
      </c>
      <c r="AC92" s="61">
        <f t="shared" si="32"/>
        <v>215.4</v>
      </c>
      <c r="AD92" s="61">
        <f t="shared" si="32"/>
        <v>238.4</v>
      </c>
      <c r="AE92" s="61">
        <f t="shared" si="32"/>
        <v>229.5</v>
      </c>
      <c r="AF92" s="61">
        <f t="shared" si="32"/>
        <v>224.6</v>
      </c>
      <c r="AG92" s="81"/>
      <c r="AH92" s="48">
        <f t="shared" si="13"/>
        <v>256.89999999999998</v>
      </c>
      <c r="AI92" s="49">
        <f t="shared" si="14"/>
        <v>0</v>
      </c>
      <c r="AK92" s="50"/>
    </row>
    <row r="93" spans="1:37" ht="15.75" thickBot="1" x14ac:dyDescent="0.3">
      <c r="A93" s="74" t="s">
        <v>95</v>
      </c>
      <c r="B93" s="61">
        <f t="shared" ref="B93" si="33">B77-B92</f>
        <v>-210.5</v>
      </c>
      <c r="C93" s="61">
        <f t="shared" ref="C93:AF93" si="34">C77-C92</f>
        <v>-95.3</v>
      </c>
      <c r="D93" s="61">
        <f t="shared" si="34"/>
        <v>-96.3</v>
      </c>
      <c r="E93" s="61">
        <f t="shared" si="34"/>
        <v>-120.2</v>
      </c>
      <c r="F93" s="61">
        <f t="shared" si="34"/>
        <v>-106.7</v>
      </c>
      <c r="G93" s="61">
        <f t="shared" si="34"/>
        <v>-78.599999999999994</v>
      </c>
      <c r="H93" s="61">
        <f t="shared" si="34"/>
        <v>-64</v>
      </c>
      <c r="I93" s="61">
        <f t="shared" si="34"/>
        <v>-60.3</v>
      </c>
      <c r="J93" s="61">
        <f t="shared" si="34"/>
        <v>-110.6</v>
      </c>
      <c r="K93" s="61">
        <f t="shared" si="34"/>
        <v>-147</v>
      </c>
      <c r="L93" s="61">
        <f t="shared" si="34"/>
        <v>-177</v>
      </c>
      <c r="M93" s="61">
        <f t="shared" si="34"/>
        <v>-213.5</v>
      </c>
      <c r="N93" s="61">
        <f t="shared" si="34"/>
        <v>-3.7</v>
      </c>
      <c r="O93" s="61">
        <f t="shared" si="34"/>
        <v>1</v>
      </c>
      <c r="P93" s="61">
        <f t="shared" si="34"/>
        <v>-1.6</v>
      </c>
      <c r="Q93" s="61">
        <f t="shared" si="34"/>
        <v>0.3</v>
      </c>
      <c r="R93" s="61">
        <f t="shared" si="34"/>
        <v>8.6999999999999993</v>
      </c>
      <c r="S93" s="61">
        <f t="shared" si="34"/>
        <v>-20</v>
      </c>
      <c r="T93" s="61">
        <f t="shared" si="34"/>
        <v>-11</v>
      </c>
      <c r="U93" s="61">
        <f t="shared" si="34"/>
        <v>-5.3</v>
      </c>
      <c r="V93" s="61">
        <f t="shared" si="34"/>
        <v>-102.1</v>
      </c>
      <c r="W93" s="61">
        <f t="shared" si="34"/>
        <v>-206</v>
      </c>
      <c r="X93" s="61">
        <f t="shared" si="34"/>
        <v>-224.2</v>
      </c>
      <c r="Y93" s="61">
        <f t="shared" si="34"/>
        <v>-251.6</v>
      </c>
      <c r="Z93" s="61">
        <f t="shared" si="34"/>
        <v>-256.89999999999998</v>
      </c>
      <c r="AA93" s="61">
        <f t="shared" si="34"/>
        <v>-203.6</v>
      </c>
      <c r="AB93" s="61">
        <f t="shared" si="34"/>
        <v>-225</v>
      </c>
      <c r="AC93" s="61">
        <f t="shared" si="34"/>
        <v>-215.4</v>
      </c>
      <c r="AD93" s="61">
        <f t="shared" si="34"/>
        <v>-238.4</v>
      </c>
      <c r="AE93" s="61">
        <f t="shared" si="34"/>
        <v>-229.5</v>
      </c>
      <c r="AF93" s="61">
        <f t="shared" si="34"/>
        <v>-224.6</v>
      </c>
      <c r="AG93" s="81"/>
      <c r="AH93" s="48">
        <f t="shared" si="13"/>
        <v>8.6999999999999993</v>
      </c>
      <c r="AI93" s="49">
        <f t="shared" si="14"/>
        <v>-256.89999999999998</v>
      </c>
    </row>
    <row r="94" spans="1:37" x14ac:dyDescent="0.25">
      <c r="A94" s="88" t="s">
        <v>96</v>
      </c>
      <c r="B94" s="89">
        <v>49.8</v>
      </c>
      <c r="C94" s="89">
        <v>49.95</v>
      </c>
      <c r="D94" s="89">
        <v>50.02</v>
      </c>
      <c r="E94" s="89">
        <v>50.018000000000001</v>
      </c>
      <c r="F94" s="89">
        <v>49.866999999999997</v>
      </c>
      <c r="G94" s="89">
        <v>49.991</v>
      </c>
      <c r="H94" s="89">
        <v>49.962000000000003</v>
      </c>
      <c r="I94" s="89">
        <v>49.95</v>
      </c>
      <c r="J94" s="89">
        <v>50.036999999999999</v>
      </c>
      <c r="K94" s="89">
        <v>50.006999999999998</v>
      </c>
      <c r="L94" s="89">
        <v>50.018000000000001</v>
      </c>
      <c r="M94" s="89">
        <v>49.896000000000001</v>
      </c>
      <c r="N94" s="89">
        <v>50.088999999999999</v>
      </c>
      <c r="O94" s="89">
        <v>50.042999999999999</v>
      </c>
      <c r="P94" s="89">
        <v>49.938000000000002</v>
      </c>
      <c r="Q94" s="89">
        <v>49.984000000000002</v>
      </c>
      <c r="R94" s="89">
        <v>50.024000000000001</v>
      </c>
      <c r="S94" s="89">
        <v>50.048999999999999</v>
      </c>
      <c r="T94" s="89">
        <v>50.002000000000002</v>
      </c>
      <c r="U94" s="89">
        <v>50.026000000000003</v>
      </c>
      <c r="V94" s="89">
        <v>49.929000000000002</v>
      </c>
      <c r="W94" s="89">
        <v>49.948</v>
      </c>
      <c r="X94" s="89">
        <v>49.984999999999999</v>
      </c>
      <c r="Y94" s="89">
        <v>50.06</v>
      </c>
      <c r="Z94" s="89">
        <v>50.030999999999999</v>
      </c>
      <c r="AA94" s="89">
        <v>50.026000000000003</v>
      </c>
      <c r="AB94" s="89">
        <v>50.03</v>
      </c>
      <c r="AC94" s="89">
        <v>49.94</v>
      </c>
      <c r="AD94" s="89">
        <v>50</v>
      </c>
      <c r="AE94" s="89">
        <v>49.99</v>
      </c>
      <c r="AF94" s="89">
        <v>50.05</v>
      </c>
      <c r="AG94" s="90"/>
      <c r="AH94" s="48">
        <f t="shared" si="13"/>
        <v>50.088999999999999</v>
      </c>
      <c r="AI94" s="49">
        <f t="shared" si="14"/>
        <v>49.8</v>
      </c>
    </row>
    <row r="95" spans="1:37" x14ac:dyDescent="0.25">
      <c r="A95" s="91" t="s">
        <v>97</v>
      </c>
      <c r="B95" s="65">
        <v>127.8</v>
      </c>
      <c r="C95" s="65">
        <v>128.4</v>
      </c>
      <c r="D95" s="65">
        <v>127.8</v>
      </c>
      <c r="E95" s="65">
        <v>128.19999999999999</v>
      </c>
      <c r="F95" s="65">
        <v>127.4</v>
      </c>
      <c r="G95" s="65">
        <v>127</v>
      </c>
      <c r="H95" s="65">
        <v>126.2</v>
      </c>
      <c r="I95" s="65">
        <v>125.8</v>
      </c>
      <c r="J95" s="65">
        <v>124.6</v>
      </c>
      <c r="K95" s="65">
        <v>123.9</v>
      </c>
      <c r="L95" s="65">
        <v>122.8</v>
      </c>
      <c r="M95" s="65">
        <v>122</v>
      </c>
      <c r="N95" s="65">
        <v>124.1</v>
      </c>
      <c r="O95" s="65">
        <v>125.6</v>
      </c>
      <c r="P95" s="65">
        <v>124.9</v>
      </c>
      <c r="Q95" s="65">
        <v>125.9</v>
      </c>
      <c r="R95" s="65">
        <v>125.7</v>
      </c>
      <c r="S95" s="65">
        <v>126.3</v>
      </c>
      <c r="T95" s="65">
        <v>125.2</v>
      </c>
      <c r="U95" s="65">
        <v>125.7</v>
      </c>
      <c r="V95" s="65">
        <v>125.6</v>
      </c>
      <c r="W95" s="65">
        <v>124.7</v>
      </c>
      <c r="X95" s="65">
        <v>125.1</v>
      </c>
      <c r="Y95" s="65">
        <v>125.6</v>
      </c>
      <c r="Z95" s="65">
        <v>125.8</v>
      </c>
      <c r="AA95" s="65">
        <v>126.6</v>
      </c>
      <c r="AB95" s="65">
        <v>127.7</v>
      </c>
      <c r="AC95" s="65">
        <v>126.6</v>
      </c>
      <c r="AD95" s="65">
        <v>127.8</v>
      </c>
      <c r="AE95" s="65">
        <v>127.7</v>
      </c>
      <c r="AF95" s="65">
        <v>126.5</v>
      </c>
      <c r="AG95" s="92"/>
      <c r="AH95" s="48">
        <f t="shared" si="13"/>
        <v>128.4</v>
      </c>
      <c r="AI95" s="49">
        <f t="shared" si="14"/>
        <v>122</v>
      </c>
    </row>
    <row r="96" spans="1:37" x14ac:dyDescent="0.25">
      <c r="A96" s="91" t="s">
        <v>98</v>
      </c>
      <c r="B96" s="65">
        <v>131.6</v>
      </c>
      <c r="C96" s="65">
        <v>132.19999999999999</v>
      </c>
      <c r="D96" s="65">
        <v>132.1</v>
      </c>
      <c r="E96" s="65">
        <v>132.30000000000001</v>
      </c>
      <c r="F96" s="65">
        <v>131.80000000000001</v>
      </c>
      <c r="G96" s="65">
        <v>131.30000000000001</v>
      </c>
      <c r="H96" s="65">
        <v>130.19999999999999</v>
      </c>
      <c r="I96" s="65">
        <v>129.69999999999999</v>
      </c>
      <c r="J96" s="65">
        <v>128.30000000000001</v>
      </c>
      <c r="K96" s="65">
        <v>127.5</v>
      </c>
      <c r="L96" s="65">
        <v>126.2</v>
      </c>
      <c r="M96" s="65">
        <v>125.4</v>
      </c>
      <c r="N96" s="65">
        <v>126.8</v>
      </c>
      <c r="O96" s="65">
        <v>128</v>
      </c>
      <c r="P96" s="65">
        <v>127.9</v>
      </c>
      <c r="Q96" s="65">
        <v>128.9</v>
      </c>
      <c r="R96" s="65">
        <v>128.80000000000001</v>
      </c>
      <c r="S96" s="65">
        <v>129.30000000000001</v>
      </c>
      <c r="T96" s="65">
        <v>128.6</v>
      </c>
      <c r="U96" s="65">
        <v>128.4</v>
      </c>
      <c r="V96" s="65">
        <v>128.5</v>
      </c>
      <c r="W96" s="65">
        <v>127.7</v>
      </c>
      <c r="X96" s="65">
        <v>128</v>
      </c>
      <c r="Y96" s="65">
        <v>128.4</v>
      </c>
      <c r="Z96" s="65">
        <v>128.4</v>
      </c>
      <c r="AA96" s="65">
        <v>129.30000000000001</v>
      </c>
      <c r="AB96" s="65">
        <v>130</v>
      </c>
      <c r="AC96" s="65">
        <v>129.6</v>
      </c>
      <c r="AD96" s="65">
        <v>130.9</v>
      </c>
      <c r="AE96" s="65">
        <v>130.9</v>
      </c>
      <c r="AF96" s="65">
        <v>130.5</v>
      </c>
      <c r="AG96" s="92"/>
      <c r="AH96" s="48">
        <f t="shared" si="13"/>
        <v>132.30000000000001</v>
      </c>
      <c r="AI96" s="49">
        <f t="shared" si="14"/>
        <v>125.4</v>
      </c>
    </row>
    <row r="97" spans="1:35" x14ac:dyDescent="0.25">
      <c r="A97" s="91" t="s">
        <v>99</v>
      </c>
      <c r="B97" s="65">
        <v>1329.2</v>
      </c>
      <c r="C97" s="65">
        <v>129</v>
      </c>
      <c r="D97" s="65">
        <v>128.9</v>
      </c>
      <c r="E97" s="65">
        <v>131.5</v>
      </c>
      <c r="F97" s="65">
        <v>131</v>
      </c>
      <c r="G97" s="65">
        <v>130.4</v>
      </c>
      <c r="H97" s="65">
        <v>130.1</v>
      </c>
      <c r="I97" s="65">
        <v>130</v>
      </c>
      <c r="J97" s="65">
        <v>127.5</v>
      </c>
      <c r="K97" s="65">
        <v>129</v>
      </c>
      <c r="L97" s="65">
        <v>124.3</v>
      </c>
      <c r="M97" s="65">
        <v>126.7</v>
      </c>
      <c r="N97" s="65">
        <v>127.7</v>
      </c>
      <c r="O97" s="65">
        <v>126.5</v>
      </c>
      <c r="P97" s="65">
        <v>126.4</v>
      </c>
      <c r="Q97" s="65">
        <v>128.80000000000001</v>
      </c>
      <c r="R97" s="65">
        <v>127.6</v>
      </c>
      <c r="S97" s="65">
        <v>130.4</v>
      </c>
      <c r="T97" s="65">
        <v>129</v>
      </c>
      <c r="U97" s="65">
        <v>127.6</v>
      </c>
      <c r="V97" s="65">
        <v>129.69999999999999</v>
      </c>
      <c r="W97" s="65">
        <v>126.4</v>
      </c>
      <c r="X97" s="65">
        <v>129.19999999999999</v>
      </c>
      <c r="Y97" s="65">
        <v>128.4</v>
      </c>
      <c r="Z97" s="65">
        <v>129.30000000000001</v>
      </c>
      <c r="AA97" s="65">
        <v>129.69999999999999</v>
      </c>
      <c r="AB97" s="65">
        <v>128.6</v>
      </c>
      <c r="AC97" s="65">
        <v>128.19999999999999</v>
      </c>
      <c r="AD97" s="65">
        <v>131.1</v>
      </c>
      <c r="AE97" s="65">
        <v>131</v>
      </c>
      <c r="AF97" s="65">
        <v>129.9</v>
      </c>
      <c r="AG97" s="92"/>
      <c r="AH97" s="48">
        <f t="shared" si="13"/>
        <v>1329.2</v>
      </c>
      <c r="AI97" s="49">
        <f t="shared" si="14"/>
        <v>124.3</v>
      </c>
    </row>
    <row r="98" spans="1:35" x14ac:dyDescent="0.25">
      <c r="A98" s="93" t="s">
        <v>100</v>
      </c>
      <c r="B98" s="65">
        <v>134.5</v>
      </c>
      <c r="C98" s="65">
        <v>133.6</v>
      </c>
      <c r="D98" s="65">
        <v>133.30000000000001</v>
      </c>
      <c r="E98" s="65">
        <v>133.9</v>
      </c>
      <c r="F98" s="65">
        <v>133.30000000000001</v>
      </c>
      <c r="G98" s="65">
        <v>132.4</v>
      </c>
      <c r="H98" s="65">
        <v>132</v>
      </c>
      <c r="I98" s="65">
        <v>132.80000000000001</v>
      </c>
      <c r="J98" s="65">
        <v>132.19999999999999</v>
      </c>
      <c r="K98" s="65">
        <v>132.30000000000001</v>
      </c>
      <c r="L98" s="65">
        <v>128.1</v>
      </c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3"/>
        <v>134.5</v>
      </c>
      <c r="AI98" s="49">
        <f t="shared" si="14"/>
        <v>128.1</v>
      </c>
    </row>
    <row r="99" spans="1:35" x14ac:dyDescent="0.25">
      <c r="A99" s="93" t="s">
        <v>101</v>
      </c>
      <c r="B99" s="94">
        <v>133.19999999999999</v>
      </c>
      <c r="C99" s="94">
        <v>133</v>
      </c>
      <c r="D99" s="94">
        <v>133.6</v>
      </c>
      <c r="E99" s="94">
        <v>134.1</v>
      </c>
      <c r="F99" s="94">
        <v>134</v>
      </c>
      <c r="G99" s="94">
        <v>135.30000000000001</v>
      </c>
      <c r="H99" s="94">
        <v>133.1</v>
      </c>
      <c r="I99" s="94">
        <v>134</v>
      </c>
      <c r="J99" s="94">
        <v>131.30000000000001</v>
      </c>
      <c r="K99" s="94">
        <v>130.69999999999999</v>
      </c>
      <c r="L99" s="94">
        <v>133.30000000000001</v>
      </c>
      <c r="M99" s="94">
        <v>133.9</v>
      </c>
      <c r="N99" s="94">
        <v>132.9</v>
      </c>
      <c r="O99" s="94">
        <v>136.19999999999999</v>
      </c>
      <c r="P99" s="94">
        <v>135.4</v>
      </c>
      <c r="Q99" s="94">
        <v>132.80000000000001</v>
      </c>
      <c r="R99" s="94">
        <v>131.69999999999999</v>
      </c>
      <c r="S99" s="94">
        <v>132.9</v>
      </c>
      <c r="T99" s="94">
        <v>133.4</v>
      </c>
      <c r="U99" s="94">
        <v>132.1</v>
      </c>
      <c r="V99" s="94">
        <v>134</v>
      </c>
      <c r="W99" s="94">
        <v>134.19999999999999</v>
      </c>
      <c r="X99" s="94">
        <v>134.1</v>
      </c>
      <c r="Y99" s="94">
        <v>135.5</v>
      </c>
      <c r="Z99" s="94">
        <v>136</v>
      </c>
      <c r="AA99" s="94">
        <v>136</v>
      </c>
      <c r="AB99" s="94">
        <v>135.5</v>
      </c>
      <c r="AC99" s="94">
        <v>134.1</v>
      </c>
      <c r="AD99" s="94">
        <v>136</v>
      </c>
      <c r="AE99" s="94">
        <v>135.9</v>
      </c>
      <c r="AF99" s="94">
        <v>134.6</v>
      </c>
      <c r="AG99" s="95"/>
      <c r="AH99" s="48">
        <f t="shared" si="13"/>
        <v>136.19999999999999</v>
      </c>
      <c r="AI99" s="49">
        <f t="shared" si="14"/>
        <v>130.69999999999999</v>
      </c>
    </row>
    <row r="100" spans="1:35" x14ac:dyDescent="0.25">
      <c r="A100" s="91" t="s">
        <v>102</v>
      </c>
      <c r="B100" s="65">
        <v>134</v>
      </c>
      <c r="C100" s="65">
        <v>134.6</v>
      </c>
      <c r="D100" s="65">
        <v>135.4</v>
      </c>
      <c r="E100" s="65">
        <v>136.5</v>
      </c>
      <c r="F100" s="65">
        <v>135.9</v>
      </c>
      <c r="G100" s="65">
        <v>135.9</v>
      </c>
      <c r="H100" s="65">
        <v>133.1</v>
      </c>
      <c r="I100" s="65">
        <v>131.5</v>
      </c>
      <c r="J100" s="65">
        <v>129.4</v>
      </c>
      <c r="K100" s="65">
        <v>126.9</v>
      </c>
      <c r="L100" s="65">
        <v>130.19999999999999</v>
      </c>
      <c r="M100" s="65">
        <v>130.30000000000001</v>
      </c>
      <c r="N100" s="65">
        <v>130.1</v>
      </c>
      <c r="O100" s="65">
        <v>133.30000000000001</v>
      </c>
      <c r="P100" s="65">
        <v>131</v>
      </c>
      <c r="Q100" s="65">
        <v>131.1</v>
      </c>
      <c r="R100" s="65">
        <v>124.8</v>
      </c>
      <c r="S100" s="65">
        <v>129.80000000000001</v>
      </c>
      <c r="T100" s="65">
        <v>129.69999999999999</v>
      </c>
      <c r="U100" s="65">
        <v>126.7</v>
      </c>
      <c r="V100" s="65">
        <v>128.69999999999999</v>
      </c>
      <c r="W100" s="65">
        <v>129</v>
      </c>
      <c r="X100" s="65">
        <v>129</v>
      </c>
      <c r="Y100" s="65">
        <v>133.19999999999999</v>
      </c>
      <c r="Z100" s="65">
        <v>135.5</v>
      </c>
      <c r="AA100" s="65">
        <v>133.5</v>
      </c>
      <c r="AB100" s="65">
        <v>133.30000000000001</v>
      </c>
      <c r="AC100" s="65">
        <v>132.80000000000001</v>
      </c>
      <c r="AD100" s="65">
        <v>134.9</v>
      </c>
      <c r="AE100" s="65">
        <v>133.6</v>
      </c>
      <c r="AF100" s="65">
        <v>133.69999999999999</v>
      </c>
      <c r="AG100" s="92"/>
      <c r="AH100" s="48">
        <f t="shared" si="13"/>
        <v>136.5</v>
      </c>
      <c r="AI100" s="49">
        <f t="shared" si="14"/>
        <v>124.8</v>
      </c>
    </row>
    <row r="101" spans="1:35" ht="15.75" thickBot="1" x14ac:dyDescent="0.3">
      <c r="A101" s="91" t="s">
        <v>104</v>
      </c>
      <c r="B101" s="96">
        <v>66.400000000000006</v>
      </c>
      <c r="C101" s="96">
        <v>66.599999999999994</v>
      </c>
      <c r="D101" s="96">
        <v>66.5</v>
      </c>
      <c r="E101" s="96">
        <v>66.599999999999994</v>
      </c>
      <c r="F101" s="96">
        <v>66.400000000000006</v>
      </c>
      <c r="G101" s="96">
        <v>66.099999999999994</v>
      </c>
      <c r="H101" s="96">
        <v>65.599999999999994</v>
      </c>
      <c r="I101" s="96">
        <v>65.2</v>
      </c>
      <c r="J101" s="96">
        <v>64.7</v>
      </c>
      <c r="K101" s="96">
        <v>64.3</v>
      </c>
      <c r="L101" s="96">
        <v>63.5</v>
      </c>
      <c r="M101" s="96">
        <v>62.8</v>
      </c>
      <c r="N101" s="96">
        <v>63.4</v>
      </c>
      <c r="O101" s="96">
        <v>64</v>
      </c>
      <c r="P101" s="96">
        <v>64.2</v>
      </c>
      <c r="Q101" s="96">
        <v>64.599999999999994</v>
      </c>
      <c r="R101" s="96">
        <v>64.900000000000006</v>
      </c>
      <c r="S101" s="96">
        <v>65.099999999999994</v>
      </c>
      <c r="T101" s="96">
        <v>64.7</v>
      </c>
      <c r="U101" s="96">
        <v>64.7</v>
      </c>
      <c r="V101" s="96">
        <v>64.8</v>
      </c>
      <c r="W101" s="96">
        <v>64.400000000000006</v>
      </c>
      <c r="X101" s="96">
        <v>64.5</v>
      </c>
      <c r="Y101" s="96">
        <v>64.8</v>
      </c>
      <c r="Z101" s="96">
        <v>64.8</v>
      </c>
      <c r="AA101" s="96">
        <v>65.400000000000006</v>
      </c>
      <c r="AB101" s="96">
        <v>65.599999999999994</v>
      </c>
      <c r="AC101" s="96">
        <v>65.5</v>
      </c>
      <c r="AD101" s="96">
        <v>66</v>
      </c>
      <c r="AE101" s="96">
        <v>65.8</v>
      </c>
      <c r="AF101" s="96">
        <v>65.8</v>
      </c>
      <c r="AG101" s="97"/>
      <c r="AH101" s="48">
        <f t="shared" si="13"/>
        <v>66.599999999999994</v>
      </c>
      <c r="AI101" s="49">
        <f t="shared" si="14"/>
        <v>62.8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3"/>
        <v>0</v>
      </c>
      <c r="AI102" s="49">
        <f t="shared" si="14"/>
        <v>0</v>
      </c>
    </row>
    <row r="103" spans="1:35" ht="15.75" thickBot="1" x14ac:dyDescent="0.3">
      <c r="A103" s="99" t="s">
        <v>105</v>
      </c>
      <c r="B103" s="100">
        <f t="shared" ref="B103:AF103" si="35">SUM(B16,B22,B25:B26,B51,B53:B54,B56,B58,B104:B108,B130,B136,B142,B151,B153,B165,B172,B175:B176,B183,B185,B187,B191:B193,B195:B197,B202,B208:B209,B211:B213,B221,B226)</f>
        <v>81.299999999999983</v>
      </c>
      <c r="C103" s="100">
        <f t="shared" si="35"/>
        <v>38.339999999999989</v>
      </c>
      <c r="D103" s="100">
        <f t="shared" si="35"/>
        <v>32.14</v>
      </c>
      <c r="E103" s="100">
        <f t="shared" si="35"/>
        <v>29.039999999999988</v>
      </c>
      <c r="F103" s="100">
        <f t="shared" si="35"/>
        <v>44.739999999999988</v>
      </c>
      <c r="G103" s="100">
        <f t="shared" si="35"/>
        <v>88.273333333333994</v>
      </c>
      <c r="H103" s="100">
        <f t="shared" si="35"/>
        <v>106.94</v>
      </c>
      <c r="I103" s="100">
        <f t="shared" si="35"/>
        <v>131.84000000000003</v>
      </c>
      <c r="J103" s="100">
        <f t="shared" si="35"/>
        <v>175.44</v>
      </c>
      <c r="K103" s="100">
        <f t="shared" si="35"/>
        <v>225.73999999999998</v>
      </c>
      <c r="L103" s="100">
        <f t="shared" si="35"/>
        <v>250.14</v>
      </c>
      <c r="M103" s="100">
        <f t="shared" si="35"/>
        <v>258.94</v>
      </c>
      <c r="N103" s="100">
        <f t="shared" si="35"/>
        <v>231.94000000000003</v>
      </c>
      <c r="O103" s="100">
        <f t="shared" si="35"/>
        <v>223.24000000000004</v>
      </c>
      <c r="P103" s="100">
        <f t="shared" si="35"/>
        <v>207.34000000000003</v>
      </c>
      <c r="Q103" s="100">
        <f t="shared" si="35"/>
        <v>188.20000000000002</v>
      </c>
      <c r="R103" s="100">
        <f t="shared" si="35"/>
        <v>176.00000000000003</v>
      </c>
      <c r="S103" s="100">
        <f t="shared" si="35"/>
        <v>178.50000000000003</v>
      </c>
      <c r="T103" s="100">
        <f t="shared" si="35"/>
        <v>188.60000000000002</v>
      </c>
      <c r="U103" s="100">
        <f t="shared" si="35"/>
        <v>197.60000000000008</v>
      </c>
      <c r="V103" s="100">
        <f t="shared" si="35"/>
        <v>231.50000000000003</v>
      </c>
      <c r="W103" s="100">
        <f t="shared" si="35"/>
        <v>290.5</v>
      </c>
      <c r="X103" s="100">
        <f t="shared" si="35"/>
        <v>289.20000000000005</v>
      </c>
      <c r="Y103" s="100">
        <f t="shared" si="35"/>
        <v>282.2</v>
      </c>
      <c r="Z103" s="100">
        <f t="shared" si="35"/>
        <v>277.10000000000002</v>
      </c>
      <c r="AA103" s="100">
        <f t="shared" si="35"/>
        <v>260.60000000000002</v>
      </c>
      <c r="AB103" s="100">
        <f t="shared" si="35"/>
        <v>236.2</v>
      </c>
      <c r="AC103" s="100">
        <f t="shared" si="35"/>
        <v>214.2</v>
      </c>
      <c r="AD103" s="100">
        <f t="shared" si="35"/>
        <v>153.4</v>
      </c>
      <c r="AE103" s="100">
        <f t="shared" si="35"/>
        <v>116.69999999999999</v>
      </c>
      <c r="AF103" s="100">
        <f t="shared" si="35"/>
        <v>84.000000000000028</v>
      </c>
      <c r="AG103" s="101"/>
      <c r="AH103" s="48">
        <f t="shared" si="13"/>
        <v>290.5</v>
      </c>
      <c r="AI103" s="49">
        <f t="shared" si="14"/>
        <v>29.039999999999988</v>
      </c>
    </row>
    <row r="104" spans="1:35" x14ac:dyDescent="0.25">
      <c r="A104" s="88" t="s">
        <v>106</v>
      </c>
      <c r="B104" s="102">
        <v>24.4</v>
      </c>
      <c r="C104" s="102">
        <v>18.600000000000001</v>
      </c>
      <c r="D104" s="102">
        <v>22.8</v>
      </c>
      <c r="E104" s="102">
        <v>22.2</v>
      </c>
      <c r="F104" s="102">
        <v>25.7</v>
      </c>
      <c r="G104" s="102">
        <v>36.9</v>
      </c>
      <c r="H104" s="102">
        <v>41.3</v>
      </c>
      <c r="I104" s="102">
        <v>46.8</v>
      </c>
      <c r="J104" s="102">
        <v>47.8</v>
      </c>
      <c r="K104" s="102">
        <v>50.1</v>
      </c>
      <c r="L104" s="102">
        <v>45.5</v>
      </c>
      <c r="M104" s="102">
        <v>47.4</v>
      </c>
      <c r="N104" s="102">
        <v>50.4</v>
      </c>
      <c r="O104" s="102">
        <v>49.9</v>
      </c>
      <c r="P104" s="102">
        <v>46.4</v>
      </c>
      <c r="Q104" s="102">
        <v>37.6</v>
      </c>
      <c r="R104" s="102">
        <v>35.9</v>
      </c>
      <c r="S104" s="102">
        <v>40.4</v>
      </c>
      <c r="T104" s="102">
        <v>42.3</v>
      </c>
      <c r="U104" s="102">
        <v>48</v>
      </c>
      <c r="V104" s="102">
        <v>40.6</v>
      </c>
      <c r="W104" s="102">
        <v>40.200000000000003</v>
      </c>
      <c r="X104" s="102">
        <v>45.1</v>
      </c>
      <c r="Y104" s="102">
        <v>48.6</v>
      </c>
      <c r="Z104" s="102">
        <v>52.1</v>
      </c>
      <c r="AA104" s="102">
        <v>55.3</v>
      </c>
      <c r="AB104" s="102">
        <v>57.1</v>
      </c>
      <c r="AC104" s="102">
        <v>61.3</v>
      </c>
      <c r="AD104" s="102">
        <v>46.7</v>
      </c>
      <c r="AE104" s="102">
        <v>43.5</v>
      </c>
      <c r="AF104" s="102">
        <v>32.299999999999997</v>
      </c>
      <c r="AG104" s="103">
        <v>75</v>
      </c>
      <c r="AH104" s="48">
        <f t="shared" si="13"/>
        <v>61.3</v>
      </c>
      <c r="AI104" s="49">
        <f t="shared" si="14"/>
        <v>18.600000000000001</v>
      </c>
    </row>
    <row r="105" spans="1:35" x14ac:dyDescent="0.25">
      <c r="A105" s="91" t="s">
        <v>107</v>
      </c>
      <c r="B105" s="104">
        <v>72.2</v>
      </c>
      <c r="C105" s="104">
        <v>32.6</v>
      </c>
      <c r="D105" s="104">
        <v>37.700000000000003</v>
      </c>
      <c r="E105" s="104">
        <v>36.5</v>
      </c>
      <c r="F105" s="104">
        <v>42.6</v>
      </c>
      <c r="G105" s="104">
        <v>56.2</v>
      </c>
      <c r="H105" s="104">
        <v>63.8</v>
      </c>
      <c r="I105" s="104">
        <v>74</v>
      </c>
      <c r="J105" s="104">
        <v>75</v>
      </c>
      <c r="K105" s="104">
        <v>77.3</v>
      </c>
      <c r="L105" s="104">
        <v>69.099999999999994</v>
      </c>
      <c r="M105" s="104">
        <v>71.599999999999994</v>
      </c>
      <c r="N105" s="104">
        <v>76.900000000000006</v>
      </c>
      <c r="O105" s="104">
        <v>75.900000000000006</v>
      </c>
      <c r="P105" s="104">
        <v>71.900000000000006</v>
      </c>
      <c r="Q105" s="104">
        <v>60.2</v>
      </c>
      <c r="R105" s="104">
        <v>57.9</v>
      </c>
      <c r="S105" s="104">
        <v>64.099999999999994</v>
      </c>
      <c r="T105" s="104">
        <v>67.3</v>
      </c>
      <c r="U105" s="104">
        <v>74.5</v>
      </c>
      <c r="V105" s="104">
        <v>60.1</v>
      </c>
      <c r="W105" s="104">
        <v>56.7</v>
      </c>
      <c r="X105" s="104">
        <v>62.5</v>
      </c>
      <c r="Y105" s="104">
        <v>69.5</v>
      </c>
      <c r="Z105" s="104">
        <v>72.900000000000006</v>
      </c>
      <c r="AA105" s="104">
        <v>79</v>
      </c>
      <c r="AB105" s="104">
        <v>83.3</v>
      </c>
      <c r="AC105" s="104">
        <v>89.8</v>
      </c>
      <c r="AD105" s="104">
        <v>66.8</v>
      </c>
      <c r="AE105" s="104">
        <v>62</v>
      </c>
      <c r="AF105" s="104">
        <v>49.4</v>
      </c>
      <c r="AG105" s="103">
        <v>240</v>
      </c>
      <c r="AH105" s="48">
        <f t="shared" si="13"/>
        <v>89.8</v>
      </c>
      <c r="AI105" s="49">
        <f t="shared" si="14"/>
        <v>32.6</v>
      </c>
    </row>
    <row r="106" spans="1:35" x14ac:dyDescent="0.25">
      <c r="A106" s="91" t="s">
        <v>108</v>
      </c>
      <c r="B106" s="104">
        <f>-70.2-73.7</f>
        <v>-143.9</v>
      </c>
      <c r="C106" s="104">
        <f>-63.8-67.2</f>
        <v>-131</v>
      </c>
      <c r="D106" s="104">
        <f>-69-73.5</f>
        <v>-142.5</v>
      </c>
      <c r="E106" s="104">
        <v>-147</v>
      </c>
      <c r="F106" s="104">
        <v>-142</v>
      </c>
      <c r="G106" s="104">
        <v>-125</v>
      </c>
      <c r="H106" s="104">
        <v>-119</v>
      </c>
      <c r="I106" s="104">
        <v>-120</v>
      </c>
      <c r="J106" s="104">
        <v>-94</v>
      </c>
      <c r="K106" s="104">
        <v>-51.9</v>
      </c>
      <c r="L106" s="104">
        <v>-23</v>
      </c>
      <c r="M106" s="104">
        <v>-22</v>
      </c>
      <c r="N106" s="104">
        <f>-25-27</f>
        <v>-52</v>
      </c>
      <c r="O106" s="104">
        <f>-29-31</f>
        <v>-60</v>
      </c>
      <c r="P106" s="104">
        <f>-34-37</f>
        <v>-71</v>
      </c>
      <c r="Q106" s="104">
        <f>-32.9-36</f>
        <v>-68.900000000000006</v>
      </c>
      <c r="R106" s="104">
        <f>-36-38</f>
        <v>-74</v>
      </c>
      <c r="S106" s="104">
        <f>-38-42</f>
        <v>-80</v>
      </c>
      <c r="T106" s="104">
        <v>-77</v>
      </c>
      <c r="U106" s="104">
        <v>-79</v>
      </c>
      <c r="V106" s="104">
        <v>-26</v>
      </c>
      <c r="W106" s="104">
        <v>6</v>
      </c>
      <c r="X106" s="104">
        <v>3.2</v>
      </c>
      <c r="Y106" s="104">
        <v>-4.3</v>
      </c>
      <c r="Z106" s="104">
        <v>-13</v>
      </c>
      <c r="AA106" s="104">
        <v>-37</v>
      </c>
      <c r="AB106" s="104">
        <f>-31-34.1</f>
        <v>-65.099999999999994</v>
      </c>
      <c r="AC106" s="104">
        <f>-43.6-47.2</f>
        <v>-90.800000000000011</v>
      </c>
      <c r="AD106" s="104">
        <f>-44-46.6</f>
        <v>-90.6</v>
      </c>
      <c r="AE106" s="104">
        <f>-55.7-59.2</f>
        <v>-114.9</v>
      </c>
      <c r="AF106" s="104">
        <f>-60-63.6</f>
        <v>-123.6</v>
      </c>
      <c r="AG106" s="103">
        <v>240</v>
      </c>
      <c r="AH106" s="48">
        <f t="shared" si="13"/>
        <v>6</v>
      </c>
      <c r="AI106" s="49">
        <f t="shared" si="14"/>
        <v>-147</v>
      </c>
    </row>
    <row r="107" spans="1:35" x14ac:dyDescent="0.25">
      <c r="A107" s="91" t="s">
        <v>109</v>
      </c>
      <c r="B107" s="104">
        <v>-13</v>
      </c>
      <c r="C107" s="104">
        <v>-13.7</v>
      </c>
      <c r="D107" s="104">
        <v>-17.8</v>
      </c>
      <c r="E107" s="104">
        <v>-14.6</v>
      </c>
      <c r="F107" s="104">
        <v>-13.4</v>
      </c>
      <c r="G107" s="104">
        <v>-11.666666666666</v>
      </c>
      <c r="H107" s="104">
        <v>-10.5</v>
      </c>
      <c r="I107" s="104">
        <v>-10.199999999999999</v>
      </c>
      <c r="J107" s="104">
        <v>-3.2</v>
      </c>
      <c r="K107" s="104">
        <v>0</v>
      </c>
      <c r="L107" s="104">
        <v>8.3000000000000007</v>
      </c>
      <c r="M107" s="104">
        <v>7.6</v>
      </c>
      <c r="N107" s="104">
        <v>2.6</v>
      </c>
      <c r="O107" s="104">
        <v>3.4</v>
      </c>
      <c r="P107" s="104">
        <v>6</v>
      </c>
      <c r="Q107" s="104">
        <v>6.2</v>
      </c>
      <c r="R107" s="104">
        <v>6.7</v>
      </c>
      <c r="S107" s="104">
        <v>5.7</v>
      </c>
      <c r="T107" s="104">
        <v>5.7</v>
      </c>
      <c r="U107" s="104">
        <v>5.8</v>
      </c>
      <c r="V107" s="104">
        <v>12.5</v>
      </c>
      <c r="W107" s="104">
        <v>47.4</v>
      </c>
      <c r="X107" s="104">
        <v>32.1</v>
      </c>
      <c r="Y107" s="104">
        <v>22.1</v>
      </c>
      <c r="Z107" s="104">
        <v>18.8</v>
      </c>
      <c r="AA107" s="104">
        <v>17</v>
      </c>
      <c r="AB107" s="104">
        <v>12.9</v>
      </c>
      <c r="AC107" s="104">
        <v>5.5</v>
      </c>
      <c r="AD107" s="104">
        <v>0</v>
      </c>
      <c r="AE107" s="104">
        <v>-4.4000000000000004</v>
      </c>
      <c r="AF107" s="104">
        <v>-4.5999999999999996</v>
      </c>
      <c r="AG107" s="103">
        <v>60</v>
      </c>
      <c r="AH107" s="48">
        <f t="shared" si="13"/>
        <v>47.4</v>
      </c>
      <c r="AI107" s="49">
        <f t="shared" si="14"/>
        <v>-17.8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13"/>
        <v>0</v>
      </c>
      <c r="AI108" s="49">
        <f t="shared" si="14"/>
        <v>0</v>
      </c>
    </row>
    <row r="109" spans="1:35" x14ac:dyDescent="0.25">
      <c r="A109" s="105" t="s">
        <v>111</v>
      </c>
      <c r="B109" s="106">
        <v>-25.9</v>
      </c>
      <c r="C109" s="106">
        <v>-8.1</v>
      </c>
      <c r="D109" s="106">
        <v>-1</v>
      </c>
      <c r="E109" s="106">
        <v>-18.8</v>
      </c>
      <c r="F109" s="106">
        <v>-17.3</v>
      </c>
      <c r="G109" s="106">
        <v>-1.9</v>
      </c>
      <c r="H109" s="106">
        <v>0</v>
      </c>
      <c r="I109" s="106">
        <v>0</v>
      </c>
      <c r="J109" s="106">
        <v>25.8</v>
      </c>
      <c r="K109" s="106">
        <v>59.1</v>
      </c>
      <c r="L109" s="106">
        <v>93</v>
      </c>
      <c r="M109" s="106">
        <v>88</v>
      </c>
      <c r="N109" s="106">
        <v>58.1</v>
      </c>
      <c r="O109" s="106">
        <v>41.6</v>
      </c>
      <c r="P109" s="106">
        <v>41.2</v>
      </c>
      <c r="Q109" s="106">
        <v>41.1</v>
      </c>
      <c r="R109" s="106">
        <v>43.9</v>
      </c>
      <c r="S109" s="106">
        <v>-32.4</v>
      </c>
      <c r="T109" s="106">
        <v>40.700000000000003</v>
      </c>
      <c r="U109" s="106">
        <v>22.9</v>
      </c>
      <c r="V109" s="106">
        <v>50.6</v>
      </c>
      <c r="W109" s="106">
        <v>85</v>
      </c>
      <c r="X109" s="106">
        <v>82.4</v>
      </c>
      <c r="Y109" s="106">
        <v>70.900000000000006</v>
      </c>
      <c r="Z109" s="106">
        <v>67</v>
      </c>
      <c r="AA109" s="106">
        <v>45.6</v>
      </c>
      <c r="AB109" s="106">
        <v>9.8000000000000007</v>
      </c>
      <c r="AC109" s="106">
        <v>7</v>
      </c>
      <c r="AD109" s="106">
        <v>6.7</v>
      </c>
      <c r="AE109" s="106">
        <v>20.100000000000001</v>
      </c>
      <c r="AF109" s="106">
        <v>21.7</v>
      </c>
      <c r="AG109" s="107"/>
      <c r="AH109" s="48">
        <f t="shared" si="13"/>
        <v>93</v>
      </c>
      <c r="AI109" s="49">
        <f t="shared" si="14"/>
        <v>-32.4</v>
      </c>
    </row>
    <row r="110" spans="1:35" x14ac:dyDescent="0.25">
      <c r="A110" s="105" t="s">
        <v>112</v>
      </c>
      <c r="B110" s="106">
        <v>20</v>
      </c>
      <c r="C110" s="106">
        <v>30.6</v>
      </c>
      <c r="D110" s="106">
        <v>35</v>
      </c>
      <c r="E110" s="106">
        <v>23.3</v>
      </c>
      <c r="F110" s="106">
        <v>22.4</v>
      </c>
      <c r="G110" s="106">
        <v>-1.8</v>
      </c>
      <c r="H110" s="106">
        <v>0.4</v>
      </c>
      <c r="I110" s="106">
        <v>10.1</v>
      </c>
      <c r="J110" s="106">
        <v>20.100000000000001</v>
      </c>
      <c r="K110" s="106">
        <v>20.399999999999999</v>
      </c>
      <c r="L110" s="106">
        <v>30.7</v>
      </c>
      <c r="M110" s="106">
        <v>23.5</v>
      </c>
      <c r="N110" s="106">
        <v>9.6999999999999993</v>
      </c>
      <c r="O110" s="106">
        <v>13</v>
      </c>
      <c r="P110" s="106">
        <v>14.4</v>
      </c>
      <c r="Q110" s="106">
        <v>20.5</v>
      </c>
      <c r="R110" s="106">
        <v>23.7</v>
      </c>
      <c r="S110" s="106">
        <v>25.3</v>
      </c>
      <c r="T110" s="106">
        <v>25.9</v>
      </c>
      <c r="U110" s="106">
        <v>9.1</v>
      </c>
      <c r="V110" s="106">
        <v>29.7</v>
      </c>
      <c r="W110" s="106">
        <v>42.4</v>
      </c>
      <c r="X110" s="106">
        <v>35</v>
      </c>
      <c r="Y110" s="106">
        <v>27.8</v>
      </c>
      <c r="Z110" s="106">
        <v>25.4</v>
      </c>
      <c r="AA110" s="106">
        <v>11.5</v>
      </c>
      <c r="AB110" s="106">
        <v>0.8</v>
      </c>
      <c r="AC110" s="106">
        <v>-7.2</v>
      </c>
      <c r="AD110" s="106">
        <v>3.1</v>
      </c>
      <c r="AE110" s="106">
        <v>2</v>
      </c>
      <c r="AF110" s="106">
        <v>1.8</v>
      </c>
      <c r="AG110" s="108"/>
      <c r="AH110" s="48">
        <f t="shared" si="13"/>
        <v>42.4</v>
      </c>
      <c r="AI110" s="49">
        <f t="shared" si="14"/>
        <v>-7.2</v>
      </c>
    </row>
    <row r="111" spans="1:35" x14ac:dyDescent="0.25">
      <c r="A111" s="109" t="s">
        <v>113</v>
      </c>
      <c r="B111" s="94">
        <v>58.2</v>
      </c>
      <c r="C111" s="94">
        <v>59.1</v>
      </c>
      <c r="D111" s="94">
        <v>57.8</v>
      </c>
      <c r="E111" s="94">
        <v>60.7</v>
      </c>
      <c r="F111" s="94">
        <v>55.6</v>
      </c>
      <c r="G111" s="94">
        <v>54.7</v>
      </c>
      <c r="H111" s="94">
        <v>51</v>
      </c>
      <c r="I111" s="94">
        <v>48</v>
      </c>
      <c r="J111" s="94">
        <v>43.6</v>
      </c>
      <c r="K111" s="94">
        <v>39.9</v>
      </c>
      <c r="L111" s="94">
        <v>36</v>
      </c>
      <c r="M111" s="94">
        <v>35.799999999999997</v>
      </c>
      <c r="N111" s="94">
        <v>39.6</v>
      </c>
      <c r="O111" s="94">
        <v>42.2</v>
      </c>
      <c r="P111" s="94">
        <v>44.1</v>
      </c>
      <c r="Q111" s="94">
        <v>44.8</v>
      </c>
      <c r="R111" s="94">
        <v>55.3</v>
      </c>
      <c r="S111" s="94">
        <v>50.5</v>
      </c>
      <c r="T111" s="94">
        <v>45.5</v>
      </c>
      <c r="U111" s="94">
        <v>26.7</v>
      </c>
      <c r="V111" s="94">
        <v>30.2</v>
      </c>
      <c r="W111" s="94">
        <v>18</v>
      </c>
      <c r="X111" s="94">
        <v>28.8</v>
      </c>
      <c r="Y111" s="94">
        <v>32.799999999999997</v>
      </c>
      <c r="Z111" s="94">
        <v>34.5</v>
      </c>
      <c r="AA111" s="94">
        <v>35.6</v>
      </c>
      <c r="AB111" s="94">
        <v>42.7</v>
      </c>
      <c r="AC111" s="94">
        <v>45.4</v>
      </c>
      <c r="AD111" s="94">
        <v>49.6</v>
      </c>
      <c r="AE111" s="94">
        <v>52.1</v>
      </c>
      <c r="AF111" s="94">
        <v>51.6</v>
      </c>
      <c r="AG111" s="108"/>
      <c r="AH111" s="48">
        <f t="shared" si="13"/>
        <v>60.7</v>
      </c>
      <c r="AI111" s="49">
        <f t="shared" si="14"/>
        <v>18</v>
      </c>
    </row>
    <row r="112" spans="1:35" ht="15.75" thickBot="1" x14ac:dyDescent="0.3">
      <c r="A112" s="109" t="s">
        <v>114</v>
      </c>
      <c r="B112" s="94">
        <v>98.9</v>
      </c>
      <c r="C112" s="94">
        <v>81.7</v>
      </c>
      <c r="D112" s="94">
        <v>82.6</v>
      </c>
      <c r="E112" s="94">
        <v>97.6</v>
      </c>
      <c r="F112" s="94">
        <v>94.9</v>
      </c>
      <c r="G112" s="94">
        <v>87.4</v>
      </c>
      <c r="H112" s="94">
        <v>85.5</v>
      </c>
      <c r="I112" s="94">
        <v>86.3</v>
      </c>
      <c r="J112" s="94">
        <v>67.900000000000006</v>
      </c>
      <c r="K112" s="94">
        <v>37.9</v>
      </c>
      <c r="L112" s="94">
        <v>17.2</v>
      </c>
      <c r="M112" s="94">
        <v>17.7</v>
      </c>
      <c r="N112" s="94">
        <v>41</v>
      </c>
      <c r="O112" s="94">
        <v>45.8</v>
      </c>
      <c r="P112" s="94">
        <v>91.7</v>
      </c>
      <c r="Q112" s="94">
        <v>80.400000000000006</v>
      </c>
      <c r="R112" s="94">
        <v>14.7</v>
      </c>
      <c r="S112" s="94">
        <v>15.5</v>
      </c>
      <c r="T112" s="94">
        <v>16.399999999999999</v>
      </c>
      <c r="U112" s="94">
        <v>15.3</v>
      </c>
      <c r="V112" s="94">
        <v>21.8</v>
      </c>
      <c r="W112" s="94">
        <v>1.9</v>
      </c>
      <c r="X112" s="94">
        <v>2.1</v>
      </c>
      <c r="Y112" s="94">
        <v>5.2</v>
      </c>
      <c r="Z112" s="94">
        <v>11.9</v>
      </c>
      <c r="AA112" s="94">
        <v>33.1</v>
      </c>
      <c r="AB112" s="94">
        <v>57.7</v>
      </c>
      <c r="AC112" s="94">
        <v>73.900000000000006</v>
      </c>
      <c r="AD112" s="94">
        <v>64.2</v>
      </c>
      <c r="AE112" s="94">
        <v>81.400000000000006</v>
      </c>
      <c r="AF112" s="94">
        <v>85.7</v>
      </c>
      <c r="AG112" s="108"/>
      <c r="AH112" s="48">
        <f t="shared" si="13"/>
        <v>98.9</v>
      </c>
      <c r="AI112" s="49">
        <f t="shared" si="14"/>
        <v>1.9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36">SUM(B114:B218)</f>
        <v>0</v>
      </c>
      <c r="C219" s="125">
        <f t="shared" si="36"/>
        <v>0</v>
      </c>
      <c r="D219" s="125">
        <f t="shared" si="36"/>
        <v>0</v>
      </c>
      <c r="E219" s="125">
        <f t="shared" si="36"/>
        <v>0</v>
      </c>
      <c r="F219" s="125">
        <f t="shared" si="36"/>
        <v>0</v>
      </c>
      <c r="G219" s="125">
        <f t="shared" si="36"/>
        <v>0</v>
      </c>
      <c r="H219" s="125">
        <f t="shared" si="36"/>
        <v>0</v>
      </c>
      <c r="I219" s="125">
        <f t="shared" si="36"/>
        <v>0</v>
      </c>
      <c r="J219" s="125">
        <f t="shared" si="36"/>
        <v>0</v>
      </c>
      <c r="K219" s="125">
        <f t="shared" si="36"/>
        <v>0</v>
      </c>
      <c r="L219" s="125">
        <f t="shared" si="36"/>
        <v>0</v>
      </c>
      <c r="M219" s="125">
        <f t="shared" si="36"/>
        <v>0</v>
      </c>
      <c r="N219" s="125">
        <f t="shared" si="36"/>
        <v>0</v>
      </c>
      <c r="O219" s="125">
        <f t="shared" si="36"/>
        <v>0</v>
      </c>
      <c r="P219" s="125">
        <f t="shared" si="36"/>
        <v>0</v>
      </c>
      <c r="Q219" s="125">
        <f t="shared" si="36"/>
        <v>0</v>
      </c>
      <c r="R219" s="125">
        <f t="shared" si="36"/>
        <v>0</v>
      </c>
      <c r="S219" s="125">
        <f t="shared" si="36"/>
        <v>0</v>
      </c>
      <c r="T219" s="125">
        <f t="shared" si="36"/>
        <v>0</v>
      </c>
      <c r="U219" s="125">
        <f t="shared" si="36"/>
        <v>0</v>
      </c>
      <c r="V219" s="125">
        <f t="shared" si="36"/>
        <v>0</v>
      </c>
      <c r="W219" s="125">
        <f t="shared" si="36"/>
        <v>0</v>
      </c>
      <c r="X219" s="125">
        <f t="shared" si="36"/>
        <v>0</v>
      </c>
      <c r="Y219" s="125">
        <f t="shared" si="36"/>
        <v>0</v>
      </c>
      <c r="Z219" s="125">
        <f t="shared" si="36"/>
        <v>0</v>
      </c>
      <c r="AA219" s="125">
        <f t="shared" si="36"/>
        <v>0</v>
      </c>
      <c r="AB219" s="125">
        <f t="shared" si="36"/>
        <v>0</v>
      </c>
      <c r="AC219" s="125">
        <f t="shared" si="36"/>
        <v>0</v>
      </c>
      <c r="AD219" s="125">
        <f t="shared" si="36"/>
        <v>0</v>
      </c>
      <c r="AE219" s="125">
        <f t="shared" si="36"/>
        <v>0</v>
      </c>
      <c r="AF219" s="126">
        <f t="shared" si="36"/>
        <v>0</v>
      </c>
      <c r="AG219" s="127">
        <f t="shared" si="36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37">AF221</f>
        <v>0</v>
      </c>
      <c r="C221" s="129">
        <v>0.3</v>
      </c>
      <c r="D221" s="129">
        <f t="shared" ref="D221:P226" si="38">C221</f>
        <v>0.3</v>
      </c>
      <c r="E221" s="129">
        <f t="shared" si="38"/>
        <v>0.3</v>
      </c>
      <c r="F221" s="129">
        <f t="shared" si="38"/>
        <v>0.3</v>
      </c>
      <c r="G221" s="129">
        <f t="shared" si="38"/>
        <v>0.3</v>
      </c>
      <c r="H221" s="129">
        <f t="shared" si="38"/>
        <v>0.3</v>
      </c>
      <c r="I221" s="129">
        <f t="shared" si="38"/>
        <v>0.3</v>
      </c>
      <c r="J221" s="129">
        <f t="shared" si="38"/>
        <v>0.3</v>
      </c>
      <c r="K221" s="129">
        <f t="shared" si="38"/>
        <v>0.3</v>
      </c>
      <c r="L221" s="129">
        <f t="shared" si="38"/>
        <v>0.3</v>
      </c>
      <c r="M221" s="129">
        <f t="shared" si="38"/>
        <v>0.3</v>
      </c>
      <c r="N221" s="129">
        <f t="shared" si="38"/>
        <v>0.3</v>
      </c>
      <c r="O221" s="129">
        <f t="shared" si="38"/>
        <v>0.3</v>
      </c>
      <c r="P221" s="129">
        <f t="shared" si="38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37"/>
        <v>0</v>
      </c>
      <c r="C222" s="117">
        <v>0.4</v>
      </c>
      <c r="D222" s="117">
        <f t="shared" si="38"/>
        <v>0.4</v>
      </c>
      <c r="E222" s="117">
        <f t="shared" si="38"/>
        <v>0.4</v>
      </c>
      <c r="F222" s="117">
        <f t="shared" si="38"/>
        <v>0.4</v>
      </c>
      <c r="G222" s="117">
        <f t="shared" si="38"/>
        <v>0.4</v>
      </c>
      <c r="H222" s="117">
        <f t="shared" si="38"/>
        <v>0.4</v>
      </c>
      <c r="I222" s="117">
        <f t="shared" si="38"/>
        <v>0.4</v>
      </c>
      <c r="J222" s="117">
        <f t="shared" si="38"/>
        <v>0.4</v>
      </c>
      <c r="K222" s="117">
        <f t="shared" si="38"/>
        <v>0.4</v>
      </c>
      <c r="L222" s="117">
        <f t="shared" si="38"/>
        <v>0.4</v>
      </c>
      <c r="M222" s="117">
        <f t="shared" si="38"/>
        <v>0.4</v>
      </c>
      <c r="N222" s="117">
        <f t="shared" si="38"/>
        <v>0.4</v>
      </c>
      <c r="O222" s="117">
        <f t="shared" si="38"/>
        <v>0.4</v>
      </c>
      <c r="P222" s="117">
        <f t="shared" si="38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37"/>
        <v>0</v>
      </c>
      <c r="C223" s="117">
        <v>1.5</v>
      </c>
      <c r="D223" s="117">
        <f t="shared" si="38"/>
        <v>1.5</v>
      </c>
      <c r="E223" s="117">
        <f t="shared" si="38"/>
        <v>1.5</v>
      </c>
      <c r="F223" s="117">
        <f t="shared" si="38"/>
        <v>1.5</v>
      </c>
      <c r="G223" s="117">
        <f t="shared" si="38"/>
        <v>1.5</v>
      </c>
      <c r="H223" s="117">
        <f t="shared" si="38"/>
        <v>1.5</v>
      </c>
      <c r="I223" s="117">
        <f t="shared" si="38"/>
        <v>1.5</v>
      </c>
      <c r="J223" s="117">
        <f t="shared" si="38"/>
        <v>1.5</v>
      </c>
      <c r="K223" s="117">
        <f t="shared" si="38"/>
        <v>1.5</v>
      </c>
      <c r="L223" s="117">
        <f t="shared" si="38"/>
        <v>1.5</v>
      </c>
      <c r="M223" s="117">
        <f t="shared" si="38"/>
        <v>1.5</v>
      </c>
      <c r="N223" s="117">
        <f t="shared" si="38"/>
        <v>1.5</v>
      </c>
      <c r="O223" s="117">
        <f t="shared" si="38"/>
        <v>1.5</v>
      </c>
      <c r="P223" s="117">
        <f t="shared" si="38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37"/>
        <v>0</v>
      </c>
      <c r="C224" s="117">
        <v>0.3</v>
      </c>
      <c r="D224" s="117">
        <f t="shared" si="38"/>
        <v>0.3</v>
      </c>
      <c r="E224" s="117">
        <f t="shared" si="38"/>
        <v>0.3</v>
      </c>
      <c r="F224" s="117">
        <f t="shared" si="38"/>
        <v>0.3</v>
      </c>
      <c r="G224" s="117">
        <f t="shared" si="38"/>
        <v>0.3</v>
      </c>
      <c r="H224" s="117">
        <f t="shared" si="38"/>
        <v>0.3</v>
      </c>
      <c r="I224" s="117">
        <f t="shared" si="38"/>
        <v>0.3</v>
      </c>
      <c r="J224" s="117">
        <f t="shared" si="38"/>
        <v>0.3</v>
      </c>
      <c r="K224" s="117">
        <f t="shared" si="38"/>
        <v>0.3</v>
      </c>
      <c r="L224" s="117">
        <f t="shared" si="38"/>
        <v>0.3</v>
      </c>
      <c r="M224" s="117">
        <f t="shared" si="38"/>
        <v>0.3</v>
      </c>
      <c r="N224" s="117">
        <f t="shared" si="38"/>
        <v>0.3</v>
      </c>
      <c r="O224" s="117">
        <f t="shared" si="38"/>
        <v>0.3</v>
      </c>
      <c r="P224" s="117">
        <f t="shared" si="38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37"/>
        <v>0</v>
      </c>
      <c r="C225" s="117">
        <v>0.4</v>
      </c>
      <c r="D225" s="117">
        <f t="shared" si="38"/>
        <v>0.4</v>
      </c>
      <c r="E225" s="117">
        <f t="shared" si="38"/>
        <v>0.4</v>
      </c>
      <c r="F225" s="117">
        <f t="shared" si="38"/>
        <v>0.4</v>
      </c>
      <c r="G225" s="117">
        <f t="shared" si="38"/>
        <v>0.4</v>
      </c>
      <c r="H225" s="117">
        <f t="shared" si="38"/>
        <v>0.4</v>
      </c>
      <c r="I225" s="117">
        <f t="shared" si="38"/>
        <v>0.4</v>
      </c>
      <c r="J225" s="117">
        <f t="shared" si="38"/>
        <v>0.4</v>
      </c>
      <c r="K225" s="117">
        <f t="shared" si="38"/>
        <v>0.4</v>
      </c>
      <c r="L225" s="117">
        <f t="shared" si="38"/>
        <v>0.4</v>
      </c>
      <c r="M225" s="117">
        <f t="shared" si="38"/>
        <v>0.4</v>
      </c>
      <c r="N225" s="117">
        <f t="shared" si="38"/>
        <v>0.4</v>
      </c>
      <c r="O225" s="117">
        <f t="shared" si="38"/>
        <v>0.4</v>
      </c>
      <c r="P225" s="117">
        <f t="shared" si="38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37"/>
        <v>0</v>
      </c>
      <c r="C226" s="121">
        <v>0.64</v>
      </c>
      <c r="D226" s="121">
        <f t="shared" si="38"/>
        <v>0.64</v>
      </c>
      <c r="E226" s="121">
        <f t="shared" si="38"/>
        <v>0.64</v>
      </c>
      <c r="F226" s="121">
        <f t="shared" si="38"/>
        <v>0.64</v>
      </c>
      <c r="G226" s="121">
        <f t="shared" si="38"/>
        <v>0.64</v>
      </c>
      <c r="H226" s="121">
        <f t="shared" si="38"/>
        <v>0.64</v>
      </c>
      <c r="I226" s="121">
        <f t="shared" si="38"/>
        <v>0.64</v>
      </c>
      <c r="J226" s="121">
        <f t="shared" si="38"/>
        <v>0.64</v>
      </c>
      <c r="K226" s="121">
        <f t="shared" si="38"/>
        <v>0.64</v>
      </c>
      <c r="L226" s="121">
        <f t="shared" si="38"/>
        <v>0.64</v>
      </c>
      <c r="M226" s="121">
        <f t="shared" si="38"/>
        <v>0.64</v>
      </c>
      <c r="N226" s="121">
        <f t="shared" si="38"/>
        <v>0.64</v>
      </c>
      <c r="O226" s="121">
        <f t="shared" si="38"/>
        <v>0.64</v>
      </c>
      <c r="P226" s="121">
        <f t="shared" si="38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39">SUM(B221:B226)</f>
        <v>0</v>
      </c>
      <c r="C227" s="125">
        <f t="shared" si="39"/>
        <v>3.54</v>
      </c>
      <c r="D227" s="125">
        <f t="shared" si="39"/>
        <v>3.54</v>
      </c>
      <c r="E227" s="125">
        <f t="shared" si="39"/>
        <v>3.54</v>
      </c>
      <c r="F227" s="125">
        <f t="shared" si="39"/>
        <v>3.54</v>
      </c>
      <c r="G227" s="125">
        <f t="shared" si="39"/>
        <v>3.54</v>
      </c>
      <c r="H227" s="125">
        <f t="shared" si="39"/>
        <v>3.54</v>
      </c>
      <c r="I227" s="125">
        <f t="shared" si="39"/>
        <v>3.54</v>
      </c>
      <c r="J227" s="125">
        <f t="shared" si="39"/>
        <v>3.54</v>
      </c>
      <c r="K227" s="125">
        <f t="shared" si="39"/>
        <v>3.54</v>
      </c>
      <c r="L227" s="125">
        <f t="shared" si="39"/>
        <v>3.54</v>
      </c>
      <c r="M227" s="125">
        <f t="shared" si="39"/>
        <v>3.54</v>
      </c>
      <c r="N227" s="125">
        <f t="shared" si="39"/>
        <v>3.54</v>
      </c>
      <c r="O227" s="125">
        <f t="shared" si="39"/>
        <v>3.54</v>
      </c>
      <c r="P227" s="125">
        <f t="shared" si="39"/>
        <v>3.54</v>
      </c>
      <c r="Q227" s="125">
        <f t="shared" si="39"/>
        <v>0</v>
      </c>
      <c r="R227" s="125">
        <f t="shared" si="39"/>
        <v>0</v>
      </c>
      <c r="S227" s="125">
        <f t="shared" si="39"/>
        <v>0</v>
      </c>
      <c r="T227" s="125">
        <f t="shared" si="39"/>
        <v>0</v>
      </c>
      <c r="U227" s="125">
        <f t="shared" si="39"/>
        <v>0</v>
      </c>
      <c r="V227" s="125">
        <f t="shared" si="39"/>
        <v>0</v>
      </c>
      <c r="W227" s="125">
        <f t="shared" si="39"/>
        <v>0</v>
      </c>
      <c r="X227" s="125">
        <f t="shared" si="39"/>
        <v>0</v>
      </c>
      <c r="Y227" s="125">
        <f t="shared" si="39"/>
        <v>0</v>
      </c>
      <c r="Z227" s="125">
        <f t="shared" si="39"/>
        <v>0</v>
      </c>
      <c r="AA227" s="125">
        <f t="shared" si="39"/>
        <v>0</v>
      </c>
      <c r="AB227" s="125">
        <f t="shared" si="39"/>
        <v>0</v>
      </c>
      <c r="AC227" s="125">
        <f t="shared" si="39"/>
        <v>0</v>
      </c>
      <c r="AD227" s="125">
        <f t="shared" si="39"/>
        <v>0</v>
      </c>
      <c r="AE227" s="125">
        <f t="shared" si="39"/>
        <v>0</v>
      </c>
      <c r="AF227" s="125">
        <f t="shared" si="39"/>
        <v>0</v>
      </c>
      <c r="AG227" s="134">
        <f t="shared" si="39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1573.3400000000001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11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2079/08/11)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2079/08/11)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40">B84</f>
        <v>1105.8400000000001</v>
      </c>
      <c r="U241" s="159">
        <f t="shared" si="40"/>
        <v>947.34000000000015</v>
      </c>
      <c r="V241" s="159">
        <f t="shared" si="40"/>
        <v>955.04000000000019</v>
      </c>
      <c r="W241" s="159">
        <f t="shared" si="40"/>
        <v>947.44</v>
      </c>
      <c r="X241" s="159">
        <f t="shared" si="40"/>
        <v>964.74000000000012</v>
      </c>
      <c r="Y241" s="159">
        <f t="shared" si="40"/>
        <v>1009.1400000000001</v>
      </c>
      <c r="Z241" s="159">
        <f t="shared" si="40"/>
        <v>1039.8400000000001</v>
      </c>
      <c r="AA241" s="159">
        <f t="shared" si="40"/>
        <v>1104.3400000000001</v>
      </c>
      <c r="AB241" s="159">
        <f t="shared" si="40"/>
        <v>1263.2400000000002</v>
      </c>
      <c r="AC241" s="159">
        <f t="shared" si="40"/>
        <v>1392.74</v>
      </c>
      <c r="AD241" s="159">
        <f t="shared" si="40"/>
        <v>1523.3400000000001</v>
      </c>
      <c r="AE241" s="159">
        <f t="shared" si="40"/>
        <v>1573.3400000000001</v>
      </c>
      <c r="AF241" s="159">
        <f t="shared" si="40"/>
        <v>1304.0400000000002</v>
      </c>
      <c r="AG241" s="159">
        <f t="shared" si="40"/>
        <v>1245.0400000000002</v>
      </c>
      <c r="AH241" s="159">
        <f t="shared" si="40"/>
        <v>1199.8400000000001</v>
      </c>
      <c r="AI241" s="159">
        <f t="shared" si="40"/>
        <v>1121.6400000000001</v>
      </c>
      <c r="AJ241" s="159">
        <f t="shared" si="40"/>
        <v>1107.74</v>
      </c>
      <c r="AK241" s="159">
        <f t="shared" si="40"/>
        <v>1087.74</v>
      </c>
      <c r="AL241" s="159">
        <f t="shared" si="40"/>
        <v>1126.1400000000001</v>
      </c>
      <c r="AM241" s="159">
        <f t="shared" si="40"/>
        <v>1160.3400000000001</v>
      </c>
      <c r="AN241" s="159">
        <f t="shared" si="40"/>
        <v>1325.8400000000001</v>
      </c>
      <c r="AO241" s="159">
        <f t="shared" si="40"/>
        <v>1576.94</v>
      </c>
      <c r="AP241" s="159">
        <f t="shared" si="40"/>
        <v>1655.3400000000001</v>
      </c>
      <c r="AQ241" s="159">
        <f t="shared" si="40"/>
        <v>1584.8400000000001</v>
      </c>
      <c r="AR241" s="159">
        <f t="shared" si="40"/>
        <v>1548.8400000000001</v>
      </c>
      <c r="AS241" s="159">
        <f t="shared" si="40"/>
        <v>1448.5400000000002</v>
      </c>
      <c r="AT241" s="159">
        <f t="shared" si="40"/>
        <v>1370.8400000000001</v>
      </c>
      <c r="AU241" s="159">
        <f t="shared" si="40"/>
        <v>1332.44</v>
      </c>
      <c r="AV241" s="159">
        <f t="shared" si="40"/>
        <v>1280.44</v>
      </c>
      <c r="AW241" s="159">
        <f t="shared" si="40"/>
        <v>1195.74</v>
      </c>
      <c r="AX241" s="159">
        <f t="shared" si="40"/>
        <v>1176.74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41">C226</f>
        <v>0.64</v>
      </c>
      <c r="C262" s="162">
        <f t="shared" si="41"/>
        <v>0.64</v>
      </c>
      <c r="D262" s="162">
        <f t="shared" si="41"/>
        <v>0.64</v>
      </c>
      <c r="E262" s="162">
        <f t="shared" si="41"/>
        <v>0.64</v>
      </c>
      <c r="F262" s="162">
        <f t="shared" si="41"/>
        <v>0.64</v>
      </c>
      <c r="G262" s="162">
        <f t="shared" si="41"/>
        <v>0.64</v>
      </c>
      <c r="H262" s="162">
        <f t="shared" si="41"/>
        <v>0.64</v>
      </c>
      <c r="I262" s="162">
        <f t="shared" si="41"/>
        <v>0.64</v>
      </c>
      <c r="J262" s="162">
        <f t="shared" si="41"/>
        <v>0.64</v>
      </c>
      <c r="K262" s="162">
        <f t="shared" si="41"/>
        <v>0.64</v>
      </c>
      <c r="L262" s="162">
        <f t="shared" si="41"/>
        <v>0.64</v>
      </c>
      <c r="M262" s="162">
        <f t="shared" si="41"/>
        <v>0.64</v>
      </c>
      <c r="N262" s="162">
        <f t="shared" si="41"/>
        <v>0.64</v>
      </c>
      <c r="O262" s="162">
        <f t="shared" si="41"/>
        <v>0.64</v>
      </c>
      <c r="P262" s="162">
        <f t="shared" si="41"/>
        <v>0</v>
      </c>
      <c r="Q262" s="162">
        <f t="shared" si="41"/>
        <v>0</v>
      </c>
      <c r="R262" s="162">
        <f t="shared" si="41"/>
        <v>0</v>
      </c>
      <c r="S262" s="162">
        <f t="shared" si="41"/>
        <v>0</v>
      </c>
      <c r="T262" s="162">
        <f t="shared" si="41"/>
        <v>0</v>
      </c>
      <c r="U262" s="162">
        <f t="shared" si="41"/>
        <v>0</v>
      </c>
      <c r="V262" s="162">
        <f t="shared" si="41"/>
        <v>0</v>
      </c>
      <c r="W262" s="162">
        <f t="shared" si="41"/>
        <v>0</v>
      </c>
      <c r="X262" s="162">
        <f t="shared" si="41"/>
        <v>0</v>
      </c>
      <c r="Y262" s="162">
        <f t="shared" si="41"/>
        <v>0</v>
      </c>
      <c r="Z262" s="162">
        <f t="shared" si="41"/>
        <v>0</v>
      </c>
      <c r="AA262" s="162">
        <f t="shared" si="41"/>
        <v>0</v>
      </c>
      <c r="AB262" s="162">
        <f t="shared" si="41"/>
        <v>0</v>
      </c>
      <c r="AC262" s="162">
        <f t="shared" si="41"/>
        <v>0</v>
      </c>
      <c r="AD262" s="162">
        <f t="shared" si="41"/>
        <v>0</v>
      </c>
      <c r="AE262" s="162">
        <f t="shared" si="41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42">IF(B230&lt;100,"",B230-520)</f>
        <v/>
      </c>
      <c r="C263" s="163" t="str">
        <f t="shared" si="42"/>
        <v/>
      </c>
      <c r="D263" s="163" t="str">
        <f t="shared" si="42"/>
        <v/>
      </c>
      <c r="E263" s="163" t="str">
        <f t="shared" si="42"/>
        <v/>
      </c>
      <c r="F263" s="163" t="str">
        <f t="shared" si="42"/>
        <v/>
      </c>
      <c r="G263" s="163" t="str">
        <f t="shared" si="42"/>
        <v/>
      </c>
      <c r="H263" s="163" t="str">
        <f t="shared" si="42"/>
        <v/>
      </c>
      <c r="I263" s="163" t="str">
        <f t="shared" si="42"/>
        <v/>
      </c>
      <c r="J263" s="163" t="str">
        <f t="shared" si="42"/>
        <v/>
      </c>
      <c r="K263" s="163" t="str">
        <f t="shared" si="42"/>
        <v/>
      </c>
      <c r="L263" s="163" t="str">
        <f t="shared" si="42"/>
        <v/>
      </c>
      <c r="M263" s="163" t="str">
        <f t="shared" si="42"/>
        <v/>
      </c>
      <c r="N263" s="163" t="str">
        <f t="shared" si="42"/>
        <v/>
      </c>
      <c r="O263" s="163" t="str">
        <f t="shared" si="42"/>
        <v/>
      </c>
      <c r="P263" s="163" t="str">
        <f t="shared" si="42"/>
        <v/>
      </c>
      <c r="Q263" s="163" t="str">
        <f t="shared" si="42"/>
        <v/>
      </c>
      <c r="R263" s="163" t="str">
        <f t="shared" si="42"/>
        <v/>
      </c>
      <c r="S263" s="163" t="str">
        <f t="shared" si="42"/>
        <v/>
      </c>
      <c r="T263" s="163" t="str">
        <f t="shared" si="42"/>
        <v/>
      </c>
      <c r="U263" s="163" t="str">
        <f t="shared" si="42"/>
        <v/>
      </c>
      <c r="V263" s="163" t="str">
        <f t="shared" si="42"/>
        <v/>
      </c>
      <c r="W263" s="163" t="str">
        <f t="shared" si="42"/>
        <v/>
      </c>
      <c r="X263" s="163" t="str">
        <f t="shared" si="42"/>
        <v/>
      </c>
      <c r="Y263" s="163" t="str">
        <f t="shared" si="42"/>
        <v/>
      </c>
      <c r="Z263" s="163" t="str">
        <f t="shared" si="42"/>
        <v/>
      </c>
      <c r="AA263" s="163" t="str">
        <f t="shared" si="42"/>
        <v/>
      </c>
      <c r="AB263" s="163" t="str">
        <f t="shared" si="42"/>
        <v/>
      </c>
      <c r="AC263" s="163" t="str">
        <f t="shared" si="42"/>
        <v/>
      </c>
      <c r="AD263" s="163" t="str">
        <f t="shared" si="42"/>
        <v/>
      </c>
      <c r="AE263" s="163" t="str">
        <f t="shared" si="42"/>
        <v/>
      </c>
      <c r="AF263" s="163" t="str">
        <f t="shared" si="42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43">IF(B231&lt;100,"",B231-620)</f>
        <v/>
      </c>
      <c r="C264" s="163" t="str">
        <f t="shared" si="43"/>
        <v/>
      </c>
      <c r="D264" s="163" t="str">
        <f t="shared" si="43"/>
        <v/>
      </c>
      <c r="E264" s="163" t="str">
        <f t="shared" si="43"/>
        <v/>
      </c>
      <c r="F264" s="163" t="str">
        <f t="shared" si="43"/>
        <v/>
      </c>
      <c r="G264" s="163" t="str">
        <f t="shared" si="43"/>
        <v/>
      </c>
      <c r="H264" s="163" t="str">
        <f t="shared" si="43"/>
        <v/>
      </c>
      <c r="I264" s="163" t="str">
        <f t="shared" si="43"/>
        <v/>
      </c>
      <c r="J264" s="163" t="str">
        <f t="shared" si="43"/>
        <v/>
      </c>
      <c r="K264" s="163" t="str">
        <f t="shared" si="43"/>
        <v/>
      </c>
      <c r="L264" s="163" t="str">
        <f t="shared" si="43"/>
        <v/>
      </c>
      <c r="M264" s="163" t="str">
        <f t="shared" si="43"/>
        <v/>
      </c>
      <c r="N264" s="163" t="str">
        <f t="shared" si="43"/>
        <v/>
      </c>
      <c r="O264" s="163" t="str">
        <f t="shared" si="43"/>
        <v/>
      </c>
      <c r="P264" s="163" t="str">
        <f t="shared" si="43"/>
        <v/>
      </c>
      <c r="Q264" s="163" t="str">
        <f t="shared" si="43"/>
        <v/>
      </c>
      <c r="R264" s="163" t="str">
        <f t="shared" si="43"/>
        <v/>
      </c>
      <c r="S264" s="163" t="str">
        <f t="shared" si="43"/>
        <v/>
      </c>
      <c r="T264" s="163" t="str">
        <f t="shared" si="43"/>
        <v/>
      </c>
      <c r="U264" s="163" t="str">
        <f t="shared" si="43"/>
        <v/>
      </c>
      <c r="V264" s="163" t="str">
        <f t="shared" si="43"/>
        <v/>
      </c>
      <c r="W264" s="163" t="str">
        <f t="shared" si="43"/>
        <v/>
      </c>
      <c r="X264" s="163" t="str">
        <f t="shared" si="43"/>
        <v/>
      </c>
      <c r="Y264" s="163" t="str">
        <f t="shared" si="43"/>
        <v/>
      </c>
      <c r="Z264" s="163" t="str">
        <f t="shared" si="43"/>
        <v/>
      </c>
      <c r="AA264" s="163" t="str">
        <f t="shared" si="43"/>
        <v/>
      </c>
      <c r="AB264" s="163" t="str">
        <f t="shared" si="43"/>
        <v/>
      </c>
      <c r="AC264" s="163" t="str">
        <f t="shared" si="43"/>
        <v/>
      </c>
      <c r="AD264" s="163" t="str">
        <f t="shared" si="43"/>
        <v/>
      </c>
      <c r="AE264" s="163" t="str">
        <f t="shared" si="43"/>
        <v/>
      </c>
      <c r="AF264" s="163" t="str">
        <f t="shared" si="43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44">IF(B232&lt;100,"",B232-330)</f>
        <v/>
      </c>
      <c r="C265" s="163" t="str">
        <f t="shared" si="44"/>
        <v/>
      </c>
      <c r="D265" s="163" t="str">
        <f t="shared" si="44"/>
        <v/>
      </c>
      <c r="E265" s="163" t="str">
        <f t="shared" si="44"/>
        <v/>
      </c>
      <c r="F265" s="163" t="str">
        <f t="shared" si="44"/>
        <v/>
      </c>
      <c r="G265" s="163" t="str">
        <f t="shared" si="44"/>
        <v/>
      </c>
      <c r="H265" s="163" t="str">
        <f t="shared" si="44"/>
        <v/>
      </c>
      <c r="I265" s="163" t="str">
        <f t="shared" si="44"/>
        <v/>
      </c>
      <c r="J265" s="163" t="str">
        <f t="shared" si="44"/>
        <v/>
      </c>
      <c r="K265" s="163" t="str">
        <f t="shared" si="44"/>
        <v/>
      </c>
      <c r="L265" s="163" t="str">
        <f t="shared" si="44"/>
        <v/>
      </c>
      <c r="M265" s="163" t="str">
        <f t="shared" si="44"/>
        <v/>
      </c>
      <c r="N265" s="163" t="str">
        <f t="shared" si="44"/>
        <v/>
      </c>
      <c r="O265" s="163" t="str">
        <f t="shared" si="44"/>
        <v/>
      </c>
      <c r="P265" s="163" t="str">
        <f t="shared" si="44"/>
        <v/>
      </c>
      <c r="Q265" s="163" t="str">
        <f t="shared" si="44"/>
        <v/>
      </c>
      <c r="R265" s="163" t="str">
        <f t="shared" si="44"/>
        <v/>
      </c>
      <c r="S265" s="163" t="str">
        <f t="shared" si="44"/>
        <v/>
      </c>
      <c r="T265" s="163" t="str">
        <f t="shared" si="44"/>
        <v/>
      </c>
      <c r="U265" s="163" t="str">
        <f t="shared" si="44"/>
        <v/>
      </c>
      <c r="V265" s="163" t="str">
        <f t="shared" si="44"/>
        <v/>
      </c>
      <c r="W265" s="163" t="str">
        <f t="shared" si="44"/>
        <v/>
      </c>
      <c r="X265" s="163" t="str">
        <f t="shared" si="44"/>
        <v/>
      </c>
      <c r="Y265" s="163" t="str">
        <f t="shared" si="44"/>
        <v/>
      </c>
      <c r="Z265" s="163" t="str">
        <f t="shared" si="44"/>
        <v/>
      </c>
      <c r="AA265" s="163" t="str">
        <f t="shared" si="44"/>
        <v/>
      </c>
      <c r="AB265" s="163" t="str">
        <f t="shared" si="44"/>
        <v/>
      </c>
      <c r="AC265" s="163" t="str">
        <f t="shared" si="44"/>
        <v/>
      </c>
      <c r="AD265" s="163" t="str">
        <f t="shared" si="44"/>
        <v/>
      </c>
      <c r="AE265" s="163" t="str">
        <f t="shared" si="44"/>
        <v/>
      </c>
      <c r="AF265" s="163" t="str">
        <f t="shared" si="44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45">IF(B233&lt;100,"",B233-1500)</f>
        <v/>
      </c>
      <c r="C266" s="163" t="str">
        <f t="shared" si="45"/>
        <v/>
      </c>
      <c r="D266" s="163" t="str">
        <f t="shared" si="45"/>
        <v/>
      </c>
      <c r="E266" s="163" t="str">
        <f t="shared" si="45"/>
        <v/>
      </c>
      <c r="F266" s="163" t="str">
        <f t="shared" si="45"/>
        <v/>
      </c>
      <c r="G266" s="163" t="str">
        <f t="shared" si="45"/>
        <v/>
      </c>
      <c r="H266" s="163" t="str">
        <f t="shared" si="45"/>
        <v/>
      </c>
      <c r="I266" s="163" t="str">
        <f t="shared" si="45"/>
        <v/>
      </c>
      <c r="J266" s="163" t="str">
        <f t="shared" si="45"/>
        <v/>
      </c>
      <c r="K266" s="163" t="str">
        <f t="shared" si="45"/>
        <v/>
      </c>
      <c r="L266" s="163" t="str">
        <f t="shared" si="45"/>
        <v/>
      </c>
      <c r="M266" s="163" t="str">
        <f t="shared" si="45"/>
        <v/>
      </c>
      <c r="N266" s="163" t="str">
        <f t="shared" si="45"/>
        <v/>
      </c>
      <c r="O266" s="163" t="str">
        <f t="shared" si="45"/>
        <v/>
      </c>
      <c r="P266" s="163" t="str">
        <f t="shared" si="45"/>
        <v/>
      </c>
      <c r="Q266" s="163" t="str">
        <f t="shared" si="45"/>
        <v/>
      </c>
      <c r="R266" s="163" t="str">
        <f t="shared" si="45"/>
        <v/>
      </c>
      <c r="S266" s="163" t="str">
        <f t="shared" si="45"/>
        <v/>
      </c>
      <c r="T266" s="163" t="str">
        <f t="shared" si="45"/>
        <v/>
      </c>
      <c r="U266" s="163" t="str">
        <f t="shared" si="45"/>
        <v/>
      </c>
      <c r="V266" s="163" t="str">
        <f t="shared" si="45"/>
        <v/>
      </c>
      <c r="W266" s="163" t="str">
        <f t="shared" si="45"/>
        <v/>
      </c>
      <c r="X266" s="163" t="str">
        <f t="shared" si="45"/>
        <v/>
      </c>
      <c r="Y266" s="163" t="str">
        <f t="shared" si="45"/>
        <v/>
      </c>
      <c r="Z266" s="163" t="str">
        <f t="shared" si="45"/>
        <v/>
      </c>
      <c r="AA266" s="163" t="str">
        <f t="shared" si="45"/>
        <v/>
      </c>
      <c r="AB266" s="163" t="str">
        <f t="shared" si="45"/>
        <v/>
      </c>
      <c r="AC266" s="163" t="str">
        <f t="shared" si="45"/>
        <v/>
      </c>
      <c r="AD266" s="163" t="str">
        <f t="shared" si="45"/>
        <v/>
      </c>
      <c r="AE266" s="163" t="str">
        <f t="shared" si="45"/>
        <v/>
      </c>
      <c r="AF266" s="163" t="str">
        <f t="shared" si="45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 X11:AF11 I17:AF18 I15:AF15 X22:AF26">
    <cfRule type="expression" dxfId="6757" priority="355">
      <formula>B$9&gt;=20/24</formula>
    </cfRule>
    <cfRule type="expression" dxfId="6756" priority="356">
      <formula>AND(B$9&gt;=14/24,B$9&lt;20/24)</formula>
    </cfRule>
    <cfRule type="expression" dxfId="6755" priority="357">
      <formula>AND(B$9&gt;=8/24,B$9&lt;14/24)</formula>
    </cfRule>
    <cfRule type="expression" dxfId="6754" priority="358">
      <formula>B$9&lt;8/24</formula>
    </cfRule>
  </conditionalFormatting>
  <conditionalFormatting sqref="AL4:AL6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S42:AF42">
    <cfRule type="expression" dxfId="6753" priority="350">
      <formula>S$9&gt;=20/24</formula>
    </cfRule>
    <cfRule type="expression" dxfId="6752" priority="351">
      <formula>AND(S$9&gt;=14/24,S$9&lt;20/24)</formula>
    </cfRule>
    <cfRule type="expression" dxfId="6751" priority="352">
      <formula>AND(S$9&gt;=8/24,S$9&lt;14/24)</formula>
    </cfRule>
    <cfRule type="expression" dxfId="6750" priority="353">
      <formula>S$9&lt;8/24</formula>
    </cfRule>
  </conditionalFormatting>
  <conditionalFormatting sqref="AG60 I15:W18 S42:AF42 X20:AF20 X11:AF18 I40:AF40 X22:AF26">
    <cfRule type="expression" dxfId="6749" priority="349">
      <formula>I11&gt;$AG11</formula>
    </cfRule>
  </conditionalFormatting>
  <conditionalFormatting sqref="A94:A104 A54:A81 A90:A92 A197:A227 A41:A52 A113:A184 A37:A38 A86:A88 A83:A84 A106:A108 A34:A35 A20:A32 A17:A18 A11:A15">
    <cfRule type="expression" dxfId="6748" priority="348">
      <formula>$AH11=0</formula>
    </cfRule>
  </conditionalFormatting>
  <conditionalFormatting sqref="A109">
    <cfRule type="expression" dxfId="6747" priority="347">
      <formula>$AH109=0</formula>
    </cfRule>
  </conditionalFormatting>
  <conditionalFormatting sqref="AL3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746" priority="345">
      <formula>$AH40=0</formula>
    </cfRule>
  </conditionalFormatting>
  <conditionalFormatting sqref="A93">
    <cfRule type="expression" dxfId="6745" priority="344">
      <formula>$AH93=0</formula>
    </cfRule>
  </conditionalFormatting>
  <conditionalFormatting sqref="A16">
    <cfRule type="expression" dxfId="6744" priority="343">
      <formula>$AH16=0</formula>
    </cfRule>
  </conditionalFormatting>
  <conditionalFormatting sqref="A191:A196">
    <cfRule type="expression" dxfId="6743" priority="342">
      <formula>$AH191=0</formula>
    </cfRule>
  </conditionalFormatting>
  <conditionalFormatting sqref="A185:A190">
    <cfRule type="expression" dxfId="6742" priority="341">
      <formula>$AH185=0</formula>
    </cfRule>
  </conditionalFormatting>
  <conditionalFormatting sqref="A53">
    <cfRule type="expression" dxfId="6741" priority="340">
      <formula>$AH53=0</formula>
    </cfRule>
  </conditionalFormatting>
  <conditionalFormatting sqref="A89">
    <cfRule type="expression" dxfId="6740" priority="339">
      <formula>$AH89=0</formula>
    </cfRule>
  </conditionalFormatting>
  <conditionalFormatting sqref="C94:AF94">
    <cfRule type="expression" dxfId="6739" priority="335">
      <formula>C$9&gt;=20/24</formula>
    </cfRule>
    <cfRule type="expression" dxfId="6738" priority="336">
      <formula>AND(C$9&gt;=14/24,C$9&lt;20/24)</formula>
    </cfRule>
    <cfRule type="expression" dxfId="6737" priority="337">
      <formula>AND(C$9&gt;=8/24,C$9&lt;14/24)</formula>
    </cfRule>
    <cfRule type="expression" dxfId="6736" priority="338">
      <formula>C$9&lt;8/24</formula>
    </cfRule>
  </conditionalFormatting>
  <conditionalFormatting sqref="AL39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35" priority="361">
      <formula>C$9&gt;=20/24</formula>
    </cfRule>
    <cfRule type="expression" dxfId="6734" priority="362">
      <formula>AND(C$9&gt;=14/24,C$9&lt;20/24)</formula>
    </cfRule>
    <cfRule type="expression" dxfId="6733" priority="363">
      <formula>AND(C$9&gt;=8/24,C$9&lt;14/24)</formula>
    </cfRule>
    <cfRule type="expression" dxfId="6732" priority="364">
      <formula>C$9&lt;8/24</formula>
    </cfRule>
  </conditionalFormatting>
  <conditionalFormatting sqref="A228">
    <cfRule type="expression" dxfId="6731" priority="365">
      <formula>$AH228=0</formula>
    </cfRule>
  </conditionalFormatting>
  <conditionalFormatting sqref="AG240">
    <cfRule type="expression" dxfId="6730" priority="366">
      <formula>B$9&gt;=20/24</formula>
    </cfRule>
    <cfRule type="expression" dxfId="6729" priority="367">
      <formula>AND(B$9&gt;=14/24,B$9&lt;20/24)</formula>
    </cfRule>
    <cfRule type="expression" dxfId="6728" priority="368">
      <formula>AND(B$9&gt;=8/24,B$9&lt;14/24)</formula>
    </cfRule>
    <cfRule type="expression" dxfId="6727" priority="369">
      <formula>B$9&lt;8/24</formula>
    </cfRule>
  </conditionalFormatting>
  <conditionalFormatting sqref="S8">
    <cfRule type="expression" dxfId="6726" priority="330">
      <formula>U$9&gt;=20/24</formula>
    </cfRule>
    <cfRule type="expression" dxfId="6725" priority="331">
      <formula>AND(U$9&gt;=14/24,U$9&lt;20/24)</formula>
    </cfRule>
    <cfRule type="expression" dxfId="6724" priority="332">
      <formula>AND(U$9&gt;=8/24,U$9&lt;14/24)</formula>
    </cfRule>
    <cfRule type="expression" dxfId="6723" priority="333">
      <formula>U$9&lt;8/24</formula>
    </cfRule>
  </conditionalFormatting>
  <conditionalFormatting sqref="AB8">
    <cfRule type="expression" dxfId="6722" priority="326">
      <formula>AD$9&gt;=20/24</formula>
    </cfRule>
    <cfRule type="expression" dxfId="6721" priority="327">
      <formula>AND(AD$9&gt;=14/24,AD$9&lt;20/24)</formula>
    </cfRule>
    <cfRule type="expression" dxfId="6720" priority="328">
      <formula>AND(AD$9&gt;=8/24,AD$9&lt;14/24)</formula>
    </cfRule>
    <cfRule type="expression" dxfId="6719" priority="329">
      <formula>AD$9&lt;8/24</formula>
    </cfRule>
  </conditionalFormatting>
  <conditionalFormatting sqref="AH240:AX240">
    <cfRule type="expression" dxfId="6718" priority="370">
      <formula>AG$9&gt;=20/24</formula>
    </cfRule>
    <cfRule type="expression" dxfId="6717" priority="371">
      <formula>AND(AG$9&gt;=14/24,AG$9&lt;20/24)</formula>
    </cfRule>
    <cfRule type="expression" dxfId="6716" priority="372">
      <formula>AND(AG$9&gt;=8/24,AG$9&lt;14/24)</formula>
    </cfRule>
    <cfRule type="expression" dxfId="6715" priority="373">
      <formula>AG$9&lt;8/24</formula>
    </cfRule>
  </conditionalFormatting>
  <conditionalFormatting sqref="T240">
    <cfRule type="expression" dxfId="6714" priority="374">
      <formula>AX$9&gt;=20/24</formula>
    </cfRule>
    <cfRule type="expression" dxfId="6713" priority="375">
      <formula>AND(AX$9&gt;=14/24,AX$9&lt;20/24)</formula>
    </cfRule>
    <cfRule type="expression" dxfId="6712" priority="376">
      <formula>AND(AX$9&gt;=8/24,AX$9&lt;14/24)</formula>
    </cfRule>
    <cfRule type="expression" dxfId="6711" priority="377">
      <formula>AX$9&lt;8/24</formula>
    </cfRule>
  </conditionalFormatting>
  <conditionalFormatting sqref="A110:A111">
    <cfRule type="expression" dxfId="6710" priority="325">
      <formula>$AH110=0</formula>
    </cfRule>
  </conditionalFormatting>
  <conditionalFormatting sqref="AB49:AF50 F49:P50 M52:Q52 U49:W50 E66:AF66">
    <cfRule type="expression" dxfId="6709" priority="321">
      <formula>E$9&gt;=20/24</formula>
    </cfRule>
    <cfRule type="expression" dxfId="6708" priority="322">
      <formula>AND(E$9&gt;=14/24,E$9&lt;20/24)</formula>
    </cfRule>
    <cfRule type="expression" dxfId="6707" priority="323">
      <formula>AND(E$9&gt;=8/24,E$9&lt;14/24)</formula>
    </cfRule>
    <cfRule type="expression" dxfId="6706" priority="324">
      <formula>E$9&lt;8/24</formula>
    </cfRule>
  </conditionalFormatting>
  <conditionalFormatting sqref="AB48:AF48 F48:P48 U48:W48">
    <cfRule type="expression" dxfId="6705" priority="317">
      <formula>F$9&gt;=20/24</formula>
    </cfRule>
    <cfRule type="expression" dxfId="6704" priority="318">
      <formula>AND(F$9&gt;=14/24,F$9&lt;20/24)</formula>
    </cfRule>
    <cfRule type="expression" dxfId="6703" priority="319">
      <formula>AND(F$9&gt;=8/24,F$9&lt;14/24)</formula>
    </cfRule>
    <cfRule type="expression" dxfId="6702" priority="320">
      <formula>F$9&lt;8/24</formula>
    </cfRule>
  </conditionalFormatting>
  <conditionalFormatting sqref="AB48:AF50 F48:P50 M52:Q52 U48:W50">
    <cfRule type="expression" dxfId="6701" priority="316">
      <formula>F48&gt;$AG48</formula>
    </cfRule>
  </conditionalFormatting>
  <conditionalFormatting sqref="C91:AF91 C81:AF81 L42:R42 E67:S68 T62:AF64 M78:AF80 X28:AF30 X32:AF32 X12:AF14 X20:AF20 X34:AF37 T67:AF76 D95:AF101">
    <cfRule type="expression" dxfId="6700" priority="312">
      <formula>C$9&gt;=20/24</formula>
    </cfRule>
    <cfRule type="expression" dxfId="6699" priority="313">
      <formula>AND(C$9&gt;=14/24,C$9&lt;20/24)</formula>
    </cfRule>
    <cfRule type="expression" dxfId="6698" priority="314">
      <formula>AND(C$9&gt;=8/24,C$9&lt;14/24)</formula>
    </cfRule>
    <cfRule type="expression" dxfId="6697" priority="315">
      <formula>C$9&lt;8/24</formula>
    </cfRule>
  </conditionalFormatting>
  <conditionalFormatting sqref="X38:AF38">
    <cfRule type="expression" dxfId="6696" priority="308">
      <formula>X$9&gt;=20/24</formula>
    </cfRule>
    <cfRule type="expression" dxfId="6695" priority="309">
      <formula>AND(X$9&gt;=14/24,X$9&lt;20/24)</formula>
    </cfRule>
    <cfRule type="expression" dxfId="6694" priority="310">
      <formula>AND(X$9&gt;=8/24,X$9&lt;14/24)</formula>
    </cfRule>
    <cfRule type="expression" dxfId="6693" priority="311">
      <formula>X$9&lt;8/24</formula>
    </cfRule>
  </conditionalFormatting>
  <conditionalFormatting sqref="AB51:AF52 C60:AF60 L42:R42 F51:P51 T62:AF64 X28:AF32 X34:AF38">
    <cfRule type="expression" dxfId="6692" priority="307">
      <formula>C28&gt;$AG28</formula>
    </cfRule>
  </conditionalFormatting>
  <conditionalFormatting sqref="X40:AF40">
    <cfRule type="expression" dxfId="6691" priority="303">
      <formula>X$9&gt;=20/24</formula>
    </cfRule>
    <cfRule type="expression" dxfId="6690" priority="304">
      <formula>AND(X$9&gt;=14/24,X$9&lt;20/24)</formula>
    </cfRule>
    <cfRule type="expression" dxfId="6689" priority="305">
      <formula>AND(X$9&gt;=8/24,X$9&lt;14/24)</formula>
    </cfRule>
    <cfRule type="expression" dxfId="6688" priority="306">
      <formula>X$9&lt;8/24</formula>
    </cfRule>
  </conditionalFormatting>
  <conditionalFormatting sqref="X16:AF16">
    <cfRule type="expression" dxfId="6687" priority="299">
      <formula>X$9&gt;=20/24</formula>
    </cfRule>
    <cfRule type="expression" dxfId="6686" priority="300">
      <formula>AND(X$9&gt;=14/24,X$9&lt;20/24)</formula>
    </cfRule>
    <cfRule type="expression" dxfId="6685" priority="301">
      <formula>AND(X$9&gt;=8/24,X$9&lt;14/24)</formula>
    </cfRule>
    <cfRule type="expression" dxfId="6684" priority="302">
      <formula>X$9&lt;8/24</formula>
    </cfRule>
  </conditionalFormatting>
  <conditionalFormatting sqref="X39:AF39">
    <cfRule type="expression" dxfId="6683" priority="295">
      <formula>X$9&gt;=20/24</formula>
    </cfRule>
    <cfRule type="expression" dxfId="6682" priority="296">
      <formula>AND(X$9&gt;=14/24,X$9&lt;20/24)</formula>
    </cfRule>
    <cfRule type="expression" dxfId="6681" priority="297">
      <formula>AND(X$9&gt;=8/24,X$9&lt;14/24)</formula>
    </cfRule>
    <cfRule type="expression" dxfId="6680" priority="298">
      <formula>X$9&lt;8/24</formula>
    </cfRule>
  </conditionalFormatting>
  <conditionalFormatting sqref="X39:AF39">
    <cfRule type="expression" dxfId="6679" priority="294">
      <formula>X39&gt;$AG39</formula>
    </cfRule>
  </conditionalFormatting>
  <conditionalFormatting sqref="W51:AA52 AB53:AF59">
    <cfRule type="expression" dxfId="6678" priority="290">
      <formula>W$9&gt;=20/24</formula>
    </cfRule>
    <cfRule type="expression" dxfId="6677" priority="291">
      <formula>AND(W$9&gt;=14/24,W$9&lt;20/24)</formula>
    </cfRule>
    <cfRule type="expression" dxfId="6676" priority="292">
      <formula>AND(W$9&gt;=8/24,W$9&lt;14/24)</formula>
    </cfRule>
    <cfRule type="expression" dxfId="6675" priority="293">
      <formula>W$9&lt;8/24</formula>
    </cfRule>
  </conditionalFormatting>
  <conditionalFormatting sqref="W51:AA52 AB53:AF59">
    <cfRule type="expression" dxfId="6674" priority="289">
      <formula>W51&gt;$AG51</formula>
    </cfRule>
  </conditionalFormatting>
  <conditionalFormatting sqref="Q48:R51 R52:R53 S48:T53 U51:V53 W53:AA54">
    <cfRule type="expression" dxfId="6673" priority="285">
      <formula>Q$9&gt;=20/24</formula>
    </cfRule>
    <cfRule type="expression" dxfId="6672" priority="286">
      <formula>AND(Q$9&gt;=14/24,Q$9&lt;20/24)</formula>
    </cfRule>
    <cfRule type="expression" dxfId="6671" priority="287">
      <formula>AND(Q$9&gt;=8/24,Q$9&lt;14/24)</formula>
    </cfRule>
    <cfRule type="expression" dxfId="6670" priority="288">
      <formula>Q$9&lt;8/24</formula>
    </cfRule>
  </conditionalFormatting>
  <conditionalFormatting sqref="Q48:R51 R52:R53 S48:T53 U51:V53 W53:AA54">
    <cfRule type="expression" dxfId="6669" priority="284">
      <formula>Q48&gt;$AG48</formula>
    </cfRule>
  </conditionalFormatting>
  <conditionalFormatting sqref="X31:AF31">
    <cfRule type="expression" dxfId="6668" priority="280">
      <formula>X$9&gt;=20/24</formula>
    </cfRule>
    <cfRule type="expression" dxfId="6667" priority="281">
      <formula>AND(X$9&gt;=14/24,X$9&lt;20/24)</formula>
    </cfRule>
    <cfRule type="expression" dxfId="6666" priority="282">
      <formula>AND(X$9&gt;=8/24,X$9&lt;14/24)</formula>
    </cfRule>
    <cfRule type="expression" dxfId="6665" priority="283">
      <formula>X$9&lt;8/24</formula>
    </cfRule>
  </conditionalFormatting>
  <conditionalFormatting sqref="I34:W34 X21:AF21 X27:AF27">
    <cfRule type="expression" dxfId="6664" priority="276">
      <formula>I$9&gt;=20/24</formula>
    </cfRule>
    <cfRule type="expression" dxfId="6663" priority="277">
      <formula>AND(I$9&gt;=14/24,I$9&lt;20/24)</formula>
    </cfRule>
    <cfRule type="expression" dxfId="6662" priority="278">
      <formula>AND(I$9&gt;=8/24,I$9&lt;14/24)</formula>
    </cfRule>
    <cfRule type="expression" dxfId="6661" priority="279">
      <formula>I$9&lt;8/24</formula>
    </cfRule>
  </conditionalFormatting>
  <conditionalFormatting sqref="I34:W34 X21:AF21 X27:AF27">
    <cfRule type="expression" dxfId="6660" priority="275">
      <formula>I21&gt;$AG21</formula>
    </cfRule>
  </conditionalFormatting>
  <conditionalFormatting sqref="D48:E48">
    <cfRule type="expression" dxfId="6659" priority="271">
      <formula>D$9&gt;=20/24</formula>
    </cfRule>
    <cfRule type="expression" dxfId="6658" priority="272">
      <formula>AND(D$9&gt;=14/24,D$9&lt;20/24)</formula>
    </cfRule>
    <cfRule type="expression" dxfId="6657" priority="273">
      <formula>AND(D$9&gt;=8/24,D$9&lt;14/24)</formula>
    </cfRule>
    <cfRule type="expression" dxfId="6656" priority="274">
      <formula>D$9&lt;8/24</formula>
    </cfRule>
  </conditionalFormatting>
  <conditionalFormatting sqref="D48:E48">
    <cfRule type="expression" dxfId="6655" priority="270">
      <formula>D48&gt;$AG48</formula>
    </cfRule>
  </conditionalFormatting>
  <conditionalFormatting sqref="X49:AA50">
    <cfRule type="expression" dxfId="6654" priority="266">
      <formula>X$9&gt;=20/24</formula>
    </cfRule>
    <cfRule type="expression" dxfId="6653" priority="267">
      <formula>AND(X$9&gt;=14/24,X$9&lt;20/24)</formula>
    </cfRule>
    <cfRule type="expression" dxfId="6652" priority="268">
      <formula>AND(X$9&gt;=8/24,X$9&lt;14/24)</formula>
    </cfRule>
    <cfRule type="expression" dxfId="6651" priority="269">
      <formula>X$9&lt;8/24</formula>
    </cfRule>
  </conditionalFormatting>
  <conditionalFormatting sqref="X48:AA48">
    <cfRule type="expression" dxfId="6650" priority="262">
      <formula>X$9&gt;=20/24</formula>
    </cfRule>
    <cfRule type="expression" dxfId="6649" priority="263">
      <formula>AND(X$9&gt;=14/24,X$9&lt;20/24)</formula>
    </cfRule>
    <cfRule type="expression" dxfId="6648" priority="264">
      <formula>AND(X$9&gt;=8/24,X$9&lt;14/24)</formula>
    </cfRule>
    <cfRule type="expression" dxfId="6647" priority="265">
      <formula>X$9&lt;8/24</formula>
    </cfRule>
  </conditionalFormatting>
  <conditionalFormatting sqref="X48:AA50">
    <cfRule type="expression" dxfId="6646" priority="261">
      <formula>X48&gt;$AG48</formula>
    </cfRule>
  </conditionalFormatting>
  <conditionalFormatting sqref="C83:AF83 C92:AF92">
    <cfRule type="expression" dxfId="6645" priority="257">
      <formula>C$9&gt;=20/24</formula>
    </cfRule>
    <cfRule type="expression" dxfId="6644" priority="258">
      <formula>AND(C$9&gt;=14/24,C$9&lt;20/24)</formula>
    </cfRule>
    <cfRule type="expression" dxfId="6643" priority="259">
      <formula>AND(C$9&gt;=8/24,C$9&lt;14/24)</formula>
    </cfRule>
    <cfRule type="expression" dxfId="6642" priority="260">
      <formula>C$9&lt;8/24</formula>
    </cfRule>
  </conditionalFormatting>
  <conditionalFormatting sqref="E42:K42">
    <cfRule type="expression" dxfId="6641" priority="253">
      <formula>E$9&gt;=20/24</formula>
    </cfRule>
    <cfRule type="expression" dxfId="6640" priority="254">
      <formula>AND(E$9&gt;=14/24,E$9&lt;20/24)</formula>
    </cfRule>
    <cfRule type="expression" dxfId="6639" priority="255">
      <formula>AND(E$9&gt;=8/24,E$9&lt;14/24)</formula>
    </cfRule>
    <cfRule type="expression" dxfId="6638" priority="256">
      <formula>E$9&lt;8/24</formula>
    </cfRule>
  </conditionalFormatting>
  <conditionalFormatting sqref="E42:K42">
    <cfRule type="expression" dxfId="6637" priority="252">
      <formula>E42&gt;$AG42</formula>
    </cfRule>
  </conditionalFormatting>
  <conditionalFormatting sqref="C66:D66 C49:E50">
    <cfRule type="expression" dxfId="6636" priority="244">
      <formula>C$9&gt;=20/24</formula>
    </cfRule>
    <cfRule type="expression" dxfId="6635" priority="245">
      <formula>AND(C$9&gt;=14/24,C$9&lt;20/24)</formula>
    </cfRule>
    <cfRule type="expression" dxfId="6634" priority="246">
      <formula>AND(C$9&gt;=8/24,C$9&lt;14/24)</formula>
    </cfRule>
    <cfRule type="expression" dxfId="6633" priority="247">
      <formula>C$9&lt;8/24</formula>
    </cfRule>
  </conditionalFormatting>
  <conditionalFormatting sqref="C48">
    <cfRule type="expression" dxfId="6632" priority="240">
      <formula>C$9&gt;=20/24</formula>
    </cfRule>
    <cfRule type="expression" dxfId="6631" priority="241">
      <formula>AND(C$9&gt;=14/24,C$9&lt;20/24)</formula>
    </cfRule>
    <cfRule type="expression" dxfId="6630" priority="242">
      <formula>AND(C$9&gt;=8/24,C$9&lt;14/24)</formula>
    </cfRule>
    <cfRule type="expression" dxfId="6629" priority="243">
      <formula>C$9&lt;8/24</formula>
    </cfRule>
  </conditionalFormatting>
  <conditionalFormatting sqref="C48:C50 D49:E50">
    <cfRule type="expression" dxfId="6628" priority="239">
      <formula>C48&gt;$AG48</formula>
    </cfRule>
  </conditionalFormatting>
  <conditionalFormatting sqref="C84:AF84 C65:AG65 C82:AG82 C93:AF93 C95:C101 C67:D76 C62:S64 E69:S76 I29:W30 I32:W32 I35:W37">
    <cfRule type="expression" dxfId="6627" priority="235">
      <formula>C$9&gt;=20/24</formula>
    </cfRule>
    <cfRule type="expression" dxfId="6626" priority="236">
      <formula>AND(C$9&gt;=14/24,C$9&lt;20/24)</formula>
    </cfRule>
    <cfRule type="expression" dxfId="6625" priority="237">
      <formula>AND(C$9&gt;=8/24,C$9&lt;14/24)</formula>
    </cfRule>
    <cfRule type="expression" dxfId="6624" priority="238">
      <formula>C$9&lt;8/24</formula>
    </cfRule>
  </conditionalFormatting>
  <conditionalFormatting sqref="I38:W38">
    <cfRule type="expression" dxfId="6623" priority="231">
      <formula>I$9&gt;=20/24</formula>
    </cfRule>
    <cfRule type="expression" dxfId="6622" priority="232">
      <formula>AND(I$9&gt;=14/24,I$9&lt;20/24)</formula>
    </cfRule>
    <cfRule type="expression" dxfId="6621" priority="233">
      <formula>AND(I$9&gt;=8/24,I$9&lt;14/24)</formula>
    </cfRule>
    <cfRule type="expression" dxfId="6620" priority="234">
      <formula>I$9&lt;8/24</formula>
    </cfRule>
  </conditionalFormatting>
  <conditionalFormatting sqref="C43:AG43 C61:AG61 C65:AG65 C51:E52 F52:L52 C62:S64 I29:W30 I35:W38 I32:W32">
    <cfRule type="expression" dxfId="6619" priority="230">
      <formula>C29&gt;$AG29</formula>
    </cfRule>
  </conditionalFormatting>
  <conditionalFormatting sqref="I40:W40">
    <cfRule type="expression" dxfId="6618" priority="226">
      <formula>I$9&gt;=20/24</formula>
    </cfRule>
    <cfRule type="expression" dxfId="6617" priority="227">
      <formula>AND(I$9&gt;=14/24,I$9&lt;20/24)</formula>
    </cfRule>
    <cfRule type="expression" dxfId="6616" priority="228">
      <formula>AND(I$9&gt;=8/24,I$9&lt;14/24)</formula>
    </cfRule>
    <cfRule type="expression" dxfId="6615" priority="229">
      <formula>I$9&lt;8/24</formula>
    </cfRule>
  </conditionalFormatting>
  <conditionalFormatting sqref="I16:W16">
    <cfRule type="expression" dxfId="6614" priority="222">
      <formula>I$9&gt;=20/24</formula>
    </cfRule>
    <cfRule type="expression" dxfId="6613" priority="223">
      <formula>AND(I$9&gt;=14/24,I$9&lt;20/24)</formula>
    </cfRule>
    <cfRule type="expression" dxfId="6612" priority="224">
      <formula>AND(I$9&gt;=8/24,I$9&lt;14/24)</formula>
    </cfRule>
    <cfRule type="expression" dxfId="6611" priority="225">
      <formula>I$9&lt;8/24</formula>
    </cfRule>
  </conditionalFormatting>
  <conditionalFormatting sqref="I39:W39">
    <cfRule type="expression" dxfId="6610" priority="218">
      <formula>I$9&gt;=20/24</formula>
    </cfRule>
    <cfRule type="expression" dxfId="6609" priority="219">
      <formula>AND(I$9&gt;=14/24,I$9&lt;20/24)</formula>
    </cfRule>
    <cfRule type="expression" dxfId="6608" priority="220">
      <formula>AND(I$9&gt;=8/24,I$9&lt;14/24)</formula>
    </cfRule>
    <cfRule type="expression" dxfId="6607" priority="221">
      <formula>I$9&lt;8/24</formula>
    </cfRule>
  </conditionalFormatting>
  <conditionalFormatting sqref="I39:W39">
    <cfRule type="expression" dxfId="6606" priority="217">
      <formula>I39&gt;$AG39</formula>
    </cfRule>
  </conditionalFormatting>
  <conditionalFormatting sqref="C53:Q59 R54:V57 R59:V59 R58:W58">
    <cfRule type="expression" dxfId="6605" priority="213">
      <formula>C$9&gt;=20/24</formula>
    </cfRule>
    <cfRule type="expression" dxfId="6604" priority="214">
      <formula>AND(C$9&gt;=14/24,C$9&lt;20/24)</formula>
    </cfRule>
    <cfRule type="expression" dxfId="6603" priority="215">
      <formula>AND(C$9&gt;=8/24,C$9&lt;14/24)</formula>
    </cfRule>
    <cfRule type="expression" dxfId="6602" priority="216">
      <formula>C$9&lt;8/24</formula>
    </cfRule>
  </conditionalFormatting>
  <conditionalFormatting sqref="C53:Q59 R54:V57 R59:V59 R58:W58">
    <cfRule type="expression" dxfId="6601" priority="212">
      <formula>C53&gt;$AG53</formula>
    </cfRule>
  </conditionalFormatting>
  <conditionalFormatting sqref="A39">
    <cfRule type="expression" dxfId="6600" priority="202">
      <formula>$AH39=0</formula>
    </cfRule>
  </conditionalFormatting>
  <conditionalFormatting sqref="C77:AF77">
    <cfRule type="expression" dxfId="6599" priority="198">
      <formula>C$9&gt;=20/24</formula>
    </cfRule>
    <cfRule type="expression" dxfId="6598" priority="199">
      <formula>AND(C$9&gt;=14/24,C$9&lt;20/24)</formula>
    </cfRule>
    <cfRule type="expression" dxfId="6597" priority="200">
      <formula>AND(C$9&gt;=8/24,C$9&lt;14/24)</formula>
    </cfRule>
    <cfRule type="expression" dxfId="6596" priority="201">
      <formula>C$9&lt;8/24</formula>
    </cfRule>
  </conditionalFormatting>
  <conditionalFormatting sqref="C86:AF90">
    <cfRule type="expression" dxfId="6595" priority="194">
      <formula>C$9&gt;=20/24</formula>
    </cfRule>
    <cfRule type="expression" dxfId="6594" priority="195">
      <formula>AND(C$9&gt;=14/24,C$9&lt;20/24)</formula>
    </cfRule>
    <cfRule type="expression" dxfId="6593" priority="196">
      <formula>AND(C$9&gt;=8/24,C$9&lt;14/24)</formula>
    </cfRule>
    <cfRule type="expression" dxfId="6592" priority="197">
      <formula>C$9&lt;8/24</formula>
    </cfRule>
  </conditionalFormatting>
  <conditionalFormatting sqref="AL40 AL37 AL20:AL32 AL34:AL35 AL7:AL18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6591" priority="190">
      <formula>C$9&gt;=20/24</formula>
    </cfRule>
    <cfRule type="expression" dxfId="6590" priority="191">
      <formula>AND(C$9&gt;=14/24,C$9&lt;20/24)</formula>
    </cfRule>
    <cfRule type="expression" dxfId="6589" priority="192">
      <formula>AND(C$9&gt;=8/24,C$9&lt;14/24)</formula>
    </cfRule>
    <cfRule type="expression" dxfId="6588" priority="193">
      <formula>C$9&lt;8/24</formula>
    </cfRule>
  </conditionalFormatting>
  <conditionalFormatting sqref="C44:AF46">
    <cfRule type="expression" dxfId="6587" priority="189">
      <formula>C44&gt;$AG44</formula>
    </cfRule>
  </conditionalFormatting>
  <conditionalFormatting sqref="C47:AG47">
    <cfRule type="expression" dxfId="6586" priority="185">
      <formula>C$9&gt;=20/24</formula>
    </cfRule>
    <cfRule type="expression" dxfId="6585" priority="186">
      <formula>AND(C$9&gt;=14/24,C$9&lt;20/24)</formula>
    </cfRule>
    <cfRule type="expression" dxfId="6584" priority="187">
      <formula>AND(C$9&gt;=8/24,C$9&lt;14/24)</formula>
    </cfRule>
    <cfRule type="expression" dxfId="6583" priority="188">
      <formula>C$9&lt;8/24</formula>
    </cfRule>
  </conditionalFormatting>
  <conditionalFormatting sqref="C47:AG47">
    <cfRule type="expression" dxfId="6582" priority="184">
      <formula>C47&gt;$AG47</formula>
    </cfRule>
  </conditionalFormatting>
  <conditionalFormatting sqref="C102:AF102">
    <cfRule type="expression" dxfId="6581" priority="180">
      <formula>C$9&gt;=20/24</formula>
    </cfRule>
    <cfRule type="expression" dxfId="6580" priority="181">
      <formula>AND(C$9&gt;=14/24,C$9&lt;20/24)</formula>
    </cfRule>
    <cfRule type="expression" dxfId="6579" priority="182">
      <formula>AND(C$9&gt;=8/24,C$9&lt;14/24)</formula>
    </cfRule>
    <cfRule type="expression" dxfId="6578" priority="183">
      <formula>C$9&lt;8/24</formula>
    </cfRule>
  </conditionalFormatting>
  <conditionalFormatting sqref="AL3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6577" priority="170">
      <formula>$AH36=0</formula>
    </cfRule>
  </conditionalFormatting>
  <conditionalFormatting sqref="A85">
    <cfRule type="expression" dxfId="6576" priority="168">
      <formula>$AH85=0</formula>
    </cfRule>
  </conditionalFormatting>
  <conditionalFormatting sqref="A82">
    <cfRule type="expression" dxfId="6575" priority="169">
      <formula>$AH82=0</formula>
    </cfRule>
  </conditionalFormatting>
  <conditionalFormatting sqref="A112">
    <cfRule type="expression" dxfId="6574" priority="159">
      <formula>$AH112=0</formula>
    </cfRule>
  </conditionalFormatting>
  <conditionalFormatting sqref="C105:AF105">
    <cfRule type="expression" dxfId="6573" priority="155">
      <formula>C$9&gt;=20/24</formula>
    </cfRule>
    <cfRule type="expression" dxfId="6572" priority="156">
      <formula>AND(C$9&gt;=14/24,C$9&lt;20/24)</formula>
    </cfRule>
    <cfRule type="expression" dxfId="6571" priority="157">
      <formula>AND(C$9&gt;=8/24,C$9&lt;14/24)</formula>
    </cfRule>
    <cfRule type="expression" dxfId="6570" priority="158">
      <formula>C$9&lt;8/24</formula>
    </cfRule>
  </conditionalFormatting>
  <conditionalFormatting sqref="A105">
    <cfRule type="expression" dxfId="6569" priority="154">
      <formula>$AH105=0</formula>
    </cfRule>
  </conditionalFormatting>
  <conditionalFormatting sqref="W55:X57 W59:X59 X58 Y55:AA59">
    <cfRule type="expression" dxfId="6568" priority="146">
      <formula>W$9&gt;=20/24</formula>
    </cfRule>
    <cfRule type="expression" dxfId="6567" priority="147">
      <formula>AND(W$9&gt;=14/24,W$9&lt;20/24)</formula>
    </cfRule>
    <cfRule type="expression" dxfId="6566" priority="148">
      <formula>AND(W$9&gt;=8/24,W$9&lt;14/24)</formula>
    </cfRule>
    <cfRule type="expression" dxfId="6565" priority="149">
      <formula>W$9&lt;8/24</formula>
    </cfRule>
  </conditionalFormatting>
  <conditionalFormatting sqref="W55:X57 W59:X59 X58 Y55:AA59">
    <cfRule type="expression" dxfId="6564" priority="145">
      <formula>W55&gt;$AG55</formula>
    </cfRule>
  </conditionalFormatting>
  <conditionalFormatting sqref="I19:AF19">
    <cfRule type="expression" dxfId="6563" priority="143">
      <formula>I19&gt;$AG19</formula>
    </cfRule>
  </conditionalFormatting>
  <conditionalFormatting sqref="A19">
    <cfRule type="expression" dxfId="6562" priority="142">
      <formula>$AH19=0</formula>
    </cfRule>
  </conditionalFormatting>
  <conditionalFormatting sqref="X19:AF19">
    <cfRule type="expression" dxfId="6561" priority="138">
      <formula>X$9&gt;=20/24</formula>
    </cfRule>
    <cfRule type="expression" dxfId="6560" priority="139">
      <formula>AND(X$9&gt;=14/24,X$9&lt;20/24)</formula>
    </cfRule>
    <cfRule type="expression" dxfId="6559" priority="140">
      <formula>AND(X$9&gt;=8/24,X$9&lt;14/24)</formula>
    </cfRule>
    <cfRule type="expression" dxfId="6558" priority="141">
      <formula>X$9&lt;8/24</formula>
    </cfRule>
  </conditionalFormatting>
  <conditionalFormatting sqref="I19:W19">
    <cfRule type="expression" dxfId="6557" priority="134">
      <formula>I$9&gt;=20/24</formula>
    </cfRule>
    <cfRule type="expression" dxfId="6556" priority="135">
      <formula>AND(I$9&gt;=14/24,I$9&lt;20/24)</formula>
    </cfRule>
    <cfRule type="expression" dxfId="6555" priority="136">
      <formula>AND(I$9&gt;=8/24,I$9&lt;14/24)</formula>
    </cfRule>
    <cfRule type="expression" dxfId="6554" priority="137">
      <formula>I$9&lt;8/24</formula>
    </cfRule>
  </conditionalFormatting>
  <conditionalFormatting sqref="AL19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553" priority="132">
      <formula>$AH33=0</formula>
    </cfRule>
  </conditionalFormatting>
  <conditionalFormatting sqref="X33:AF33">
    <cfRule type="expression" dxfId="6552" priority="128">
      <formula>X$9&gt;=20/24</formula>
    </cfRule>
    <cfRule type="expression" dxfId="6551" priority="129">
      <formula>AND(X$9&gt;=14/24,X$9&lt;20/24)</formula>
    </cfRule>
    <cfRule type="expression" dxfId="6550" priority="130">
      <formula>AND(X$9&gt;=8/24,X$9&lt;14/24)</formula>
    </cfRule>
    <cfRule type="expression" dxfId="6549" priority="131">
      <formula>X$9&lt;8/24</formula>
    </cfRule>
  </conditionalFormatting>
  <conditionalFormatting sqref="X33:AF33">
    <cfRule type="expression" dxfId="6548" priority="127">
      <formula>X33&gt;$AG33</formula>
    </cfRule>
  </conditionalFormatting>
  <conditionalFormatting sqref="I33:W33">
    <cfRule type="expression" dxfId="6547" priority="123">
      <formula>I$9&gt;=20/24</formula>
    </cfRule>
    <cfRule type="expression" dxfId="6546" priority="124">
      <formula>AND(I$9&gt;=14/24,I$9&lt;20/24)</formula>
    </cfRule>
    <cfRule type="expression" dxfId="6545" priority="125">
      <formula>AND(I$9&gt;=8/24,I$9&lt;14/24)</formula>
    </cfRule>
    <cfRule type="expression" dxfId="6544" priority="126">
      <formula>I$9&lt;8/24</formula>
    </cfRule>
  </conditionalFormatting>
  <conditionalFormatting sqref="I33:W33">
    <cfRule type="expression" dxfId="6543" priority="122">
      <formula>I33&gt;$AG33</formula>
    </cfRule>
  </conditionalFormatting>
  <conditionalFormatting sqref="AL3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B104 B106:B111 B15:H15 B17:H18 B11:W11 B22:W26">
    <cfRule type="expression" dxfId="6542" priority="113">
      <formula>B$9&gt;=20/24</formula>
    </cfRule>
    <cfRule type="expression" dxfId="6541" priority="114">
      <formula>AND(B$9&gt;=14/24,B$9&lt;20/24)</formula>
    </cfRule>
    <cfRule type="expression" dxfId="6540" priority="115">
      <formula>AND(B$9&gt;=8/24,B$9&lt;14/24)</formula>
    </cfRule>
    <cfRule type="expression" dxfId="6539" priority="116">
      <formula>B$9&lt;8/24</formula>
    </cfRule>
  </conditionalFormatting>
  <conditionalFormatting sqref="B42:D42">
    <cfRule type="expression" dxfId="6538" priority="109">
      <formula>B$9&gt;=20/24</formula>
    </cfRule>
    <cfRule type="expression" dxfId="6537" priority="110">
      <formula>AND(B$9&gt;=14/24,B$9&lt;20/24)</formula>
    </cfRule>
    <cfRule type="expression" dxfId="6536" priority="111">
      <formula>AND(B$9&gt;=8/24,B$9&lt;14/24)</formula>
    </cfRule>
    <cfRule type="expression" dxfId="6535" priority="112">
      <formula>B$9&lt;8/24</formula>
    </cfRule>
  </conditionalFormatting>
  <conditionalFormatting sqref="B42:D42 B11:H18 B40:H40 I11:W14 B20:W20 B22:W26">
    <cfRule type="expression" dxfId="6534" priority="108">
      <formula>B11&gt;$AG11</formula>
    </cfRule>
  </conditionalFormatting>
  <conditionalFormatting sqref="B94">
    <cfRule type="expression" dxfId="6533" priority="104">
      <formula>B$9&gt;=20/24</formula>
    </cfRule>
    <cfRule type="expression" dxfId="6532" priority="105">
      <formula>AND(B$9&gt;=14/24,B$9&lt;20/24)</formula>
    </cfRule>
    <cfRule type="expression" dxfId="6531" priority="106">
      <formula>AND(B$9&gt;=8/24,B$9&lt;14/24)</formula>
    </cfRule>
    <cfRule type="expression" dxfId="6530" priority="107">
      <formula>B$9&lt;8/24</formula>
    </cfRule>
  </conditionalFormatting>
  <conditionalFormatting sqref="B49:B50 B66">
    <cfRule type="expression" dxfId="6529" priority="100">
      <formula>B$9&gt;=20/24</formula>
    </cfRule>
    <cfRule type="expression" dxfId="6528" priority="101">
      <formula>AND(B$9&gt;=14/24,B$9&lt;20/24)</formula>
    </cfRule>
    <cfRule type="expression" dxfId="6527" priority="102">
      <formula>AND(B$9&gt;=8/24,B$9&lt;14/24)</formula>
    </cfRule>
    <cfRule type="expression" dxfId="6526" priority="103">
      <formula>B$9&lt;8/24</formula>
    </cfRule>
  </conditionalFormatting>
  <conditionalFormatting sqref="B48">
    <cfRule type="expression" dxfId="6525" priority="96">
      <formula>B$9&gt;=20/24</formula>
    </cfRule>
    <cfRule type="expression" dxfId="6524" priority="97">
      <formula>AND(B$9&gt;=14/24,B$9&lt;20/24)</formula>
    </cfRule>
    <cfRule type="expression" dxfId="6523" priority="98">
      <formula>AND(B$9&gt;=8/24,B$9&lt;14/24)</formula>
    </cfRule>
    <cfRule type="expression" dxfId="6522" priority="99">
      <formula>B$9&lt;8/24</formula>
    </cfRule>
  </conditionalFormatting>
  <conditionalFormatting sqref="B48:B50">
    <cfRule type="expression" dxfId="6521" priority="95">
      <formula>B48&gt;$AG48</formula>
    </cfRule>
  </conditionalFormatting>
  <conditionalFormatting sqref="B91 B95:B101 B62:B64 B78:B81 B67:B76 C78:L80 B28:H30 B34:H37 B32:H32 B12:W14 I28:W28 B20:W20">
    <cfRule type="expression" dxfId="6520" priority="91">
      <formula>B$9&gt;=20/24</formula>
    </cfRule>
    <cfRule type="expression" dxfId="6519" priority="92">
      <formula>AND(B$9&gt;=14/24,B$9&lt;20/24)</formula>
    </cfRule>
    <cfRule type="expression" dxfId="6518" priority="93">
      <formula>AND(B$9&gt;=8/24,B$9&lt;14/24)</formula>
    </cfRule>
    <cfRule type="expression" dxfId="6517" priority="94">
      <formula>B$9&lt;8/24</formula>
    </cfRule>
  </conditionalFormatting>
  <conditionalFormatting sqref="B38:H38">
    <cfRule type="expression" dxfId="6516" priority="87">
      <formula>B$9&gt;=20/24</formula>
    </cfRule>
    <cfRule type="expression" dxfId="6515" priority="88">
      <formula>AND(B$9&gt;=14/24,B$9&lt;20/24)</formula>
    </cfRule>
    <cfRule type="expression" dxfId="6514" priority="89">
      <formula>AND(B$9&gt;=8/24,B$9&lt;14/24)</formula>
    </cfRule>
    <cfRule type="expression" dxfId="6513" priority="90">
      <formula>B$9&lt;8/24</formula>
    </cfRule>
  </conditionalFormatting>
  <conditionalFormatting sqref="B51:B52 B60 B62:B64 B28:H30 B34:H38 B32:H32 I28:W28 B31:W31">
    <cfRule type="expression" dxfId="6512" priority="86">
      <formula>B28&gt;$AG28</formula>
    </cfRule>
  </conditionalFormatting>
  <conditionalFormatting sqref="B40:H40">
    <cfRule type="expression" dxfId="6511" priority="82">
      <formula>B$9&gt;=20/24</formula>
    </cfRule>
    <cfRule type="expression" dxfId="6510" priority="83">
      <formula>AND(B$9&gt;=14/24,B$9&lt;20/24)</formula>
    </cfRule>
    <cfRule type="expression" dxfId="6509" priority="84">
      <formula>AND(B$9&gt;=8/24,B$9&lt;14/24)</formula>
    </cfRule>
    <cfRule type="expression" dxfId="6508" priority="85">
      <formula>B$9&lt;8/24</formula>
    </cfRule>
  </conditionalFormatting>
  <conditionalFormatting sqref="B16:H16">
    <cfRule type="expression" dxfId="6507" priority="78">
      <formula>B$9&gt;=20/24</formula>
    </cfRule>
    <cfRule type="expression" dxfId="6506" priority="79">
      <formula>AND(B$9&gt;=14/24,B$9&lt;20/24)</formula>
    </cfRule>
    <cfRule type="expression" dxfId="6505" priority="80">
      <formula>AND(B$9&gt;=8/24,B$9&lt;14/24)</formula>
    </cfRule>
    <cfRule type="expression" dxfId="6504" priority="81">
      <formula>B$9&lt;8/24</formula>
    </cfRule>
  </conditionalFormatting>
  <conditionalFormatting sqref="B39:H39">
    <cfRule type="expression" dxfId="6503" priority="74">
      <formula>B$9&gt;=20/24</formula>
    </cfRule>
    <cfRule type="expression" dxfId="6502" priority="75">
      <formula>AND(B$9&gt;=14/24,B$9&lt;20/24)</formula>
    </cfRule>
    <cfRule type="expression" dxfId="6501" priority="76">
      <formula>AND(B$9&gt;=8/24,B$9&lt;14/24)</formula>
    </cfRule>
    <cfRule type="expression" dxfId="6500" priority="77">
      <formula>B$9&lt;8/24</formula>
    </cfRule>
  </conditionalFormatting>
  <conditionalFormatting sqref="B39:H39">
    <cfRule type="expression" dxfId="6499" priority="73">
      <formula>B39&gt;$AG39</formula>
    </cfRule>
  </conditionalFormatting>
  <conditionalFormatting sqref="B53:B59">
    <cfRule type="expression" dxfId="6498" priority="69">
      <formula>B$9&gt;=20/24</formula>
    </cfRule>
    <cfRule type="expression" dxfId="6497" priority="70">
      <formula>AND(B$9&gt;=14/24,B$9&lt;20/24)</formula>
    </cfRule>
    <cfRule type="expression" dxfId="6496" priority="71">
      <formula>AND(B$9&gt;=8/24,B$9&lt;14/24)</formula>
    </cfRule>
    <cfRule type="expression" dxfId="6495" priority="72">
      <formula>B$9&lt;8/24</formula>
    </cfRule>
  </conditionalFormatting>
  <conditionalFormatting sqref="B53:B59">
    <cfRule type="expression" dxfId="6494" priority="68">
      <formula>B53&gt;$AG53</formula>
    </cfRule>
  </conditionalFormatting>
  <conditionalFormatting sqref="B31:W31">
    <cfRule type="expression" dxfId="6493" priority="64">
      <formula>B$9&gt;=20/24</formula>
    </cfRule>
    <cfRule type="expression" dxfId="6492" priority="65">
      <formula>AND(B$9&gt;=14/24,B$9&lt;20/24)</formula>
    </cfRule>
    <cfRule type="expression" dxfId="6491" priority="66">
      <formula>AND(B$9&gt;=8/24,B$9&lt;14/24)</formula>
    </cfRule>
    <cfRule type="expression" dxfId="6490" priority="67">
      <formula>B$9&lt;8/24</formula>
    </cfRule>
  </conditionalFormatting>
  <conditionalFormatting sqref="B21:W21 B27:W27">
    <cfRule type="expression" dxfId="6489" priority="60">
      <formula>B$9&gt;=20/24</formula>
    </cfRule>
    <cfRule type="expression" dxfId="6488" priority="61">
      <formula>AND(B$9&gt;=14/24,B$9&lt;20/24)</formula>
    </cfRule>
    <cfRule type="expression" dxfId="6487" priority="62">
      <formula>AND(B$9&gt;=8/24,B$9&lt;14/24)</formula>
    </cfRule>
    <cfRule type="expression" dxfId="6486" priority="63">
      <formula>B$9&lt;8/24</formula>
    </cfRule>
  </conditionalFormatting>
  <conditionalFormatting sqref="B21:W21 B27:W27">
    <cfRule type="expression" dxfId="6485" priority="59">
      <formula>B21&gt;$AG21</formula>
    </cfRule>
  </conditionalFormatting>
  <conditionalFormatting sqref="B83 B92">
    <cfRule type="expression" dxfId="6484" priority="55">
      <formula>B$9&gt;=20/24</formula>
    </cfRule>
    <cfRule type="expression" dxfId="6483" priority="56">
      <formula>AND(B$9&gt;=14/24,B$9&lt;20/24)</formula>
    </cfRule>
    <cfRule type="expression" dxfId="6482" priority="57">
      <formula>AND(B$9&gt;=8/24,B$9&lt;14/24)</formula>
    </cfRule>
    <cfRule type="expression" dxfId="6481" priority="58">
      <formula>B$9&lt;8/24</formula>
    </cfRule>
  </conditionalFormatting>
  <conditionalFormatting sqref="B41:AF41">
    <cfRule type="expression" dxfId="6480" priority="51">
      <formula>B$9&gt;=20/24</formula>
    </cfRule>
    <cfRule type="expression" dxfId="6479" priority="52">
      <formula>AND(B$9&gt;=14/24,B$9&lt;20/24)</formula>
    </cfRule>
    <cfRule type="expression" dxfId="6478" priority="53">
      <formula>AND(B$9&gt;=8/24,B$9&lt;14/24)</formula>
    </cfRule>
    <cfRule type="expression" dxfId="6477" priority="54">
      <formula>B$9&lt;8/24</formula>
    </cfRule>
  </conditionalFormatting>
  <conditionalFormatting sqref="B41:AF41">
    <cfRule type="expression" dxfId="6476" priority="50">
      <formula>B41&gt;$AG41</formula>
    </cfRule>
  </conditionalFormatting>
  <conditionalFormatting sqref="B93 B84 B82 B65">
    <cfRule type="expression" dxfId="6475" priority="46">
      <formula>B$9&gt;=20/24</formula>
    </cfRule>
    <cfRule type="expression" dxfId="6474" priority="47">
      <formula>AND(B$9&gt;=14/24,B$9&lt;20/24)</formula>
    </cfRule>
    <cfRule type="expression" dxfId="6473" priority="48">
      <formula>AND(B$9&gt;=8/24,B$9&lt;14/24)</formula>
    </cfRule>
    <cfRule type="expression" dxfId="6472" priority="49">
      <formula>B$9&lt;8/24</formula>
    </cfRule>
  </conditionalFormatting>
  <conditionalFormatting sqref="B65 B61 B43">
    <cfRule type="expression" dxfId="6471" priority="45">
      <formula>B43&gt;$AG43</formula>
    </cfRule>
  </conditionalFormatting>
  <conditionalFormatting sqref="B77">
    <cfRule type="expression" dxfId="6470" priority="41">
      <formula>B$9&gt;=20/24</formula>
    </cfRule>
    <cfRule type="expression" dxfId="6469" priority="42">
      <formula>AND(B$9&gt;=14/24,B$9&lt;20/24)</formula>
    </cfRule>
    <cfRule type="expression" dxfId="6468" priority="43">
      <formula>AND(B$9&gt;=8/24,B$9&lt;14/24)</formula>
    </cfRule>
    <cfRule type="expression" dxfId="6467" priority="44">
      <formula>B$9&lt;8/24</formula>
    </cfRule>
  </conditionalFormatting>
  <conditionalFormatting sqref="B86:B90">
    <cfRule type="expression" dxfId="6466" priority="37">
      <formula>B$9&gt;=20/24</formula>
    </cfRule>
    <cfRule type="expression" dxfId="6465" priority="38">
      <formula>AND(B$9&gt;=14/24,B$9&lt;20/24)</formula>
    </cfRule>
    <cfRule type="expression" dxfId="6464" priority="39">
      <formula>AND(B$9&gt;=8/24,B$9&lt;14/24)</formula>
    </cfRule>
    <cfRule type="expression" dxfId="6463" priority="40">
      <formula>B$9&lt;8/24</formula>
    </cfRule>
  </conditionalFormatting>
  <conditionalFormatting sqref="B44:B46">
    <cfRule type="expression" dxfId="6462" priority="33">
      <formula>B$9&gt;=20/24</formula>
    </cfRule>
    <cfRule type="expression" dxfId="6461" priority="34">
      <formula>AND(B$9&gt;=14/24,B$9&lt;20/24)</formula>
    </cfRule>
    <cfRule type="expression" dxfId="6460" priority="35">
      <formula>AND(B$9&gt;=8/24,B$9&lt;14/24)</formula>
    </cfRule>
    <cfRule type="expression" dxfId="6459" priority="36">
      <formula>B$9&lt;8/24</formula>
    </cfRule>
  </conditionalFormatting>
  <conditionalFormatting sqref="B44:B46">
    <cfRule type="expression" dxfId="6458" priority="32">
      <formula>B44&gt;$AG44</formula>
    </cfRule>
  </conditionalFormatting>
  <conditionalFormatting sqref="B47">
    <cfRule type="expression" dxfId="6457" priority="28">
      <formula>B$9&gt;=20/24</formula>
    </cfRule>
    <cfRule type="expression" dxfId="6456" priority="29">
      <formula>AND(B$9&gt;=14/24,B$9&lt;20/24)</formula>
    </cfRule>
    <cfRule type="expression" dxfId="6455" priority="30">
      <formula>AND(B$9&gt;=8/24,B$9&lt;14/24)</formula>
    </cfRule>
    <cfRule type="expression" dxfId="6454" priority="31">
      <formula>B$9&lt;8/24</formula>
    </cfRule>
  </conditionalFormatting>
  <conditionalFormatting sqref="B47">
    <cfRule type="expression" dxfId="6453" priority="27">
      <formula>B47&gt;$AG47</formula>
    </cfRule>
  </conditionalFormatting>
  <conditionalFormatting sqref="B102">
    <cfRule type="expression" dxfId="6452" priority="23">
      <formula>B$9&gt;=20/24</formula>
    </cfRule>
    <cfRule type="expression" dxfId="6451" priority="24">
      <formula>AND(B$9&gt;=14/24,B$9&lt;20/24)</formula>
    </cfRule>
    <cfRule type="expression" dxfId="6450" priority="25">
      <formula>AND(B$9&gt;=8/24,B$9&lt;14/24)</formula>
    </cfRule>
    <cfRule type="expression" dxfId="6449" priority="26">
      <formula>B$9&lt;8/24</formula>
    </cfRule>
  </conditionalFormatting>
  <conditionalFormatting sqref="B105">
    <cfRule type="expression" dxfId="6448" priority="11">
      <formula>B$9&gt;=20/24</formula>
    </cfRule>
    <cfRule type="expression" dxfId="6447" priority="12">
      <formula>AND(B$9&gt;=14/24,B$9&lt;20/24)</formula>
    </cfRule>
    <cfRule type="expression" dxfId="6446" priority="13">
      <formula>AND(B$9&gt;=8/24,B$9&lt;14/24)</formula>
    </cfRule>
    <cfRule type="expression" dxfId="6445" priority="14">
      <formula>B$9&lt;8/24</formula>
    </cfRule>
  </conditionalFormatting>
  <conditionalFormatting sqref="B19:H19">
    <cfRule type="expression" dxfId="6444" priority="10">
      <formula>B19&gt;$AG19</formula>
    </cfRule>
  </conditionalFormatting>
  <conditionalFormatting sqref="B19:H19">
    <cfRule type="expression" dxfId="6443" priority="6">
      <formula>B$9&gt;=20/24</formula>
    </cfRule>
    <cfRule type="expression" dxfId="6442" priority="7">
      <formula>AND(B$9&gt;=14/24,B$9&lt;20/24)</formula>
    </cfRule>
    <cfRule type="expression" dxfId="6441" priority="8">
      <formula>AND(B$9&gt;=8/24,B$9&lt;14/24)</formula>
    </cfRule>
    <cfRule type="expression" dxfId="6440" priority="9">
      <formula>B$9&lt;8/24</formula>
    </cfRule>
  </conditionalFormatting>
  <conditionalFormatting sqref="B33:H33">
    <cfRule type="expression" dxfId="6439" priority="2">
      <formula>B$9&gt;=20/24</formula>
    </cfRule>
    <cfRule type="expression" dxfId="6438" priority="3">
      <formula>AND(B$9&gt;=14/24,B$9&lt;20/24)</formula>
    </cfRule>
    <cfRule type="expression" dxfId="6437" priority="4">
      <formula>AND(B$9&gt;=8/24,B$9&lt;14/24)</formula>
    </cfRule>
    <cfRule type="expression" dxfId="6436" priority="5">
      <formula>B$9&lt;8/24</formula>
    </cfRule>
  </conditionalFormatting>
  <conditionalFormatting sqref="B33:H33">
    <cfRule type="expression" dxfId="6435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1" id="{52EE961D-2C0E-4116-93ED-0F76A7A4123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2" id="{044D8E78-3C59-4CF0-B432-202D8A30381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3" id="{B427C90E-92E6-43AF-B89C-146A6284234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4" id="{08C16416-9A51-4712-BCB0-73B030168B9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C85:AF85</xm:sqref>
        </x14:conditionalFormatting>
        <x14:conditionalFormatting xmlns:xm="http://schemas.microsoft.com/office/excel/2006/main">
          <x14:cfRule type="expression" priority="164" id="{D8AEC18D-6284-4C0E-94BF-92624CF7C99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5" id="{4B57E569-2816-4035-AB68-84B381EF4E2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6" id="{D7B0F9AA-04CB-4C20-BD94-C417EA1F6E9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7" id="{0F3C1DAC-D1F5-4BC4-B01A-6F3FE2996DD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19" id="{09F16EC2-66FF-4063-9356-24D5E80C4D3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" id="{34B99581-7565-4D12-959B-2408E16FDC1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" id="{8D448135-0EE3-4DC7-91F3-BD2658DA7BA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" id="{2BF60A09-6238-4DA9-A021-ED9B21147A4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</xm:sqref>
        </x14:conditionalFormatting>
        <x14:conditionalFormatting xmlns:xm="http://schemas.microsoft.com/office/excel/2006/main">
          <x14:cfRule type="expression" priority="15" id="{69CD3C21-1EF9-4BB3-9725-63AF0EF2062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94B9AA96-F264-4F80-A380-FFEFC813E0E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3F10E2C4-0DF3-439E-B7B8-68A0BF7FF84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042C907B-F29B-45F8-9584-BC6EE96AD5B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2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R68" sqref="R6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2079/08/12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1672MW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Load=985</v>
      </c>
      <c r="B7" s="35">
        <f t="shared" ref="B7:AF7" si="1">B84</f>
        <v>984.74</v>
      </c>
      <c r="C7" s="35">
        <f t="shared" si="1"/>
        <v>1005.5400000000001</v>
      </c>
      <c r="D7" s="35">
        <f t="shared" si="1"/>
        <v>992.44</v>
      </c>
      <c r="E7" s="35">
        <f t="shared" si="1"/>
        <v>1025.74</v>
      </c>
      <c r="F7" s="35">
        <f t="shared" si="1"/>
        <v>1036.1400000000001</v>
      </c>
      <c r="G7" s="35">
        <f t="shared" si="1"/>
        <v>1078.04</v>
      </c>
      <c r="H7" s="35">
        <f t="shared" si="1"/>
        <v>1178.8400000000001</v>
      </c>
      <c r="I7" s="35">
        <f t="shared" si="1"/>
        <v>1264.24</v>
      </c>
      <c r="J7" s="35">
        <f t="shared" si="1"/>
        <v>1411.24</v>
      </c>
      <c r="K7" s="35">
        <f t="shared" si="1"/>
        <v>1539.24</v>
      </c>
      <c r="L7" s="35">
        <f t="shared" si="1"/>
        <v>1672.24</v>
      </c>
      <c r="M7" s="35">
        <f t="shared" si="1"/>
        <v>1641.74</v>
      </c>
      <c r="N7" s="35">
        <f t="shared" si="1"/>
        <v>1593.24</v>
      </c>
      <c r="O7" s="35">
        <f t="shared" si="1"/>
        <v>1295.74</v>
      </c>
      <c r="P7" s="35">
        <f t="shared" si="1"/>
        <v>1260.1400000000001</v>
      </c>
      <c r="Q7" s="35">
        <f t="shared" si="1"/>
        <v>1158.6400000000001</v>
      </c>
      <c r="R7" s="35">
        <f t="shared" si="1"/>
        <v>1105.6400000000001</v>
      </c>
      <c r="S7" s="35">
        <f t="shared" si="1"/>
        <v>1103.7400000000002</v>
      </c>
      <c r="T7" s="35">
        <f t="shared" si="1"/>
        <v>1132.54</v>
      </c>
      <c r="U7" s="35">
        <f t="shared" si="1"/>
        <v>1197.7400000000002</v>
      </c>
      <c r="V7" s="35">
        <f t="shared" si="1"/>
        <v>1413.2400000000002</v>
      </c>
      <c r="W7" s="35">
        <f t="shared" si="1"/>
        <v>1613.3400000000001</v>
      </c>
      <c r="X7" s="35">
        <f t="shared" si="1"/>
        <v>1701.74</v>
      </c>
      <c r="Y7" s="35">
        <f t="shared" si="1"/>
        <v>1667.24</v>
      </c>
      <c r="Z7" s="35">
        <f t="shared" si="1"/>
        <v>1646.74</v>
      </c>
      <c r="AA7" s="35">
        <f t="shared" si="1"/>
        <v>1553.74</v>
      </c>
      <c r="AB7" s="35">
        <f t="shared" si="1"/>
        <v>1477.6399999999999</v>
      </c>
      <c r="AC7" s="35">
        <f t="shared" si="1"/>
        <v>1421.1399999999999</v>
      </c>
      <c r="AD7" s="35">
        <f t="shared" si="1"/>
        <v>1356.1399999999999</v>
      </c>
      <c r="AE7" s="35">
        <f t="shared" si="1"/>
        <v>1274.74</v>
      </c>
      <c r="AF7" s="35">
        <f t="shared" si="1"/>
        <v>1212.6400000000001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32.6</v>
      </c>
      <c r="C11" s="46">
        <v>32.5</v>
      </c>
      <c r="D11" s="46">
        <v>32.799999999999997</v>
      </c>
      <c r="E11" s="46">
        <v>32.799999999999997</v>
      </c>
      <c r="F11" s="46">
        <v>32.799999999999997</v>
      </c>
      <c r="G11" s="46">
        <v>32.799999999999997</v>
      </c>
      <c r="H11" s="46">
        <v>32.799999999999997</v>
      </c>
      <c r="I11" s="46">
        <v>32.799999999999997</v>
      </c>
      <c r="J11" s="46">
        <v>32.799999999999997</v>
      </c>
      <c r="K11" s="46">
        <v>32.799999999999997</v>
      </c>
      <c r="L11" s="46">
        <v>32.799999999999997</v>
      </c>
      <c r="M11" s="46">
        <v>32.799999999999997</v>
      </c>
      <c r="N11" s="46">
        <v>32.799999999999997</v>
      </c>
      <c r="O11" s="46">
        <v>32.799999999999997</v>
      </c>
      <c r="P11" s="46">
        <v>32.799999999999997</v>
      </c>
      <c r="Q11" s="46">
        <v>32.799999999999997</v>
      </c>
      <c r="R11" s="46">
        <v>32.799999999999997</v>
      </c>
      <c r="S11" s="46">
        <v>31.6</v>
      </c>
      <c r="T11" s="46">
        <v>31.6</v>
      </c>
      <c r="U11" s="46">
        <v>29.6</v>
      </c>
      <c r="V11" s="46">
        <v>29.6</v>
      </c>
      <c r="W11" s="46">
        <v>29.6</v>
      </c>
      <c r="X11" s="46">
        <v>31.1</v>
      </c>
      <c r="Y11" s="46">
        <v>31.1</v>
      </c>
      <c r="Z11" s="46">
        <v>33.4</v>
      </c>
      <c r="AA11" s="46">
        <v>33.4</v>
      </c>
      <c r="AB11" s="46">
        <v>33.4</v>
      </c>
      <c r="AC11" s="46">
        <v>33.4</v>
      </c>
      <c r="AD11" s="46">
        <v>33.4</v>
      </c>
      <c r="AE11" s="46">
        <v>33.4</v>
      </c>
      <c r="AF11" s="46">
        <v>33.4</v>
      </c>
      <c r="AG11" s="47">
        <v>52.4</v>
      </c>
      <c r="AH11" s="48">
        <f>MAX(B11:AF11)</f>
        <v>33.4</v>
      </c>
      <c r="AI11" s="49">
        <f>MIN(B11:AF11)</f>
        <v>29.6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50.1</v>
      </c>
      <c r="T12" s="45">
        <v>50.4</v>
      </c>
      <c r="U12" s="45">
        <v>50.5</v>
      </c>
      <c r="V12" s="45">
        <v>50.5</v>
      </c>
      <c r="W12" s="45">
        <v>50.5</v>
      </c>
      <c r="X12" s="45">
        <v>50.4</v>
      </c>
      <c r="Y12" s="45">
        <v>50.4</v>
      </c>
      <c r="Z12" s="45">
        <v>50.4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8" si="2">MAX(B12:AF12)</f>
        <v>50.5</v>
      </c>
      <c r="AI12" s="49">
        <f t="shared" ref="AI12:AI78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30.8</v>
      </c>
      <c r="C13" s="45">
        <v>30.3</v>
      </c>
      <c r="D13" s="45">
        <v>30.3</v>
      </c>
      <c r="E13" s="45">
        <v>30.3</v>
      </c>
      <c r="F13" s="45">
        <v>30.3</v>
      </c>
      <c r="G13" s="45">
        <v>30.3</v>
      </c>
      <c r="H13" s="45">
        <v>30.3</v>
      </c>
      <c r="I13" s="45">
        <v>30.3</v>
      </c>
      <c r="J13" s="45">
        <v>30.3</v>
      </c>
      <c r="K13" s="45">
        <v>30.3</v>
      </c>
      <c r="L13" s="45">
        <v>30.3</v>
      </c>
      <c r="M13" s="45">
        <v>30.3</v>
      </c>
      <c r="N13" s="45">
        <v>30.3</v>
      </c>
      <c r="O13" s="45">
        <v>30.3</v>
      </c>
      <c r="P13" s="45">
        <v>27.5</v>
      </c>
      <c r="Q13" s="45">
        <v>27.5</v>
      </c>
      <c r="R13" s="45">
        <v>27.5</v>
      </c>
      <c r="S13" s="45">
        <v>28.1</v>
      </c>
      <c r="T13" s="45">
        <v>28.6</v>
      </c>
      <c r="U13" s="45">
        <v>29.6</v>
      </c>
      <c r="V13" s="45">
        <v>29.6</v>
      </c>
      <c r="W13" s="45">
        <v>29.6</v>
      </c>
      <c r="X13" s="45">
        <v>31.9</v>
      </c>
      <c r="Y13" s="45">
        <v>31.9</v>
      </c>
      <c r="Z13" s="45">
        <v>31.9</v>
      </c>
      <c r="AA13" s="45">
        <v>31.9</v>
      </c>
      <c r="AB13" s="45">
        <v>31.9</v>
      </c>
      <c r="AC13" s="45">
        <v>31.9</v>
      </c>
      <c r="AD13" s="45">
        <v>31.9</v>
      </c>
      <c r="AE13" s="45">
        <v>31.9</v>
      </c>
      <c r="AF13" s="45">
        <v>31.9</v>
      </c>
      <c r="AG13" s="51">
        <v>45</v>
      </c>
      <c r="AH13" s="48">
        <f t="shared" si="2"/>
        <v>31.9</v>
      </c>
      <c r="AI13" s="49">
        <f t="shared" si="3"/>
        <v>27.5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18.5</v>
      </c>
      <c r="C14" s="45">
        <v>18.5</v>
      </c>
      <c r="D14" s="45">
        <v>18.5</v>
      </c>
      <c r="E14" s="45">
        <v>18.5</v>
      </c>
      <c r="F14" s="45">
        <v>18.5</v>
      </c>
      <c r="G14" s="45">
        <v>18.5</v>
      </c>
      <c r="H14" s="45">
        <v>18.5</v>
      </c>
      <c r="I14" s="45">
        <v>18.5</v>
      </c>
      <c r="J14" s="45">
        <v>18.5</v>
      </c>
      <c r="K14" s="45">
        <v>18.5</v>
      </c>
      <c r="L14" s="45">
        <v>18.5</v>
      </c>
      <c r="M14" s="45">
        <v>18.5</v>
      </c>
      <c r="N14" s="45">
        <v>18.5</v>
      </c>
      <c r="O14" s="45">
        <v>18.5</v>
      </c>
      <c r="P14" s="45">
        <v>18.5</v>
      </c>
      <c r="Q14" s="45">
        <v>18.5</v>
      </c>
      <c r="R14" s="45">
        <v>18.5</v>
      </c>
      <c r="S14" s="45">
        <v>18.5</v>
      </c>
      <c r="T14" s="45">
        <v>18.5</v>
      </c>
      <c r="U14" s="45">
        <v>18.5</v>
      </c>
      <c r="V14" s="45">
        <v>18.5</v>
      </c>
      <c r="W14" s="45">
        <v>18.5</v>
      </c>
      <c r="X14" s="45">
        <v>18.5</v>
      </c>
      <c r="Y14" s="45">
        <v>18.5</v>
      </c>
      <c r="Z14" s="45">
        <v>18.5</v>
      </c>
      <c r="AA14" s="45">
        <v>18.5</v>
      </c>
      <c r="AB14" s="45">
        <v>18.5</v>
      </c>
      <c r="AC14" s="45">
        <v>18.5</v>
      </c>
      <c r="AD14" s="45">
        <v>18.5</v>
      </c>
      <c r="AE14" s="45">
        <v>18.5</v>
      </c>
      <c r="AF14" s="45">
        <v>18.5</v>
      </c>
      <c r="AG14" s="51">
        <v>42</v>
      </c>
      <c r="AH14" s="48">
        <f t="shared" si="2"/>
        <v>18.5</v>
      </c>
      <c r="AI14" s="49">
        <f t="shared" si="3"/>
        <v>18.5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5">
        <v>10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10</v>
      </c>
      <c r="K16" s="45">
        <v>10</v>
      </c>
      <c r="L16" s="45">
        <v>19</v>
      </c>
      <c r="M16" s="45">
        <v>19</v>
      </c>
      <c r="N16" s="45">
        <v>19</v>
      </c>
      <c r="O16" s="45">
        <v>19</v>
      </c>
      <c r="P16" s="45">
        <v>17.899999999999999</v>
      </c>
      <c r="Q16" s="45">
        <v>17.899999999999999</v>
      </c>
      <c r="R16" s="45">
        <v>17.899999999999999</v>
      </c>
      <c r="S16" s="45">
        <v>16.899999999999999</v>
      </c>
      <c r="T16" s="45">
        <v>16.3</v>
      </c>
      <c r="U16" s="45">
        <v>16.3</v>
      </c>
      <c r="V16" s="45">
        <v>16.3</v>
      </c>
      <c r="W16" s="45">
        <v>16.3</v>
      </c>
      <c r="X16" s="45">
        <v>17.2</v>
      </c>
      <c r="Y16" s="45">
        <v>17.2</v>
      </c>
      <c r="Z16" s="45">
        <v>17.2</v>
      </c>
      <c r="AA16" s="45">
        <v>17.2</v>
      </c>
      <c r="AB16" s="45">
        <v>17.2</v>
      </c>
      <c r="AC16" s="45">
        <v>17.2</v>
      </c>
      <c r="AD16" s="45">
        <v>17.2</v>
      </c>
      <c r="AE16" s="45">
        <v>17.2</v>
      </c>
      <c r="AF16" s="45">
        <v>10</v>
      </c>
      <c r="AG16" s="52">
        <v>30</v>
      </c>
      <c r="AH16" s="48">
        <f t="shared" si="2"/>
        <v>19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15.5</v>
      </c>
      <c r="C17" s="45">
        <v>15.5</v>
      </c>
      <c r="D17" s="45">
        <v>15.5</v>
      </c>
      <c r="E17" s="45">
        <v>15.5</v>
      </c>
      <c r="F17" s="45">
        <v>15.5</v>
      </c>
      <c r="G17" s="45">
        <v>15.5</v>
      </c>
      <c r="H17" s="45">
        <v>15.5</v>
      </c>
      <c r="I17" s="45">
        <v>15.5</v>
      </c>
      <c r="J17" s="45">
        <v>15.5</v>
      </c>
      <c r="K17" s="45">
        <v>15.5</v>
      </c>
      <c r="L17" s="45">
        <v>15.5</v>
      </c>
      <c r="M17" s="45">
        <v>15.5</v>
      </c>
      <c r="N17" s="45">
        <v>15.5</v>
      </c>
      <c r="O17" s="45">
        <v>15.5</v>
      </c>
      <c r="P17" s="45">
        <v>14.8</v>
      </c>
      <c r="Q17" s="45">
        <v>14.8</v>
      </c>
      <c r="R17" s="45">
        <v>14.8</v>
      </c>
      <c r="S17" s="45">
        <v>12.8</v>
      </c>
      <c r="T17" s="45">
        <v>14.5</v>
      </c>
      <c r="U17" s="45">
        <v>14.5</v>
      </c>
      <c r="V17" s="45">
        <v>14.5</v>
      </c>
      <c r="W17" s="45">
        <v>14.5</v>
      </c>
      <c r="X17" s="45">
        <v>14.5</v>
      </c>
      <c r="Y17" s="45">
        <v>14.5</v>
      </c>
      <c r="Z17" s="45">
        <v>14.5</v>
      </c>
      <c r="AA17" s="45">
        <v>14.5</v>
      </c>
      <c r="AB17" s="45">
        <v>14.5</v>
      </c>
      <c r="AC17" s="45">
        <v>18</v>
      </c>
      <c r="AD17" s="45">
        <v>18</v>
      </c>
      <c r="AE17" s="45">
        <v>18</v>
      </c>
      <c r="AF17" s="45">
        <v>15.4</v>
      </c>
      <c r="AG17" s="51">
        <v>24.2</v>
      </c>
      <c r="AH17" s="48">
        <f t="shared" si="2"/>
        <v>18</v>
      </c>
      <c r="AI17" s="49">
        <f t="shared" si="3"/>
        <v>12.8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17</v>
      </c>
      <c r="C18" s="45">
        <v>17</v>
      </c>
      <c r="D18" s="45">
        <v>17</v>
      </c>
      <c r="E18" s="45">
        <v>17</v>
      </c>
      <c r="F18" s="45">
        <v>17</v>
      </c>
      <c r="G18" s="45">
        <v>17</v>
      </c>
      <c r="H18" s="45">
        <v>17</v>
      </c>
      <c r="I18" s="45">
        <v>17</v>
      </c>
      <c r="J18" s="45">
        <v>17</v>
      </c>
      <c r="K18" s="45">
        <v>17</v>
      </c>
      <c r="L18" s="45">
        <v>17</v>
      </c>
      <c r="M18" s="45">
        <v>17</v>
      </c>
      <c r="N18" s="45">
        <v>17</v>
      </c>
      <c r="O18" s="45">
        <v>17</v>
      </c>
      <c r="P18" s="45">
        <v>17</v>
      </c>
      <c r="Q18" s="45">
        <v>17</v>
      </c>
      <c r="R18" s="45">
        <v>17</v>
      </c>
      <c r="S18" s="45">
        <v>17</v>
      </c>
      <c r="T18" s="45">
        <v>17</v>
      </c>
      <c r="U18" s="45">
        <v>17</v>
      </c>
      <c r="V18" s="45">
        <v>17</v>
      </c>
      <c r="W18" s="45">
        <v>17</v>
      </c>
      <c r="X18" s="45">
        <v>17</v>
      </c>
      <c r="Y18" s="45">
        <v>17</v>
      </c>
      <c r="Z18" s="45">
        <v>17</v>
      </c>
      <c r="AA18" s="45">
        <v>17</v>
      </c>
      <c r="AB18" s="45">
        <v>17</v>
      </c>
      <c r="AC18" s="45">
        <v>17</v>
      </c>
      <c r="AD18" s="45">
        <v>17</v>
      </c>
      <c r="AE18" s="45">
        <v>17</v>
      </c>
      <c r="AF18" s="45">
        <v>17</v>
      </c>
      <c r="AG18" s="51">
        <v>28</v>
      </c>
      <c r="AH18" s="48">
        <f t="shared" si="2"/>
        <v>17</v>
      </c>
      <c r="AI18" s="49">
        <f t="shared" si="3"/>
        <v>17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10</v>
      </c>
      <c r="K19" s="45">
        <v>10</v>
      </c>
      <c r="L19" s="45">
        <v>19</v>
      </c>
      <c r="M19" s="45">
        <v>19</v>
      </c>
      <c r="N19" s="45">
        <v>19</v>
      </c>
      <c r="O19" s="45">
        <v>19</v>
      </c>
      <c r="P19" s="45">
        <v>19</v>
      </c>
      <c r="Q19" s="45">
        <v>19</v>
      </c>
      <c r="R19" s="45">
        <v>19</v>
      </c>
      <c r="S19" s="45">
        <v>19</v>
      </c>
      <c r="T19" s="45">
        <v>19</v>
      </c>
      <c r="U19" s="45">
        <v>19</v>
      </c>
      <c r="V19" s="45">
        <v>19</v>
      </c>
      <c r="W19" s="45">
        <v>19</v>
      </c>
      <c r="X19" s="45">
        <v>19</v>
      </c>
      <c r="Y19" s="45">
        <v>19</v>
      </c>
      <c r="Z19" s="45">
        <v>19</v>
      </c>
      <c r="AA19" s="45">
        <v>19</v>
      </c>
      <c r="AB19" s="45">
        <v>19</v>
      </c>
      <c r="AC19" s="45">
        <v>19</v>
      </c>
      <c r="AD19" s="45">
        <v>19</v>
      </c>
      <c r="AE19" s="45">
        <v>19</v>
      </c>
      <c r="AF19" s="45">
        <v>0</v>
      </c>
      <c r="AG19" s="52">
        <v>30</v>
      </c>
      <c r="AH19" s="48">
        <f t="shared" si="2"/>
        <v>19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18</v>
      </c>
      <c r="C20" s="45">
        <v>18</v>
      </c>
      <c r="D20" s="45">
        <v>18</v>
      </c>
      <c r="E20" s="45">
        <v>18</v>
      </c>
      <c r="F20" s="45">
        <v>18</v>
      </c>
      <c r="G20" s="45">
        <v>18</v>
      </c>
      <c r="H20" s="45">
        <v>18</v>
      </c>
      <c r="I20" s="45">
        <v>18</v>
      </c>
      <c r="J20" s="45">
        <v>18</v>
      </c>
      <c r="K20" s="45">
        <v>18</v>
      </c>
      <c r="L20" s="45">
        <v>18</v>
      </c>
      <c r="M20" s="45">
        <v>18</v>
      </c>
      <c r="N20" s="45">
        <v>18</v>
      </c>
      <c r="O20" s="45">
        <v>18</v>
      </c>
      <c r="P20" s="45">
        <v>18</v>
      </c>
      <c r="Q20" s="45">
        <v>18</v>
      </c>
      <c r="R20" s="45">
        <v>18</v>
      </c>
      <c r="S20" s="45">
        <v>16.8</v>
      </c>
      <c r="T20" s="45">
        <v>16.8</v>
      </c>
      <c r="U20" s="45">
        <v>16.8</v>
      </c>
      <c r="V20" s="45">
        <v>16.8</v>
      </c>
      <c r="W20" s="45">
        <v>16.8</v>
      </c>
      <c r="X20" s="45">
        <v>16.8</v>
      </c>
      <c r="Y20" s="45">
        <v>16.8</v>
      </c>
      <c r="Z20" s="45">
        <v>16.8</v>
      </c>
      <c r="AA20" s="45">
        <v>16.8</v>
      </c>
      <c r="AB20" s="45">
        <v>16.8</v>
      </c>
      <c r="AC20" s="45">
        <v>16.8</v>
      </c>
      <c r="AD20" s="45">
        <v>16.8</v>
      </c>
      <c r="AE20" s="45">
        <v>16.8</v>
      </c>
      <c r="AF20" s="45">
        <v>16.8</v>
      </c>
      <c r="AG20" s="51">
        <v>25</v>
      </c>
      <c r="AH20" s="48">
        <f t="shared" si="2"/>
        <v>18</v>
      </c>
      <c r="AI20" s="49">
        <f t="shared" si="3"/>
        <v>16.8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10</v>
      </c>
      <c r="C22" s="45">
        <v>10</v>
      </c>
      <c r="D22" s="45">
        <v>10</v>
      </c>
      <c r="E22" s="45">
        <v>10</v>
      </c>
      <c r="F22" s="45">
        <v>10</v>
      </c>
      <c r="G22" s="45">
        <v>10</v>
      </c>
      <c r="H22" s="45">
        <v>10</v>
      </c>
      <c r="I22" s="45">
        <v>10</v>
      </c>
      <c r="J22" s="45">
        <v>10</v>
      </c>
      <c r="K22" s="45">
        <v>10</v>
      </c>
      <c r="L22" s="45">
        <v>10</v>
      </c>
      <c r="M22" s="45">
        <v>10</v>
      </c>
      <c r="N22" s="45">
        <v>10</v>
      </c>
      <c r="O22" s="45">
        <v>10</v>
      </c>
      <c r="P22" s="45">
        <v>10</v>
      </c>
      <c r="Q22" s="45">
        <v>10</v>
      </c>
      <c r="R22" s="45">
        <v>10</v>
      </c>
      <c r="S22" s="45">
        <v>10</v>
      </c>
      <c r="T22" s="45">
        <v>10</v>
      </c>
      <c r="U22" s="45">
        <v>10</v>
      </c>
      <c r="V22" s="45">
        <v>10</v>
      </c>
      <c r="W22" s="45">
        <v>10</v>
      </c>
      <c r="X22" s="45">
        <v>10</v>
      </c>
      <c r="Y22" s="45">
        <v>10</v>
      </c>
      <c r="Z22" s="45">
        <v>10</v>
      </c>
      <c r="AA22" s="45">
        <v>10</v>
      </c>
      <c r="AB22" s="45">
        <v>10</v>
      </c>
      <c r="AC22" s="45">
        <v>10</v>
      </c>
      <c r="AD22" s="45">
        <v>10</v>
      </c>
      <c r="AE22" s="45">
        <v>10</v>
      </c>
      <c r="AF22" s="45">
        <v>10</v>
      </c>
      <c r="AG22" s="51">
        <v>25</v>
      </c>
      <c r="AH22" s="48">
        <f t="shared" si="2"/>
        <v>10</v>
      </c>
      <c r="AI22" s="49">
        <f t="shared" si="3"/>
        <v>10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17</v>
      </c>
      <c r="K23" s="45">
        <v>17</v>
      </c>
      <c r="L23" s="45">
        <v>17</v>
      </c>
      <c r="M23" s="45">
        <v>17</v>
      </c>
      <c r="N23" s="45">
        <v>17</v>
      </c>
      <c r="O23" s="45">
        <v>17</v>
      </c>
      <c r="P23" s="45">
        <v>0</v>
      </c>
      <c r="Q23" s="45">
        <v>17</v>
      </c>
      <c r="R23" s="45">
        <v>17</v>
      </c>
      <c r="S23" s="45">
        <v>17</v>
      </c>
      <c r="T23" s="45">
        <v>17</v>
      </c>
      <c r="U23" s="45">
        <v>17</v>
      </c>
      <c r="V23" s="45">
        <v>17</v>
      </c>
      <c r="W23" s="45">
        <v>17</v>
      </c>
      <c r="X23" s="45">
        <v>17</v>
      </c>
      <c r="Y23" s="45">
        <v>17</v>
      </c>
      <c r="Z23" s="45">
        <v>17</v>
      </c>
      <c r="AA23" s="45">
        <v>17</v>
      </c>
      <c r="AB23" s="45">
        <v>17</v>
      </c>
      <c r="AC23" s="45">
        <v>17</v>
      </c>
      <c r="AD23" s="45">
        <v>17</v>
      </c>
      <c r="AE23" s="45">
        <v>17</v>
      </c>
      <c r="AF23" s="45">
        <v>17</v>
      </c>
      <c r="AG23" s="51">
        <v>25</v>
      </c>
      <c r="AH23" s="48">
        <f t="shared" si="2"/>
        <v>17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11.9</v>
      </c>
      <c r="C24" s="45">
        <v>11.9</v>
      </c>
      <c r="D24" s="45">
        <v>11.9</v>
      </c>
      <c r="E24" s="45">
        <v>11.9</v>
      </c>
      <c r="F24" s="45">
        <v>11.9</v>
      </c>
      <c r="G24" s="45">
        <v>11.9</v>
      </c>
      <c r="H24" s="45">
        <v>11.9</v>
      </c>
      <c r="I24" s="45">
        <v>11.9</v>
      </c>
      <c r="J24" s="45">
        <v>11.9</v>
      </c>
      <c r="K24" s="45">
        <v>11.9</v>
      </c>
      <c r="L24" s="45">
        <v>11.9</v>
      </c>
      <c r="M24" s="45">
        <v>11.9</v>
      </c>
      <c r="N24" s="45">
        <v>11.9</v>
      </c>
      <c r="O24" s="45">
        <v>11.9</v>
      </c>
      <c r="P24" s="45">
        <v>11.9</v>
      </c>
      <c r="Q24" s="45">
        <v>11.9</v>
      </c>
      <c r="R24" s="45">
        <v>11.9</v>
      </c>
      <c r="S24" s="45">
        <v>11.9</v>
      </c>
      <c r="T24" s="45">
        <v>11.9</v>
      </c>
      <c r="U24" s="45">
        <v>11.9</v>
      </c>
      <c r="V24" s="45">
        <v>11.9</v>
      </c>
      <c r="W24" s="45">
        <v>11.9</v>
      </c>
      <c r="X24" s="45">
        <v>11.9</v>
      </c>
      <c r="Y24" s="45">
        <v>11.9</v>
      </c>
      <c r="Z24" s="45">
        <v>11.9</v>
      </c>
      <c r="AA24" s="45">
        <v>11.9</v>
      </c>
      <c r="AB24" s="45">
        <v>11.9</v>
      </c>
      <c r="AC24" s="45">
        <v>11.9</v>
      </c>
      <c r="AD24" s="45">
        <v>11.9</v>
      </c>
      <c r="AE24" s="45">
        <v>11.9</v>
      </c>
      <c r="AF24" s="45">
        <v>11.9</v>
      </c>
      <c r="AG24" s="51">
        <v>23.5</v>
      </c>
      <c r="AH24" s="48">
        <f t="shared" si="2"/>
        <v>11.9</v>
      </c>
      <c r="AI24" s="49">
        <f t="shared" si="3"/>
        <v>11.9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14</v>
      </c>
      <c r="C28" s="45">
        <v>14</v>
      </c>
      <c r="D28" s="45">
        <v>14</v>
      </c>
      <c r="E28" s="45">
        <v>14</v>
      </c>
      <c r="F28" s="45">
        <v>14</v>
      </c>
      <c r="G28" s="45">
        <v>14</v>
      </c>
      <c r="H28" s="45">
        <v>14</v>
      </c>
      <c r="I28" s="45">
        <v>14</v>
      </c>
      <c r="J28" s="45">
        <v>14</v>
      </c>
      <c r="K28" s="45">
        <v>14</v>
      </c>
      <c r="L28" s="45">
        <v>14</v>
      </c>
      <c r="M28" s="45">
        <v>14</v>
      </c>
      <c r="N28" s="45">
        <v>14</v>
      </c>
      <c r="O28" s="45">
        <v>14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14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5</v>
      </c>
      <c r="K29" s="45">
        <v>5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0</v>
      </c>
      <c r="I33" s="45">
        <v>0</v>
      </c>
      <c r="J33" s="45">
        <v>4</v>
      </c>
      <c r="K33" s="45">
        <v>4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0</v>
      </c>
      <c r="AG33" s="51">
        <v>12</v>
      </c>
      <c r="AH33" s="48">
        <f t="shared" si="2"/>
        <v>8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5</v>
      </c>
      <c r="C35" s="45">
        <v>5</v>
      </c>
      <c r="D35" s="45">
        <v>5</v>
      </c>
      <c r="E35" s="45">
        <v>5</v>
      </c>
      <c r="F35" s="45">
        <v>5</v>
      </c>
      <c r="G35" s="45">
        <v>5</v>
      </c>
      <c r="H35" s="45">
        <v>5</v>
      </c>
      <c r="I35" s="45">
        <v>5</v>
      </c>
      <c r="J35" s="45">
        <v>5</v>
      </c>
      <c r="K35" s="45">
        <v>5</v>
      </c>
      <c r="L35" s="45">
        <v>5</v>
      </c>
      <c r="M35" s="45">
        <v>3</v>
      </c>
      <c r="N35" s="45">
        <v>3</v>
      </c>
      <c r="O35" s="45">
        <v>3</v>
      </c>
      <c r="P35" s="45">
        <v>3</v>
      </c>
      <c r="Q35" s="45">
        <v>3</v>
      </c>
      <c r="R35" s="45">
        <v>3</v>
      </c>
      <c r="S35" s="45">
        <v>3</v>
      </c>
      <c r="T35" s="45">
        <v>3</v>
      </c>
      <c r="U35" s="45">
        <v>3</v>
      </c>
      <c r="V35" s="45">
        <v>3</v>
      </c>
      <c r="W35" s="45">
        <v>3</v>
      </c>
      <c r="X35" s="45">
        <v>3</v>
      </c>
      <c r="Y35" s="45">
        <v>3</v>
      </c>
      <c r="Z35" s="45">
        <v>3</v>
      </c>
      <c r="AA35" s="45">
        <v>3</v>
      </c>
      <c r="AB35" s="45">
        <v>3</v>
      </c>
      <c r="AC35" s="45">
        <v>3</v>
      </c>
      <c r="AD35" s="45">
        <v>3</v>
      </c>
      <c r="AE35" s="45">
        <v>3</v>
      </c>
      <c r="AF35" s="45">
        <v>3</v>
      </c>
      <c r="AG35" s="51">
        <v>12</v>
      </c>
      <c r="AH35" s="48">
        <f t="shared" si="2"/>
        <v>5</v>
      </c>
      <c r="AI35" s="49">
        <f t="shared" si="3"/>
        <v>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6</v>
      </c>
      <c r="C39" s="45">
        <v>6</v>
      </c>
      <c r="D39" s="45">
        <v>6</v>
      </c>
      <c r="E39" s="45">
        <v>6</v>
      </c>
      <c r="F39" s="45">
        <v>6</v>
      </c>
      <c r="G39" s="45">
        <v>6</v>
      </c>
      <c r="H39" s="45">
        <v>6</v>
      </c>
      <c r="I39" s="45">
        <v>6</v>
      </c>
      <c r="J39" s="45">
        <v>6</v>
      </c>
      <c r="K39" s="45">
        <v>6</v>
      </c>
      <c r="L39" s="45">
        <v>6</v>
      </c>
      <c r="M39" s="45">
        <v>6</v>
      </c>
      <c r="N39" s="45">
        <v>6</v>
      </c>
      <c r="O39" s="45">
        <v>6</v>
      </c>
      <c r="P39" s="45">
        <v>6</v>
      </c>
      <c r="Q39" s="45">
        <v>6</v>
      </c>
      <c r="R39" s="45">
        <v>6</v>
      </c>
      <c r="S39" s="45">
        <v>6</v>
      </c>
      <c r="T39" s="45">
        <v>6</v>
      </c>
      <c r="U39" s="45">
        <v>6</v>
      </c>
      <c r="V39" s="45">
        <v>6</v>
      </c>
      <c r="W39" s="45">
        <v>6</v>
      </c>
      <c r="X39" s="45">
        <v>6</v>
      </c>
      <c r="Y39" s="45">
        <v>6</v>
      </c>
      <c r="Z39" s="45">
        <v>6</v>
      </c>
      <c r="AA39" s="45">
        <v>6</v>
      </c>
      <c r="AB39" s="45">
        <v>6</v>
      </c>
      <c r="AC39" s="45">
        <v>6</v>
      </c>
      <c r="AD39" s="45">
        <v>6</v>
      </c>
      <c r="AE39" s="45">
        <v>6</v>
      </c>
      <c r="AF39" s="45">
        <v>0</v>
      </c>
      <c r="AG39" s="55">
        <v>10</v>
      </c>
      <c r="AH39" s="48">
        <f t="shared" si="2"/>
        <v>6</v>
      </c>
      <c r="AI39" s="49">
        <f t="shared" si="3"/>
        <v>0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</v>
      </c>
      <c r="N40" s="45">
        <v>1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220</v>
      </c>
      <c r="C41" s="57">
        <v>220</v>
      </c>
      <c r="D41" s="57">
        <v>220</v>
      </c>
      <c r="E41" s="57">
        <v>250</v>
      </c>
      <c r="F41" s="57">
        <v>250</v>
      </c>
      <c r="G41" s="57">
        <v>250</v>
      </c>
      <c r="H41" s="57">
        <v>250</v>
      </c>
      <c r="I41" s="57">
        <v>250</v>
      </c>
      <c r="J41" s="57">
        <v>250</v>
      </c>
      <c r="K41" s="57">
        <v>250</v>
      </c>
      <c r="L41" s="57">
        <v>250</v>
      </c>
      <c r="M41" s="57">
        <v>250</v>
      </c>
      <c r="N41" s="57">
        <v>250</v>
      </c>
      <c r="O41" s="57">
        <v>250</v>
      </c>
      <c r="P41" s="57">
        <v>250</v>
      </c>
      <c r="Q41" s="57">
        <v>250</v>
      </c>
      <c r="R41" s="57">
        <v>250</v>
      </c>
      <c r="S41" s="57">
        <v>250</v>
      </c>
      <c r="T41" s="57">
        <v>250</v>
      </c>
      <c r="U41" s="57">
        <v>250</v>
      </c>
      <c r="V41" s="57">
        <v>250</v>
      </c>
      <c r="W41" s="57">
        <v>250</v>
      </c>
      <c r="X41" s="57">
        <v>250</v>
      </c>
      <c r="Y41" s="57">
        <v>250</v>
      </c>
      <c r="Z41" s="57">
        <v>250</v>
      </c>
      <c r="AA41" s="57">
        <v>250</v>
      </c>
      <c r="AB41" s="57">
        <v>250</v>
      </c>
      <c r="AC41" s="57">
        <v>250</v>
      </c>
      <c r="AD41" s="57">
        <v>250</v>
      </c>
      <c r="AE41" s="57">
        <v>250</v>
      </c>
      <c r="AF41" s="57">
        <v>250</v>
      </c>
      <c r="AG41" s="55">
        <v>85</v>
      </c>
      <c r="AH41" s="48">
        <f t="shared" si="2"/>
        <v>250</v>
      </c>
      <c r="AI41" s="49">
        <f t="shared" si="3"/>
        <v>220</v>
      </c>
      <c r="AK41" s="50"/>
    </row>
    <row r="42" spans="1:88" ht="15.75" thickBot="1" x14ac:dyDescent="0.3">
      <c r="A42" s="58" t="s">
        <v>47</v>
      </c>
      <c r="B42" s="59">
        <f>39+43.4</f>
        <v>82.4</v>
      </c>
      <c r="C42" s="59">
        <f>38.4+46.5</f>
        <v>84.9</v>
      </c>
      <c r="D42" s="59">
        <f>38+46.6</f>
        <v>84.6</v>
      </c>
      <c r="E42" s="59">
        <f>38.5+47.2</f>
        <v>85.7</v>
      </c>
      <c r="F42" s="59">
        <f>38.5+47</f>
        <v>85.5</v>
      </c>
      <c r="G42" s="59">
        <f>38.9+47.6</f>
        <v>86.5</v>
      </c>
      <c r="H42" s="59">
        <f>38.4+46.8</f>
        <v>85.199999999999989</v>
      </c>
      <c r="I42" s="59">
        <f>38.9+46.3</f>
        <v>85.199999999999989</v>
      </c>
      <c r="J42" s="59">
        <f>38.9+46.2</f>
        <v>85.1</v>
      </c>
      <c r="K42" s="59">
        <f>38.8+45.8</f>
        <v>84.6</v>
      </c>
      <c r="L42" s="57">
        <f>38.5+46</f>
        <v>84.5</v>
      </c>
      <c r="M42" s="57">
        <f>46.1+37.8</f>
        <v>83.9</v>
      </c>
      <c r="N42" s="57">
        <f>48.1+24.5</f>
        <v>72.599999999999994</v>
      </c>
      <c r="O42" s="57">
        <f>48.6+37.8</f>
        <v>86.4</v>
      </c>
      <c r="P42" s="57">
        <f>48.4+38</f>
        <v>86.4</v>
      </c>
      <c r="Q42" s="57">
        <f>48+40.1</f>
        <v>88.1</v>
      </c>
      <c r="R42" s="57">
        <f>51.3+40</f>
        <v>91.3</v>
      </c>
      <c r="S42" s="57">
        <f>51.3+40</f>
        <v>91.3</v>
      </c>
      <c r="T42" s="57">
        <f>39.3+47.8</f>
        <v>87.1</v>
      </c>
      <c r="U42" s="57">
        <f>35.5+40.2</f>
        <v>75.7</v>
      </c>
      <c r="V42" s="57">
        <f>30+45.6</f>
        <v>75.599999999999994</v>
      </c>
      <c r="W42" s="57">
        <f>34.9+37.7</f>
        <v>72.599999999999994</v>
      </c>
      <c r="X42" s="57">
        <v>77.800000000000011</v>
      </c>
      <c r="Y42" s="57">
        <v>77.800000000000011</v>
      </c>
      <c r="Z42" s="57">
        <v>77.800000000000011</v>
      </c>
      <c r="AA42" s="57">
        <v>77.800000000000011</v>
      </c>
      <c r="AB42" s="59">
        <f>49.8+38.2</f>
        <v>88</v>
      </c>
      <c r="AC42" s="59">
        <f>50+38.9</f>
        <v>88.9</v>
      </c>
      <c r="AD42" s="59">
        <f>43+38.7</f>
        <v>81.7</v>
      </c>
      <c r="AE42" s="59">
        <f>44.9+37.4</f>
        <v>82.3</v>
      </c>
      <c r="AF42" s="59">
        <f>42+36.2</f>
        <v>78.2</v>
      </c>
      <c r="AG42" s="55">
        <v>240</v>
      </c>
      <c r="AH42" s="48">
        <f t="shared" si="2"/>
        <v>91.3</v>
      </c>
      <c r="AI42" s="49">
        <f t="shared" si="3"/>
        <v>72.599999999999994</v>
      </c>
      <c r="AK42" s="50"/>
    </row>
    <row r="43" spans="1:88" ht="15.75" thickBot="1" x14ac:dyDescent="0.3">
      <c r="A43" s="60" t="s">
        <v>48</v>
      </c>
      <c r="B43" s="61">
        <f t="shared" ref="B43:W43" si="4">SUM(B11:B41)</f>
        <v>542.5</v>
      </c>
      <c r="C43" s="61">
        <f t="shared" si="4"/>
        <v>541.90000000000009</v>
      </c>
      <c r="D43" s="61">
        <f t="shared" si="4"/>
        <v>542.20000000000005</v>
      </c>
      <c r="E43" s="61">
        <f t="shared" si="4"/>
        <v>572.20000000000005</v>
      </c>
      <c r="F43" s="61">
        <f t="shared" si="4"/>
        <v>572.20000000000005</v>
      </c>
      <c r="G43" s="61">
        <f t="shared" si="4"/>
        <v>572.20000000000005</v>
      </c>
      <c r="H43" s="61">
        <f t="shared" si="4"/>
        <v>572.20000000000005</v>
      </c>
      <c r="I43" s="61">
        <f t="shared" si="4"/>
        <v>582.20000000000005</v>
      </c>
      <c r="J43" s="61">
        <f t="shared" si="4"/>
        <v>642.20000000000005</v>
      </c>
      <c r="K43" s="61">
        <f t="shared" si="4"/>
        <v>642.20000000000005</v>
      </c>
      <c r="L43" s="61">
        <f t="shared" si="4"/>
        <v>669.2</v>
      </c>
      <c r="M43" s="61">
        <f t="shared" si="4"/>
        <v>668.2</v>
      </c>
      <c r="N43" s="61">
        <f t="shared" si="4"/>
        <v>668.2</v>
      </c>
      <c r="O43" s="61">
        <f t="shared" si="4"/>
        <v>669.2</v>
      </c>
      <c r="P43" s="61">
        <f t="shared" si="4"/>
        <v>643.6</v>
      </c>
      <c r="Q43" s="61">
        <f t="shared" si="4"/>
        <v>660.6</v>
      </c>
      <c r="R43" s="61">
        <f t="shared" si="4"/>
        <v>660.6</v>
      </c>
      <c r="S43" s="61">
        <f t="shared" si="4"/>
        <v>655.40000000000009</v>
      </c>
      <c r="T43" s="61">
        <f t="shared" si="4"/>
        <v>657.30000000000007</v>
      </c>
      <c r="U43" s="61">
        <f t="shared" si="4"/>
        <v>656.40000000000009</v>
      </c>
      <c r="V43" s="61">
        <f t="shared" si="4"/>
        <v>656.40000000000009</v>
      </c>
      <c r="W43" s="61">
        <f t="shared" si="4"/>
        <v>656.40000000000009</v>
      </c>
      <c r="X43" s="61">
        <v>661</v>
      </c>
      <c r="Y43" s="61">
        <f t="shared" ref="Y43:AG43" si="5">SUM(Y11:Y41)</f>
        <v>661</v>
      </c>
      <c r="Z43" s="61">
        <f t="shared" si="5"/>
        <v>663.3</v>
      </c>
      <c r="AA43" s="61">
        <f t="shared" si="5"/>
        <v>663.3</v>
      </c>
      <c r="AB43" s="61">
        <f t="shared" si="5"/>
        <v>661.3</v>
      </c>
      <c r="AC43" s="61">
        <f t="shared" si="5"/>
        <v>664.8</v>
      </c>
      <c r="AD43" s="61">
        <f t="shared" si="5"/>
        <v>664.8</v>
      </c>
      <c r="AE43" s="61">
        <f t="shared" si="5"/>
        <v>664.8</v>
      </c>
      <c r="AF43" s="61">
        <f t="shared" si="5"/>
        <v>612</v>
      </c>
      <c r="AG43" s="62">
        <f t="shared" si="5"/>
        <v>796.78000000000009</v>
      </c>
      <c r="AH43" s="48">
        <f t="shared" si="2"/>
        <v>669.2</v>
      </c>
      <c r="AI43" s="49">
        <f t="shared" si="3"/>
        <v>541.90000000000009</v>
      </c>
      <c r="AK43" s="50"/>
    </row>
    <row r="44" spans="1:88" x14ac:dyDescent="0.25">
      <c r="A44" s="63" t="s">
        <v>49</v>
      </c>
      <c r="B44" s="45">
        <v>20</v>
      </c>
      <c r="C44" s="45">
        <v>40</v>
      </c>
      <c r="D44" s="45">
        <v>40</v>
      </c>
      <c r="E44" s="45">
        <v>60</v>
      </c>
      <c r="F44" s="45">
        <v>80</v>
      </c>
      <c r="G44" s="45">
        <v>160</v>
      </c>
      <c r="H44" s="45">
        <v>200</v>
      </c>
      <c r="I44" s="45">
        <v>220</v>
      </c>
      <c r="J44" s="45">
        <v>270</v>
      </c>
      <c r="K44" s="45">
        <v>380</v>
      </c>
      <c r="L44" s="45">
        <v>456</v>
      </c>
      <c r="M44" s="45">
        <v>456</v>
      </c>
      <c r="N44" s="45">
        <v>420</v>
      </c>
      <c r="O44" s="45">
        <v>135</v>
      </c>
      <c r="P44" s="45">
        <v>125</v>
      </c>
      <c r="Q44" s="45">
        <v>20</v>
      </c>
      <c r="R44" s="45">
        <v>13</v>
      </c>
      <c r="S44" s="45">
        <v>18</v>
      </c>
      <c r="T44" s="45">
        <v>18</v>
      </c>
      <c r="U44" s="45">
        <v>80</v>
      </c>
      <c r="V44" s="45">
        <v>280</v>
      </c>
      <c r="W44" s="45">
        <v>456</v>
      </c>
      <c r="X44" s="45">
        <v>456</v>
      </c>
      <c r="Y44" s="45">
        <v>456</v>
      </c>
      <c r="Z44" s="45">
        <v>456</v>
      </c>
      <c r="AA44" s="45">
        <v>380</v>
      </c>
      <c r="AB44" s="45">
        <v>320</v>
      </c>
      <c r="AC44" s="45">
        <v>275</v>
      </c>
      <c r="AD44" s="45">
        <v>210</v>
      </c>
      <c r="AE44" s="45">
        <v>170</v>
      </c>
      <c r="AF44" s="45">
        <v>200</v>
      </c>
      <c r="AG44" s="52">
        <v>456</v>
      </c>
      <c r="AH44" s="48">
        <f t="shared" si="2"/>
        <v>456</v>
      </c>
      <c r="AI44" s="49">
        <f t="shared" si="3"/>
        <v>13</v>
      </c>
      <c r="AK44" s="50"/>
    </row>
    <row r="45" spans="1:88" x14ac:dyDescent="0.25">
      <c r="A45" s="64" t="s">
        <v>50</v>
      </c>
      <c r="B45" s="65">
        <v>60</v>
      </c>
      <c r="C45" s="65">
        <v>60</v>
      </c>
      <c r="D45" s="65">
        <v>60</v>
      </c>
      <c r="E45" s="65">
        <v>60</v>
      </c>
      <c r="F45" s="65">
        <v>60</v>
      </c>
      <c r="G45" s="65">
        <v>60</v>
      </c>
      <c r="H45" s="65">
        <v>60</v>
      </c>
      <c r="I45" s="65">
        <v>60</v>
      </c>
      <c r="J45" s="65">
        <v>60</v>
      </c>
      <c r="K45" s="65">
        <v>60</v>
      </c>
      <c r="L45" s="65">
        <v>60</v>
      </c>
      <c r="M45" s="65">
        <v>60</v>
      </c>
      <c r="N45" s="65">
        <v>60</v>
      </c>
      <c r="O45" s="65">
        <v>60</v>
      </c>
      <c r="P45" s="65">
        <v>60</v>
      </c>
      <c r="Q45" s="65">
        <v>60</v>
      </c>
      <c r="R45" s="65">
        <v>60</v>
      </c>
      <c r="S45" s="65">
        <v>60</v>
      </c>
      <c r="T45" s="65">
        <v>60</v>
      </c>
      <c r="U45" s="65">
        <v>60</v>
      </c>
      <c r="V45" s="65">
        <v>60</v>
      </c>
      <c r="W45" s="65">
        <v>60</v>
      </c>
      <c r="X45" s="65">
        <v>60</v>
      </c>
      <c r="Y45" s="65">
        <v>60</v>
      </c>
      <c r="Z45" s="65">
        <v>60</v>
      </c>
      <c r="AA45" s="65">
        <v>60</v>
      </c>
      <c r="AB45" s="65">
        <v>60</v>
      </c>
      <c r="AC45" s="65">
        <v>60</v>
      </c>
      <c r="AD45" s="65">
        <v>60</v>
      </c>
      <c r="AE45" s="65">
        <v>60</v>
      </c>
      <c r="AF45" s="65">
        <v>60</v>
      </c>
      <c r="AG45" s="55">
        <v>60</v>
      </c>
      <c r="AH45" s="48">
        <f t="shared" si="2"/>
        <v>60</v>
      </c>
      <c r="AI45" s="49">
        <f t="shared" si="3"/>
        <v>60</v>
      </c>
      <c r="AK45" s="50"/>
    </row>
    <row r="46" spans="1:88" ht="15.75" thickBot="1" x14ac:dyDescent="0.3">
      <c r="A46" s="66" t="s">
        <v>51</v>
      </c>
      <c r="B46" s="67">
        <v>22</v>
      </c>
      <c r="C46" s="67">
        <v>21.9</v>
      </c>
      <c r="D46" s="67">
        <v>21.9</v>
      </c>
      <c r="E46" s="67">
        <v>21.9</v>
      </c>
      <c r="F46" s="67">
        <v>21.9</v>
      </c>
      <c r="G46" s="67">
        <v>21.9</v>
      </c>
      <c r="H46" s="67">
        <v>21.9</v>
      </c>
      <c r="I46" s="67">
        <v>22</v>
      </c>
      <c r="J46" s="67">
        <v>22</v>
      </c>
      <c r="K46" s="67">
        <v>22</v>
      </c>
      <c r="L46" s="67">
        <v>22</v>
      </c>
      <c r="M46" s="67">
        <v>22</v>
      </c>
      <c r="N46" s="67">
        <v>22</v>
      </c>
      <c r="O46" s="67">
        <v>22</v>
      </c>
      <c r="P46" s="67">
        <v>22</v>
      </c>
      <c r="Q46" s="67">
        <v>20.100000000000001</v>
      </c>
      <c r="R46" s="67">
        <v>20</v>
      </c>
      <c r="S46" s="67">
        <v>20</v>
      </c>
      <c r="T46" s="67">
        <v>20</v>
      </c>
      <c r="U46" s="67">
        <v>20</v>
      </c>
      <c r="V46" s="67">
        <v>20</v>
      </c>
      <c r="W46" s="67">
        <v>20</v>
      </c>
      <c r="X46" s="67">
        <v>20</v>
      </c>
      <c r="Y46" s="67">
        <v>20</v>
      </c>
      <c r="Z46" s="67">
        <v>20</v>
      </c>
      <c r="AA46" s="67">
        <v>20</v>
      </c>
      <c r="AB46" s="67">
        <v>20</v>
      </c>
      <c r="AC46" s="67">
        <v>20</v>
      </c>
      <c r="AD46" s="67">
        <v>20</v>
      </c>
      <c r="AE46" s="67">
        <v>20</v>
      </c>
      <c r="AF46" s="67">
        <v>20</v>
      </c>
      <c r="AG46" s="68">
        <v>22.1</v>
      </c>
      <c r="AH46" s="48">
        <f t="shared" si="2"/>
        <v>22</v>
      </c>
      <c r="AI46" s="49">
        <f t="shared" si="3"/>
        <v>20</v>
      </c>
      <c r="AK46" s="50"/>
    </row>
    <row r="47" spans="1:88" ht="15.75" thickBot="1" x14ac:dyDescent="0.3">
      <c r="A47" s="69" t="s">
        <v>52</v>
      </c>
      <c r="B47" s="61">
        <f t="shared" ref="B47" si="6">SUM(B44:B46)</f>
        <v>102</v>
      </c>
      <c r="C47" s="61">
        <f t="shared" ref="C47:AG47" si="7">SUM(C44:C46)</f>
        <v>121.9</v>
      </c>
      <c r="D47" s="61">
        <f t="shared" si="7"/>
        <v>121.9</v>
      </c>
      <c r="E47" s="61">
        <f t="shared" si="7"/>
        <v>141.9</v>
      </c>
      <c r="F47" s="61">
        <f t="shared" si="7"/>
        <v>161.9</v>
      </c>
      <c r="G47" s="61">
        <f t="shared" si="7"/>
        <v>241.9</v>
      </c>
      <c r="H47" s="61">
        <f t="shared" si="7"/>
        <v>281.89999999999998</v>
      </c>
      <c r="I47" s="61">
        <f t="shared" si="7"/>
        <v>302</v>
      </c>
      <c r="J47" s="61">
        <f t="shared" si="7"/>
        <v>352</v>
      </c>
      <c r="K47" s="61">
        <f t="shared" si="7"/>
        <v>462</v>
      </c>
      <c r="L47" s="61">
        <f t="shared" si="7"/>
        <v>538</v>
      </c>
      <c r="M47" s="61">
        <f t="shared" si="7"/>
        <v>538</v>
      </c>
      <c r="N47" s="61">
        <f t="shared" si="7"/>
        <v>502</v>
      </c>
      <c r="O47" s="61">
        <f t="shared" si="7"/>
        <v>217</v>
      </c>
      <c r="P47" s="61">
        <f t="shared" si="7"/>
        <v>207</v>
      </c>
      <c r="Q47" s="61">
        <f t="shared" si="7"/>
        <v>100.1</v>
      </c>
      <c r="R47" s="61">
        <f t="shared" si="7"/>
        <v>93</v>
      </c>
      <c r="S47" s="61">
        <f t="shared" si="7"/>
        <v>98</v>
      </c>
      <c r="T47" s="61">
        <f t="shared" si="7"/>
        <v>98</v>
      </c>
      <c r="U47" s="61">
        <f t="shared" si="7"/>
        <v>160</v>
      </c>
      <c r="V47" s="61">
        <f t="shared" si="7"/>
        <v>360</v>
      </c>
      <c r="W47" s="61">
        <f t="shared" si="7"/>
        <v>536</v>
      </c>
      <c r="X47" s="61">
        <v>536</v>
      </c>
      <c r="Y47" s="61">
        <f t="shared" si="7"/>
        <v>536</v>
      </c>
      <c r="Z47" s="61">
        <f t="shared" si="7"/>
        <v>536</v>
      </c>
      <c r="AA47" s="61">
        <f t="shared" si="7"/>
        <v>460</v>
      </c>
      <c r="AB47" s="61">
        <f t="shared" si="7"/>
        <v>400</v>
      </c>
      <c r="AC47" s="61">
        <f t="shared" si="7"/>
        <v>355</v>
      </c>
      <c r="AD47" s="61">
        <f t="shared" si="7"/>
        <v>290</v>
      </c>
      <c r="AE47" s="61">
        <f t="shared" si="7"/>
        <v>250</v>
      </c>
      <c r="AF47" s="61">
        <f t="shared" si="7"/>
        <v>280</v>
      </c>
      <c r="AG47" s="62">
        <f t="shared" si="7"/>
        <v>538.1</v>
      </c>
      <c r="AH47" s="48">
        <f t="shared" si="2"/>
        <v>538</v>
      </c>
      <c r="AI47" s="49">
        <f t="shared" si="3"/>
        <v>93</v>
      </c>
      <c r="AK47" s="50"/>
    </row>
    <row r="48" spans="1:88" x14ac:dyDescent="0.25">
      <c r="A48" s="44" t="s">
        <v>53</v>
      </c>
      <c r="B48" s="45">
        <v>105.7</v>
      </c>
      <c r="C48" s="45">
        <v>105.3</v>
      </c>
      <c r="D48" s="45">
        <v>105.2</v>
      </c>
      <c r="E48" s="45">
        <v>91</v>
      </c>
      <c r="F48" s="45">
        <v>80</v>
      </c>
      <c r="G48" s="45">
        <v>61.3</v>
      </c>
      <c r="H48" s="45">
        <v>93.4</v>
      </c>
      <c r="I48" s="45">
        <v>132.4</v>
      </c>
      <c r="J48" s="45">
        <v>143.6</v>
      </c>
      <c r="K48" s="45">
        <v>143.6</v>
      </c>
      <c r="L48" s="45">
        <v>143.6</v>
      </c>
      <c r="M48" s="45">
        <v>144.30000000000001</v>
      </c>
      <c r="N48" s="45">
        <v>144.30000000000001</v>
      </c>
      <c r="O48" s="45">
        <v>144.30000000000001</v>
      </c>
      <c r="P48" s="45">
        <v>144.30000000000001</v>
      </c>
      <c r="Q48" s="45">
        <v>144.30000000000001</v>
      </c>
      <c r="R48" s="45">
        <v>111.8</v>
      </c>
      <c r="S48" s="45">
        <v>111.6</v>
      </c>
      <c r="T48" s="45">
        <v>124</v>
      </c>
      <c r="U48" s="45">
        <v>116.3</v>
      </c>
      <c r="V48" s="45">
        <v>131.69999999999999</v>
      </c>
      <c r="W48" s="45">
        <v>144</v>
      </c>
      <c r="X48" s="45">
        <v>143.80000000000001</v>
      </c>
      <c r="Y48" s="45">
        <v>143.80000000000001</v>
      </c>
      <c r="Z48" s="45">
        <v>143.80000000000001</v>
      </c>
      <c r="AA48" s="45">
        <v>143.80000000000001</v>
      </c>
      <c r="AB48" s="45">
        <v>143.6</v>
      </c>
      <c r="AC48" s="45">
        <v>143.6</v>
      </c>
      <c r="AD48" s="45">
        <v>143.6</v>
      </c>
      <c r="AE48" s="45">
        <v>143.6</v>
      </c>
      <c r="AF48" s="45">
        <v>114.5</v>
      </c>
      <c r="AG48" s="52">
        <v>144</v>
      </c>
      <c r="AH48" s="48">
        <f t="shared" si="2"/>
        <v>144.30000000000001</v>
      </c>
      <c r="AI48" s="49">
        <f t="shared" si="3"/>
        <v>61.3</v>
      </c>
      <c r="AK48" s="50"/>
    </row>
    <row r="49" spans="1:41" x14ac:dyDescent="0.25">
      <c r="A49" s="54" t="s">
        <v>54</v>
      </c>
      <c r="B49" s="65">
        <v>45.6</v>
      </c>
      <c r="C49" s="65">
        <v>46.9</v>
      </c>
      <c r="D49" s="65">
        <v>47.1</v>
      </c>
      <c r="E49" s="65">
        <v>44.6</v>
      </c>
      <c r="F49" s="65">
        <v>46</v>
      </c>
      <c r="G49" s="65">
        <v>46</v>
      </c>
      <c r="H49" s="65">
        <v>50.3</v>
      </c>
      <c r="I49" s="65">
        <v>59.8</v>
      </c>
      <c r="J49" s="65">
        <v>71.7</v>
      </c>
      <c r="K49" s="65">
        <v>71.7</v>
      </c>
      <c r="L49" s="65">
        <v>71.7</v>
      </c>
      <c r="M49" s="65">
        <v>71.599999999999994</v>
      </c>
      <c r="N49" s="65">
        <v>71.599999999999994</v>
      </c>
      <c r="O49" s="65">
        <v>71.599999999999994</v>
      </c>
      <c r="P49" s="65">
        <v>71.599999999999994</v>
      </c>
      <c r="Q49" s="65">
        <v>60</v>
      </c>
      <c r="R49" s="45">
        <v>46.6</v>
      </c>
      <c r="S49" s="65">
        <v>45</v>
      </c>
      <c r="T49" s="65">
        <v>59.4</v>
      </c>
      <c r="U49" s="65">
        <v>60.4</v>
      </c>
      <c r="V49" s="65">
        <v>60.4</v>
      </c>
      <c r="W49" s="65">
        <v>71.3</v>
      </c>
      <c r="X49" s="65">
        <v>69.099999999999994</v>
      </c>
      <c r="Y49" s="65">
        <v>69.099999999999994</v>
      </c>
      <c r="Z49" s="65">
        <v>69.099999999999994</v>
      </c>
      <c r="AA49" s="65">
        <v>69.099999999999994</v>
      </c>
      <c r="AB49" s="65">
        <v>69</v>
      </c>
      <c r="AC49" s="65">
        <v>69</v>
      </c>
      <c r="AD49" s="65">
        <v>69</v>
      </c>
      <c r="AE49" s="65">
        <v>34.6</v>
      </c>
      <c r="AF49" s="65">
        <v>35.5</v>
      </c>
      <c r="AG49" s="55">
        <v>70</v>
      </c>
      <c r="AH49" s="48">
        <f t="shared" si="2"/>
        <v>71.7</v>
      </c>
      <c r="AI49" s="49">
        <f t="shared" si="3"/>
        <v>34.6</v>
      </c>
      <c r="AK49" s="50"/>
    </row>
    <row r="50" spans="1:41" x14ac:dyDescent="0.25">
      <c r="A50" s="54" t="s">
        <v>55</v>
      </c>
      <c r="B50" s="65">
        <v>69.2</v>
      </c>
      <c r="C50" s="65">
        <v>69.8</v>
      </c>
      <c r="D50" s="65">
        <v>56.3</v>
      </c>
      <c r="E50" s="65">
        <v>56.3</v>
      </c>
      <c r="F50" s="65">
        <v>56.3</v>
      </c>
      <c r="G50" s="65">
        <v>36.9</v>
      </c>
      <c r="H50" s="65">
        <v>46.3</v>
      </c>
      <c r="I50" s="65">
        <v>53.1</v>
      </c>
      <c r="J50" s="65">
        <v>67</v>
      </c>
      <c r="K50" s="65">
        <v>70</v>
      </c>
      <c r="L50" s="65">
        <v>70</v>
      </c>
      <c r="M50" s="65">
        <v>69.900000000000006</v>
      </c>
      <c r="N50" s="65">
        <v>69.900000000000006</v>
      </c>
      <c r="O50" s="65">
        <v>69.900000000000006</v>
      </c>
      <c r="P50" s="65">
        <v>69.900000000000006</v>
      </c>
      <c r="Q50" s="65">
        <v>69.900000000000006</v>
      </c>
      <c r="R50" s="45">
        <v>69.900000000000006</v>
      </c>
      <c r="S50" s="65">
        <v>70</v>
      </c>
      <c r="T50" s="65">
        <v>70.099999999999994</v>
      </c>
      <c r="U50" s="65">
        <v>69.900000000000006</v>
      </c>
      <c r="V50" s="65">
        <v>70</v>
      </c>
      <c r="W50" s="65">
        <v>71.3</v>
      </c>
      <c r="X50" s="65">
        <v>69.2</v>
      </c>
      <c r="Y50" s="65">
        <v>69.2</v>
      </c>
      <c r="Z50" s="65">
        <v>69.2</v>
      </c>
      <c r="AA50" s="65">
        <v>69.2</v>
      </c>
      <c r="AB50" s="65">
        <v>69.400000000000006</v>
      </c>
      <c r="AC50" s="65">
        <v>69.400000000000006</v>
      </c>
      <c r="AD50" s="65">
        <v>69.400000000000006</v>
      </c>
      <c r="AE50" s="65">
        <v>62.4</v>
      </c>
      <c r="AF50" s="65">
        <v>51.1</v>
      </c>
      <c r="AG50" s="55">
        <v>69</v>
      </c>
      <c r="AH50" s="48">
        <f t="shared" si="2"/>
        <v>71.3</v>
      </c>
      <c r="AI50" s="49">
        <f t="shared" si="3"/>
        <v>36.9</v>
      </c>
      <c r="AK50" s="50"/>
    </row>
    <row r="51" spans="1:41" x14ac:dyDescent="0.25">
      <c r="A51" s="54" t="s">
        <v>56</v>
      </c>
      <c r="B51" s="57">
        <v>61.5</v>
      </c>
      <c r="C51" s="57">
        <v>61.5</v>
      </c>
      <c r="D51" s="57">
        <v>61.5</v>
      </c>
      <c r="E51" s="57">
        <v>61.5</v>
      </c>
      <c r="F51" s="57">
        <v>61.5</v>
      </c>
      <c r="G51" s="57">
        <v>61.5</v>
      </c>
      <c r="H51" s="57">
        <v>61.5</v>
      </c>
      <c r="I51" s="57">
        <v>61.5</v>
      </c>
      <c r="J51" s="57">
        <v>61.5</v>
      </c>
      <c r="K51" s="57">
        <v>61.5</v>
      </c>
      <c r="L51" s="57">
        <v>61.5</v>
      </c>
      <c r="M51" s="57">
        <v>61.5</v>
      </c>
      <c r="N51" s="57">
        <v>61.5</v>
      </c>
      <c r="O51" s="57">
        <v>61.5</v>
      </c>
      <c r="P51" s="57">
        <v>61.5</v>
      </c>
      <c r="Q51" s="57">
        <v>61.5</v>
      </c>
      <c r="R51" s="45">
        <v>61.5</v>
      </c>
      <c r="S51" s="45">
        <v>61.5</v>
      </c>
      <c r="T51" s="45">
        <v>61.5</v>
      </c>
      <c r="U51" s="45">
        <v>61.5</v>
      </c>
      <c r="V51" s="65">
        <v>61.5</v>
      </c>
      <c r="W51" s="65">
        <v>61.5</v>
      </c>
      <c r="X51" s="65">
        <v>61.5</v>
      </c>
      <c r="Y51" s="65">
        <v>61.5</v>
      </c>
      <c r="Z51" s="65">
        <v>61.5</v>
      </c>
      <c r="AA51" s="65">
        <v>61.5</v>
      </c>
      <c r="AB51" s="57">
        <v>61.5</v>
      </c>
      <c r="AC51" s="57">
        <v>61.5</v>
      </c>
      <c r="AD51" s="57">
        <v>61.5</v>
      </c>
      <c r="AE51" s="57">
        <v>61.5</v>
      </c>
      <c r="AF51" s="57">
        <v>61.7</v>
      </c>
      <c r="AG51" s="55">
        <v>60</v>
      </c>
      <c r="AH51" s="48">
        <f t="shared" si="2"/>
        <v>61.7</v>
      </c>
      <c r="AI51" s="49">
        <f t="shared" si="3"/>
        <v>61.5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15</v>
      </c>
      <c r="I52" s="57">
        <v>15</v>
      </c>
      <c r="J52" s="57">
        <v>15</v>
      </c>
      <c r="K52" s="57">
        <v>30</v>
      </c>
      <c r="L52" s="57">
        <v>30</v>
      </c>
      <c r="M52" s="57">
        <v>26</v>
      </c>
      <c r="N52" s="57">
        <v>13.5</v>
      </c>
      <c r="O52" s="57">
        <v>0</v>
      </c>
      <c r="P52" s="57">
        <v>0</v>
      </c>
      <c r="Q52" s="57">
        <v>0</v>
      </c>
      <c r="R52" s="45">
        <v>0</v>
      </c>
      <c r="S52" s="45">
        <v>0</v>
      </c>
      <c r="T52" s="45">
        <v>0</v>
      </c>
      <c r="U52" s="45">
        <v>13</v>
      </c>
      <c r="V52" s="65">
        <v>15</v>
      </c>
      <c r="W52" s="65">
        <v>15</v>
      </c>
      <c r="X52" s="65">
        <v>29</v>
      </c>
      <c r="Y52" s="65">
        <v>29</v>
      </c>
      <c r="Z52" s="65">
        <v>29</v>
      </c>
      <c r="AA52" s="65">
        <v>29</v>
      </c>
      <c r="AB52" s="57">
        <v>15</v>
      </c>
      <c r="AC52" s="57">
        <v>0</v>
      </c>
      <c r="AD52" s="57">
        <v>0</v>
      </c>
      <c r="AE52" s="57">
        <v>0</v>
      </c>
      <c r="AF52" s="57">
        <v>0</v>
      </c>
      <c r="AG52" s="55">
        <v>30</v>
      </c>
      <c r="AH52" s="48">
        <f t="shared" si="2"/>
        <v>30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4</v>
      </c>
      <c r="N53" s="65">
        <v>4</v>
      </c>
      <c r="O53" s="65">
        <v>4</v>
      </c>
      <c r="P53" s="65">
        <v>4</v>
      </c>
      <c r="Q53" s="65">
        <v>4</v>
      </c>
      <c r="R53" s="45">
        <v>4</v>
      </c>
      <c r="S53" s="45">
        <v>4</v>
      </c>
      <c r="T53" s="45">
        <v>4</v>
      </c>
      <c r="U53" s="45">
        <v>2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55">
        <v>25</v>
      </c>
      <c r="AH53" s="48">
        <f t="shared" si="2"/>
        <v>4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17.5</v>
      </c>
      <c r="C54" s="65">
        <v>17.5</v>
      </c>
      <c r="D54" s="65">
        <v>17.5</v>
      </c>
      <c r="E54" s="65">
        <v>17.5</v>
      </c>
      <c r="F54" s="65">
        <v>17.5</v>
      </c>
      <c r="G54" s="65">
        <v>17.5</v>
      </c>
      <c r="H54" s="65">
        <v>17.5</v>
      </c>
      <c r="I54" s="65">
        <v>17.5</v>
      </c>
      <c r="J54" s="65">
        <v>17.5</v>
      </c>
      <c r="K54" s="65">
        <v>17.5</v>
      </c>
      <c r="L54" s="65">
        <v>17.5</v>
      </c>
      <c r="M54" s="65">
        <v>17.5</v>
      </c>
      <c r="N54" s="65">
        <v>17.5</v>
      </c>
      <c r="O54" s="65">
        <v>17.5</v>
      </c>
      <c r="P54" s="65">
        <v>17.5</v>
      </c>
      <c r="Q54" s="65">
        <v>17.5</v>
      </c>
      <c r="R54" s="65">
        <v>17.5</v>
      </c>
      <c r="S54" s="65">
        <v>17.5</v>
      </c>
      <c r="T54" s="65">
        <v>17.5</v>
      </c>
      <c r="U54" s="45">
        <v>17.5</v>
      </c>
      <c r="V54" s="45">
        <v>17.5</v>
      </c>
      <c r="W54" s="45">
        <v>17.5</v>
      </c>
      <c r="X54" s="45">
        <v>17.5</v>
      </c>
      <c r="Y54" s="45">
        <v>17.5</v>
      </c>
      <c r="Z54" s="45">
        <v>17.5</v>
      </c>
      <c r="AA54" s="45">
        <v>17.5</v>
      </c>
      <c r="AB54" s="45">
        <v>17.5</v>
      </c>
      <c r="AC54" s="45">
        <v>17.5</v>
      </c>
      <c r="AD54" s="45">
        <v>17.5</v>
      </c>
      <c r="AE54" s="45">
        <v>17.5</v>
      </c>
      <c r="AF54" s="45">
        <v>17.5</v>
      </c>
      <c r="AG54" s="55">
        <v>24</v>
      </c>
      <c r="AH54" s="48">
        <f t="shared" si="2"/>
        <v>17.5</v>
      </c>
      <c r="AI54" s="49">
        <f t="shared" si="3"/>
        <v>17.5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14.4</v>
      </c>
      <c r="C56" s="65">
        <v>14.4</v>
      </c>
      <c r="D56" s="65">
        <v>14.4</v>
      </c>
      <c r="E56" s="65">
        <v>14.4</v>
      </c>
      <c r="F56" s="65">
        <v>14.4</v>
      </c>
      <c r="G56" s="65">
        <v>14.4</v>
      </c>
      <c r="H56" s="65">
        <v>14.4</v>
      </c>
      <c r="I56" s="65">
        <v>14.4</v>
      </c>
      <c r="J56" s="65">
        <v>14.4</v>
      </c>
      <c r="K56" s="65">
        <v>14.4</v>
      </c>
      <c r="L56" s="65">
        <v>14.4</v>
      </c>
      <c r="M56" s="65">
        <v>14.4</v>
      </c>
      <c r="N56" s="65">
        <v>14.4</v>
      </c>
      <c r="O56" s="65">
        <v>14.4</v>
      </c>
      <c r="P56" s="65">
        <v>14.4</v>
      </c>
      <c r="Q56" s="65">
        <v>14.4</v>
      </c>
      <c r="R56" s="65">
        <v>14.4</v>
      </c>
      <c r="S56" s="65">
        <v>14.4</v>
      </c>
      <c r="T56" s="65">
        <v>14.4</v>
      </c>
      <c r="U56" s="65">
        <v>14.4</v>
      </c>
      <c r="V56" s="65">
        <v>14.4</v>
      </c>
      <c r="W56" s="65">
        <v>14</v>
      </c>
      <c r="X56" s="65">
        <v>14</v>
      </c>
      <c r="Y56" s="65">
        <v>14</v>
      </c>
      <c r="Z56" s="65">
        <v>14</v>
      </c>
      <c r="AA56" s="65">
        <v>14</v>
      </c>
      <c r="AB56" s="65">
        <v>14</v>
      </c>
      <c r="AC56" s="65">
        <v>14</v>
      </c>
      <c r="AD56" s="65">
        <v>14</v>
      </c>
      <c r="AE56" s="65">
        <v>14</v>
      </c>
      <c r="AF56" s="65">
        <v>14</v>
      </c>
      <c r="AG56" s="55">
        <v>14.1</v>
      </c>
      <c r="AH56" s="48">
        <f t="shared" si="2"/>
        <v>14.4</v>
      </c>
      <c r="AI56" s="49">
        <f t="shared" si="3"/>
        <v>14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9.1999999999999993</v>
      </c>
      <c r="C57" s="65">
        <v>9.1999999999999993</v>
      </c>
      <c r="D57" s="65">
        <v>9.1999999999999993</v>
      </c>
      <c r="E57" s="65">
        <v>9.1999999999999993</v>
      </c>
      <c r="F57" s="65">
        <v>9.1999999999999993</v>
      </c>
      <c r="G57" s="65">
        <v>9.1999999999999993</v>
      </c>
      <c r="H57" s="65">
        <v>9.1999999999999993</v>
      </c>
      <c r="I57" s="65">
        <v>9.1999999999999993</v>
      </c>
      <c r="J57" s="65">
        <v>9.1999999999999993</v>
      </c>
      <c r="K57" s="65">
        <v>9.1999999999999993</v>
      </c>
      <c r="L57" s="65">
        <v>9.1999999999999993</v>
      </c>
      <c r="M57" s="65">
        <v>9.1999999999999993</v>
      </c>
      <c r="N57" s="65">
        <v>9.1999999999999993</v>
      </c>
      <c r="O57" s="65">
        <v>9.1999999999999993</v>
      </c>
      <c r="P57" s="65">
        <v>9.1999999999999993</v>
      </c>
      <c r="Q57" s="65">
        <v>9.1999999999999993</v>
      </c>
      <c r="R57" s="65">
        <v>9.1999999999999993</v>
      </c>
      <c r="S57" s="65">
        <v>9.1999999999999993</v>
      </c>
      <c r="T57" s="65">
        <v>9.1999999999999993</v>
      </c>
      <c r="U57" s="65">
        <v>9.1999999999999993</v>
      </c>
      <c r="V57" s="65">
        <v>9.1999999999999993</v>
      </c>
      <c r="W57" s="65">
        <v>9.1999999999999993</v>
      </c>
      <c r="X57" s="65">
        <v>9.1999999999999993</v>
      </c>
      <c r="Y57" s="65">
        <v>9.1999999999999993</v>
      </c>
      <c r="Z57" s="65">
        <v>9.1999999999999993</v>
      </c>
      <c r="AA57" s="65">
        <v>9.1999999999999993</v>
      </c>
      <c r="AB57" s="65">
        <v>9.1999999999999993</v>
      </c>
      <c r="AC57" s="65">
        <v>9.1999999999999993</v>
      </c>
      <c r="AD57" s="65">
        <v>9.1999999999999993</v>
      </c>
      <c r="AE57" s="65">
        <v>9.1999999999999993</v>
      </c>
      <c r="AF57" s="65">
        <v>9.1999999999999993</v>
      </c>
      <c r="AG57" s="55">
        <v>14</v>
      </c>
      <c r="AH57" s="48">
        <f t="shared" si="2"/>
        <v>9.1999999999999993</v>
      </c>
      <c r="AI57" s="49">
        <f t="shared" si="3"/>
        <v>9.1999999999999993</v>
      </c>
      <c r="AK57" s="50"/>
    </row>
    <row r="58" spans="1:41" x14ac:dyDescent="0.25">
      <c r="A58" s="54" t="s">
        <v>63</v>
      </c>
      <c r="B58" s="65">
        <v>9</v>
      </c>
      <c r="C58" s="65">
        <v>9</v>
      </c>
      <c r="D58" s="65">
        <v>9</v>
      </c>
      <c r="E58" s="65">
        <v>9</v>
      </c>
      <c r="F58" s="65">
        <v>9</v>
      </c>
      <c r="G58" s="65">
        <v>9</v>
      </c>
      <c r="H58" s="65">
        <v>9</v>
      </c>
      <c r="I58" s="65">
        <v>9</v>
      </c>
      <c r="J58" s="65">
        <v>9</v>
      </c>
      <c r="K58" s="65">
        <v>9</v>
      </c>
      <c r="L58" s="65">
        <v>9</v>
      </c>
      <c r="M58" s="65">
        <v>9</v>
      </c>
      <c r="N58" s="65">
        <v>9</v>
      </c>
      <c r="O58" s="65">
        <v>9</v>
      </c>
      <c r="P58" s="65">
        <v>9</v>
      </c>
      <c r="Q58" s="65">
        <v>9</v>
      </c>
      <c r="R58" s="65">
        <v>9</v>
      </c>
      <c r="S58" s="65">
        <v>9</v>
      </c>
      <c r="T58" s="65">
        <v>9</v>
      </c>
      <c r="U58" s="65">
        <v>9</v>
      </c>
      <c r="V58" s="65">
        <v>9</v>
      </c>
      <c r="W58" s="65">
        <v>9</v>
      </c>
      <c r="X58" s="65">
        <v>9</v>
      </c>
      <c r="Y58" s="65">
        <v>9</v>
      </c>
      <c r="Z58" s="65">
        <v>9</v>
      </c>
      <c r="AA58" s="65">
        <v>9</v>
      </c>
      <c r="AB58" s="65">
        <v>9</v>
      </c>
      <c r="AC58" s="65">
        <v>9</v>
      </c>
      <c r="AD58" s="65">
        <v>9</v>
      </c>
      <c r="AE58" s="65">
        <v>9</v>
      </c>
      <c r="AF58" s="65">
        <v>9</v>
      </c>
      <c r="AG58" s="55">
        <v>10.050000000000001</v>
      </c>
      <c r="AH58" s="48">
        <f t="shared" si="2"/>
        <v>9</v>
      </c>
      <c r="AI58" s="49">
        <f t="shared" si="3"/>
        <v>9</v>
      </c>
      <c r="AK58" s="50"/>
    </row>
    <row r="59" spans="1:41" x14ac:dyDescent="0.25">
      <c r="A59" s="54" t="s">
        <v>64</v>
      </c>
      <c r="B59" s="65">
        <v>4.5999999999999996</v>
      </c>
      <c r="C59" s="65">
        <v>4.5999999999999996</v>
      </c>
      <c r="D59" s="65">
        <v>4.5999999999999996</v>
      </c>
      <c r="E59" s="65">
        <v>4.5999999999999996</v>
      </c>
      <c r="F59" s="65">
        <v>4.5999999999999996</v>
      </c>
      <c r="G59" s="65">
        <v>4.5999999999999996</v>
      </c>
      <c r="H59" s="65">
        <v>4.5999999999999996</v>
      </c>
      <c r="I59" s="65">
        <v>4.5999999999999996</v>
      </c>
      <c r="J59" s="65">
        <v>4.5999999999999996</v>
      </c>
      <c r="K59" s="65">
        <v>4.5999999999999996</v>
      </c>
      <c r="L59" s="65">
        <v>4.5999999999999996</v>
      </c>
      <c r="M59" s="65">
        <v>4.5999999999999996</v>
      </c>
      <c r="N59" s="65">
        <v>4.5999999999999996</v>
      </c>
      <c r="O59" s="65">
        <v>4.5999999999999996</v>
      </c>
      <c r="P59" s="65">
        <v>4.5999999999999996</v>
      </c>
      <c r="Q59" s="65">
        <v>4.5999999999999996</v>
      </c>
      <c r="R59" s="65">
        <v>4.5999999999999996</v>
      </c>
      <c r="S59" s="65">
        <v>4.5999999999999996</v>
      </c>
      <c r="T59" s="65">
        <v>4.5999999999999996</v>
      </c>
      <c r="U59" s="65">
        <v>4.5999999999999996</v>
      </c>
      <c r="V59" s="65">
        <v>4.5999999999999996</v>
      </c>
      <c r="W59" s="65">
        <v>4.5999999999999996</v>
      </c>
      <c r="X59" s="65">
        <v>4.5999999999999996</v>
      </c>
      <c r="Y59" s="65">
        <v>4.5999999999999996</v>
      </c>
      <c r="Z59" s="65">
        <v>4.5999999999999996</v>
      </c>
      <c r="AA59" s="65">
        <v>4.5999999999999996</v>
      </c>
      <c r="AB59" s="65">
        <v>4.5999999999999996</v>
      </c>
      <c r="AC59" s="65">
        <v>4.5999999999999996</v>
      </c>
      <c r="AD59" s="65">
        <v>4.5999999999999996</v>
      </c>
      <c r="AE59" s="65">
        <v>4.5999999999999996</v>
      </c>
      <c r="AF59" s="65">
        <v>4.5999999999999996</v>
      </c>
      <c r="AG59" s="55">
        <v>6.2</v>
      </c>
      <c r="AH59" s="48">
        <f t="shared" si="2"/>
        <v>4.5999999999999996</v>
      </c>
      <c r="AI59" s="49">
        <f t="shared" si="3"/>
        <v>4.5999999999999996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" si="8">SUM(B48:B60)</f>
        <v>340.24</v>
      </c>
      <c r="C61" s="61">
        <f t="shared" ref="C61:AG61" si="9">SUM(C48:C60)</f>
        <v>341.74</v>
      </c>
      <c r="D61" s="61">
        <f t="shared" si="9"/>
        <v>328.34000000000003</v>
      </c>
      <c r="E61" s="61">
        <f t="shared" si="9"/>
        <v>311.64</v>
      </c>
      <c r="F61" s="61">
        <f t="shared" si="9"/>
        <v>302.04000000000002</v>
      </c>
      <c r="G61" s="61">
        <f t="shared" si="9"/>
        <v>263.94</v>
      </c>
      <c r="H61" s="61">
        <f t="shared" si="9"/>
        <v>324.74</v>
      </c>
      <c r="I61" s="61">
        <f t="shared" si="9"/>
        <v>380.03999999999996</v>
      </c>
      <c r="J61" s="61">
        <f t="shared" si="9"/>
        <v>417.04</v>
      </c>
      <c r="K61" s="61">
        <f t="shared" si="9"/>
        <v>435.04</v>
      </c>
      <c r="L61" s="61">
        <f t="shared" si="9"/>
        <v>435.04</v>
      </c>
      <c r="M61" s="61">
        <f t="shared" si="9"/>
        <v>435.54</v>
      </c>
      <c r="N61" s="61">
        <f t="shared" si="9"/>
        <v>423.04</v>
      </c>
      <c r="O61" s="61">
        <f t="shared" si="9"/>
        <v>409.54</v>
      </c>
      <c r="P61" s="61">
        <f t="shared" si="9"/>
        <v>409.54</v>
      </c>
      <c r="Q61" s="61">
        <f t="shared" si="9"/>
        <v>397.94000000000005</v>
      </c>
      <c r="R61" s="61">
        <f t="shared" si="9"/>
        <v>352.04</v>
      </c>
      <c r="S61" s="61">
        <f t="shared" si="9"/>
        <v>350.34000000000003</v>
      </c>
      <c r="T61" s="61">
        <f t="shared" si="9"/>
        <v>377.24</v>
      </c>
      <c r="U61" s="61">
        <f t="shared" si="9"/>
        <v>381.34000000000003</v>
      </c>
      <c r="V61" s="61">
        <f t="shared" si="9"/>
        <v>396.84000000000003</v>
      </c>
      <c r="W61" s="61">
        <f t="shared" si="9"/>
        <v>420.94000000000005</v>
      </c>
      <c r="X61" s="61">
        <v>430.44000000000005</v>
      </c>
      <c r="Y61" s="61">
        <f t="shared" si="9"/>
        <v>430.44000000000005</v>
      </c>
      <c r="Z61" s="61">
        <f t="shared" si="9"/>
        <v>430.44000000000005</v>
      </c>
      <c r="AA61" s="61">
        <f t="shared" si="9"/>
        <v>430.44000000000005</v>
      </c>
      <c r="AB61" s="61">
        <f t="shared" si="9"/>
        <v>416.34000000000003</v>
      </c>
      <c r="AC61" s="61">
        <f t="shared" si="9"/>
        <v>401.34000000000003</v>
      </c>
      <c r="AD61" s="61">
        <f t="shared" si="9"/>
        <v>401.34000000000003</v>
      </c>
      <c r="AE61" s="61">
        <f t="shared" si="9"/>
        <v>359.94000000000005</v>
      </c>
      <c r="AF61" s="61">
        <f t="shared" si="9"/>
        <v>320.64000000000004</v>
      </c>
      <c r="AG61" s="62">
        <f t="shared" si="9"/>
        <v>489.91</v>
      </c>
      <c r="AH61" s="48">
        <f t="shared" si="2"/>
        <v>435.54</v>
      </c>
      <c r="AI61" s="49">
        <f t="shared" si="3"/>
        <v>263.94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30</v>
      </c>
      <c r="M62" s="45">
        <v>0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43.6</v>
      </c>
      <c r="Y62" s="45">
        <v>27</v>
      </c>
      <c r="Z62" s="45">
        <v>10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52">
        <v>60</v>
      </c>
      <c r="AH62" s="48">
        <f t="shared" si="2"/>
        <v>43.6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22.5</v>
      </c>
      <c r="Y63" s="65">
        <v>9.4</v>
      </c>
      <c r="Z63" s="65">
        <v>5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5">
        <v>32</v>
      </c>
      <c r="AH63" s="48">
        <f t="shared" si="2"/>
        <v>22.5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8.1999999999999993</v>
      </c>
      <c r="Y64" s="67">
        <v>3.4</v>
      </c>
      <c r="Z64" s="67">
        <v>2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68">
        <v>14</v>
      </c>
      <c r="AH64" s="48">
        <f t="shared" si="2"/>
        <v>8.1999999999999993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" si="10">SUM(B62:B64)</f>
        <v>0</v>
      </c>
      <c r="C65" s="61">
        <f t="shared" ref="C65:AG65" si="11">SUM(C62:C64)</f>
        <v>0</v>
      </c>
      <c r="D65" s="61">
        <f t="shared" si="11"/>
        <v>0</v>
      </c>
      <c r="E65" s="61">
        <f t="shared" si="11"/>
        <v>0</v>
      </c>
      <c r="F65" s="61">
        <f t="shared" si="11"/>
        <v>0</v>
      </c>
      <c r="G65" s="61">
        <f t="shared" si="11"/>
        <v>0</v>
      </c>
      <c r="H65" s="61">
        <f t="shared" si="11"/>
        <v>0</v>
      </c>
      <c r="I65" s="61">
        <f t="shared" si="11"/>
        <v>0</v>
      </c>
      <c r="J65" s="61">
        <f t="shared" si="11"/>
        <v>0</v>
      </c>
      <c r="K65" s="61">
        <f t="shared" si="11"/>
        <v>0</v>
      </c>
      <c r="L65" s="61">
        <f t="shared" si="11"/>
        <v>30</v>
      </c>
      <c r="M65" s="61">
        <f t="shared" si="11"/>
        <v>0</v>
      </c>
      <c r="N65" s="61">
        <f t="shared" si="11"/>
        <v>0</v>
      </c>
      <c r="O65" s="61">
        <f t="shared" si="11"/>
        <v>0</v>
      </c>
      <c r="P65" s="61">
        <f t="shared" si="11"/>
        <v>0</v>
      </c>
      <c r="Q65" s="61">
        <f t="shared" si="11"/>
        <v>0</v>
      </c>
      <c r="R65" s="61">
        <f t="shared" si="11"/>
        <v>0</v>
      </c>
      <c r="S65" s="61">
        <f t="shared" si="11"/>
        <v>0</v>
      </c>
      <c r="T65" s="61">
        <f t="shared" si="11"/>
        <v>0</v>
      </c>
      <c r="U65" s="61">
        <f t="shared" si="11"/>
        <v>0</v>
      </c>
      <c r="V65" s="61">
        <f t="shared" si="11"/>
        <v>0</v>
      </c>
      <c r="W65" s="61">
        <f t="shared" si="11"/>
        <v>0</v>
      </c>
      <c r="X65" s="61">
        <v>74.3</v>
      </c>
      <c r="Y65" s="61">
        <f t="shared" si="11"/>
        <v>39.799999999999997</v>
      </c>
      <c r="Z65" s="61">
        <f t="shared" si="11"/>
        <v>17</v>
      </c>
      <c r="AA65" s="61">
        <f t="shared" si="11"/>
        <v>0</v>
      </c>
      <c r="AB65" s="61">
        <f t="shared" si="11"/>
        <v>0</v>
      </c>
      <c r="AC65" s="61">
        <f t="shared" si="11"/>
        <v>0</v>
      </c>
      <c r="AD65" s="61">
        <f t="shared" si="11"/>
        <v>0</v>
      </c>
      <c r="AE65" s="61">
        <f t="shared" si="11"/>
        <v>0</v>
      </c>
      <c r="AF65" s="61">
        <f t="shared" si="11"/>
        <v>0</v>
      </c>
      <c r="AG65" s="62">
        <f t="shared" si="11"/>
        <v>106</v>
      </c>
      <c r="AH65" s="48">
        <f t="shared" si="2"/>
        <v>74.3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52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-35.200000000000003</v>
      </c>
      <c r="C68" s="65">
        <v>-91.8</v>
      </c>
      <c r="D68" s="65">
        <v>-102.1</v>
      </c>
      <c r="E68" s="65">
        <v>-88.2</v>
      </c>
      <c r="F68" s="65">
        <v>-103.1</v>
      </c>
      <c r="G68" s="65">
        <v>-86</v>
      </c>
      <c r="H68" s="65">
        <v>-81</v>
      </c>
      <c r="I68" s="65">
        <v>-80</v>
      </c>
      <c r="J68" s="65">
        <v>-160</v>
      </c>
      <c r="K68" s="65">
        <v>-185</v>
      </c>
      <c r="L68" s="65">
        <v>-226</v>
      </c>
      <c r="M68" s="65">
        <v>-232.8</v>
      </c>
      <c r="N68" s="65">
        <v>-220</v>
      </c>
      <c r="O68" s="65">
        <v>-10</v>
      </c>
      <c r="P68" s="65">
        <v>-15</v>
      </c>
      <c r="Q68" s="65">
        <v>-2.5</v>
      </c>
      <c r="R68" s="65">
        <v>-38</v>
      </c>
      <c r="S68" s="65">
        <v>0</v>
      </c>
      <c r="T68" s="65">
        <v>0</v>
      </c>
      <c r="U68" s="65">
        <v>-11</v>
      </c>
      <c r="V68" s="65">
        <v>-161.5</v>
      </c>
      <c r="W68" s="65">
        <v>-202.4</v>
      </c>
      <c r="X68" s="65">
        <v>-227.6</v>
      </c>
      <c r="Y68" s="65">
        <v>-227.6</v>
      </c>
      <c r="Z68" s="65">
        <v>-290</v>
      </c>
      <c r="AA68" s="65">
        <v>-290</v>
      </c>
      <c r="AB68" s="65">
        <v>-270.8</v>
      </c>
      <c r="AC68" s="65">
        <v>-269</v>
      </c>
      <c r="AD68" s="65">
        <v>-261.8</v>
      </c>
      <c r="AE68" s="65">
        <v>-262.60000000000002</v>
      </c>
      <c r="AF68" s="65">
        <v>-255</v>
      </c>
      <c r="AG68" s="75"/>
      <c r="AH68" s="48">
        <f t="shared" si="2"/>
        <v>0</v>
      </c>
      <c r="AI68" s="49">
        <f t="shared" si="3"/>
        <v>-290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" si="12">SUMIF(B66:B76,"&gt;0")</f>
        <v>0</v>
      </c>
      <c r="C77" s="61">
        <f t="shared" ref="C77:AF77" si="13">SUMIF(C66:C76,"&gt;0")</f>
        <v>0</v>
      </c>
      <c r="D77" s="61">
        <f t="shared" si="13"/>
        <v>0</v>
      </c>
      <c r="E77" s="61">
        <f t="shared" si="13"/>
        <v>0</v>
      </c>
      <c r="F77" s="61">
        <f t="shared" si="13"/>
        <v>0</v>
      </c>
      <c r="G77" s="61">
        <f t="shared" si="13"/>
        <v>0</v>
      </c>
      <c r="H77" s="61">
        <f t="shared" si="13"/>
        <v>0</v>
      </c>
      <c r="I77" s="61">
        <f t="shared" si="13"/>
        <v>0</v>
      </c>
      <c r="J77" s="61">
        <f t="shared" si="13"/>
        <v>0</v>
      </c>
      <c r="K77" s="61">
        <f t="shared" si="13"/>
        <v>0</v>
      </c>
      <c r="L77" s="61">
        <f t="shared" si="13"/>
        <v>0</v>
      </c>
      <c r="M77" s="61">
        <f t="shared" si="13"/>
        <v>0</v>
      </c>
      <c r="N77" s="61">
        <f t="shared" si="13"/>
        <v>0</v>
      </c>
      <c r="O77" s="61">
        <f t="shared" si="13"/>
        <v>0</v>
      </c>
      <c r="P77" s="61">
        <f t="shared" si="13"/>
        <v>0</v>
      </c>
      <c r="Q77" s="61">
        <f t="shared" si="13"/>
        <v>0</v>
      </c>
      <c r="R77" s="61">
        <f t="shared" si="13"/>
        <v>0</v>
      </c>
      <c r="S77" s="61">
        <f t="shared" si="13"/>
        <v>0</v>
      </c>
      <c r="T77" s="61">
        <f t="shared" si="13"/>
        <v>0</v>
      </c>
      <c r="U77" s="61">
        <f t="shared" si="13"/>
        <v>0</v>
      </c>
      <c r="V77" s="61">
        <f t="shared" si="13"/>
        <v>0</v>
      </c>
      <c r="W77" s="61">
        <f t="shared" si="13"/>
        <v>0</v>
      </c>
      <c r="X77" s="61">
        <v>0</v>
      </c>
      <c r="Y77" s="61">
        <f t="shared" si="13"/>
        <v>0</v>
      </c>
      <c r="Z77" s="61">
        <f t="shared" si="13"/>
        <v>0</v>
      </c>
      <c r="AA77" s="61">
        <f t="shared" si="13"/>
        <v>0</v>
      </c>
      <c r="AB77" s="61">
        <f t="shared" si="13"/>
        <v>0</v>
      </c>
      <c r="AC77" s="61">
        <f t="shared" si="13"/>
        <v>0</v>
      </c>
      <c r="AD77" s="61">
        <f t="shared" si="13"/>
        <v>0</v>
      </c>
      <c r="AE77" s="61">
        <f t="shared" si="13"/>
        <v>0</v>
      </c>
      <c r="AF77" s="61">
        <f t="shared" si="13"/>
        <v>0</v>
      </c>
      <c r="AG77" s="81">
        <f>SUM(AG66:AG76)</f>
        <v>0</v>
      </c>
      <c r="AH77" s="48">
        <f t="shared" si="2"/>
        <v>0</v>
      </c>
      <c r="AI77" s="49">
        <f t="shared" si="3"/>
        <v>0</v>
      </c>
      <c r="AK77" s="50"/>
    </row>
    <row r="78" spans="1:37" x14ac:dyDescent="0.25">
      <c r="A78" s="44" t="s">
        <v>83</v>
      </c>
      <c r="B78" s="76">
        <v>0</v>
      </c>
      <c r="C78" s="76">
        <v>0</v>
      </c>
      <c r="D78" s="76">
        <v>0</v>
      </c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>
        <v>0</v>
      </c>
      <c r="Y78" s="76"/>
      <c r="Z78" s="76"/>
      <c r="AA78" s="76"/>
      <c r="AB78" s="76"/>
      <c r="AC78" s="76"/>
      <c r="AD78" s="76"/>
      <c r="AE78" s="76"/>
      <c r="AF78" s="76"/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>
        <v>0</v>
      </c>
      <c r="C79" s="77">
        <v>0</v>
      </c>
      <c r="D79" s="77">
        <v>0</v>
      </c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>
        <v>0</v>
      </c>
      <c r="Y79" s="77"/>
      <c r="Z79" s="77"/>
      <c r="AA79" s="77"/>
      <c r="AB79" s="77"/>
      <c r="AC79" s="77"/>
      <c r="AD79" s="77"/>
      <c r="AE79" s="77"/>
      <c r="AF79" s="77"/>
      <c r="AG79" s="75">
        <v>14.4</v>
      </c>
      <c r="AH79" s="48">
        <f t="shared" ref="AH79:AH112" si="14">MAX(B79:AF79)</f>
        <v>0</v>
      </c>
      <c r="AI79" s="49">
        <f t="shared" ref="AI79:AI112" si="15">MIN(B79:AF79)</f>
        <v>0</v>
      </c>
      <c r="AK79" s="50"/>
    </row>
    <row r="80" spans="1:37" ht="15.75" thickBot="1" x14ac:dyDescent="0.3">
      <c r="A80" s="78" t="s">
        <v>85</v>
      </c>
      <c r="B80" s="79">
        <v>0</v>
      </c>
      <c r="C80" s="79">
        <v>0</v>
      </c>
      <c r="D80" s="79">
        <v>0</v>
      </c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>
        <v>0</v>
      </c>
      <c r="Y80" s="79"/>
      <c r="Z80" s="79"/>
      <c r="AA80" s="79"/>
      <c r="AB80" s="79"/>
      <c r="AC80" s="79"/>
      <c r="AD80" s="79"/>
      <c r="AE80" s="79"/>
      <c r="AF80" s="79"/>
      <c r="AG80" s="80">
        <v>2</v>
      </c>
      <c r="AH80" s="48">
        <f t="shared" si="14"/>
        <v>0</v>
      </c>
      <c r="AI80" s="49">
        <f t="shared" si="15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4"/>
        <v>0</v>
      </c>
      <c r="AI81" s="49">
        <f t="shared" si="15"/>
        <v>0</v>
      </c>
    </row>
    <row r="82" spans="1:37" ht="15.75" thickBot="1" x14ac:dyDescent="0.3">
      <c r="A82" s="74" t="s">
        <v>87</v>
      </c>
      <c r="B82" s="83">
        <f t="shared" ref="B82" si="16">B43+B47+B65+B61+B77+B81</f>
        <v>984.74</v>
      </c>
      <c r="C82" s="83">
        <f t="shared" ref="C82:AG82" si="17">C43+C47+C65+C61+C77+C81</f>
        <v>1005.5400000000001</v>
      </c>
      <c r="D82" s="83">
        <f t="shared" si="17"/>
        <v>992.44</v>
      </c>
      <c r="E82" s="83">
        <f t="shared" si="17"/>
        <v>1025.74</v>
      </c>
      <c r="F82" s="83">
        <f t="shared" si="17"/>
        <v>1036.1400000000001</v>
      </c>
      <c r="G82" s="83">
        <f t="shared" si="17"/>
        <v>1078.04</v>
      </c>
      <c r="H82" s="83">
        <f t="shared" si="17"/>
        <v>1178.8400000000001</v>
      </c>
      <c r="I82" s="83">
        <f t="shared" si="17"/>
        <v>1264.24</v>
      </c>
      <c r="J82" s="83">
        <f t="shared" si="17"/>
        <v>1411.24</v>
      </c>
      <c r="K82" s="83">
        <f t="shared" si="17"/>
        <v>1539.24</v>
      </c>
      <c r="L82" s="83">
        <f t="shared" si="17"/>
        <v>1672.24</v>
      </c>
      <c r="M82" s="83">
        <f t="shared" si="17"/>
        <v>1641.74</v>
      </c>
      <c r="N82" s="83">
        <f t="shared" si="17"/>
        <v>1593.24</v>
      </c>
      <c r="O82" s="83">
        <f t="shared" si="17"/>
        <v>1295.74</v>
      </c>
      <c r="P82" s="83">
        <f t="shared" si="17"/>
        <v>1260.1400000000001</v>
      </c>
      <c r="Q82" s="83">
        <f t="shared" si="17"/>
        <v>1158.6400000000001</v>
      </c>
      <c r="R82" s="83">
        <f t="shared" si="17"/>
        <v>1105.6400000000001</v>
      </c>
      <c r="S82" s="83">
        <f t="shared" si="17"/>
        <v>1103.7400000000002</v>
      </c>
      <c r="T82" s="83">
        <f t="shared" si="17"/>
        <v>1132.54</v>
      </c>
      <c r="U82" s="83">
        <f t="shared" si="17"/>
        <v>1197.7400000000002</v>
      </c>
      <c r="V82" s="83">
        <f t="shared" si="17"/>
        <v>1413.2400000000002</v>
      </c>
      <c r="W82" s="83">
        <f t="shared" si="17"/>
        <v>1613.3400000000001</v>
      </c>
      <c r="X82" s="83">
        <v>1701.74</v>
      </c>
      <c r="Y82" s="83">
        <f t="shared" si="17"/>
        <v>1667.24</v>
      </c>
      <c r="Z82" s="83">
        <f t="shared" si="17"/>
        <v>1646.74</v>
      </c>
      <c r="AA82" s="83">
        <f t="shared" si="17"/>
        <v>1553.74</v>
      </c>
      <c r="AB82" s="83">
        <f t="shared" si="17"/>
        <v>1477.6399999999999</v>
      </c>
      <c r="AC82" s="83">
        <f t="shared" si="17"/>
        <v>1421.1399999999999</v>
      </c>
      <c r="AD82" s="83">
        <f t="shared" si="17"/>
        <v>1356.1399999999999</v>
      </c>
      <c r="AE82" s="83">
        <f t="shared" si="17"/>
        <v>1274.74</v>
      </c>
      <c r="AF82" s="83">
        <f t="shared" si="17"/>
        <v>1212.6400000000001</v>
      </c>
      <c r="AG82" s="62">
        <f t="shared" si="17"/>
        <v>1986.1900000000003</v>
      </c>
      <c r="AH82" s="48">
        <f t="shared" si="14"/>
        <v>1701.74</v>
      </c>
      <c r="AI82" s="49">
        <f t="shared" si="15"/>
        <v>984.74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14"/>
        <v>0</v>
      </c>
      <c r="AI83" s="49">
        <f t="shared" si="15"/>
        <v>0</v>
      </c>
    </row>
    <row r="84" spans="1:37" ht="15.75" thickBot="1" x14ac:dyDescent="0.3">
      <c r="A84" s="74" t="s">
        <v>89</v>
      </c>
      <c r="B84" s="83">
        <f t="shared" ref="B84" si="18">B82+B83</f>
        <v>984.74</v>
      </c>
      <c r="C84" s="83">
        <f t="shared" ref="C84:AF84" si="19">C82+C83</f>
        <v>1005.5400000000001</v>
      </c>
      <c r="D84" s="83">
        <f t="shared" si="19"/>
        <v>992.44</v>
      </c>
      <c r="E84" s="83">
        <f t="shared" si="19"/>
        <v>1025.74</v>
      </c>
      <c r="F84" s="83">
        <f t="shared" si="19"/>
        <v>1036.1400000000001</v>
      </c>
      <c r="G84" s="83">
        <f t="shared" si="19"/>
        <v>1078.04</v>
      </c>
      <c r="H84" s="83">
        <f t="shared" si="19"/>
        <v>1178.8400000000001</v>
      </c>
      <c r="I84" s="83">
        <f t="shared" si="19"/>
        <v>1264.24</v>
      </c>
      <c r="J84" s="83">
        <f t="shared" si="19"/>
        <v>1411.24</v>
      </c>
      <c r="K84" s="83">
        <f t="shared" si="19"/>
        <v>1539.24</v>
      </c>
      <c r="L84" s="83">
        <f t="shared" si="19"/>
        <v>1672.24</v>
      </c>
      <c r="M84" s="83">
        <f t="shared" si="19"/>
        <v>1641.74</v>
      </c>
      <c r="N84" s="83">
        <f t="shared" si="19"/>
        <v>1593.24</v>
      </c>
      <c r="O84" s="83">
        <f t="shared" si="19"/>
        <v>1295.74</v>
      </c>
      <c r="P84" s="83">
        <f t="shared" si="19"/>
        <v>1260.1400000000001</v>
      </c>
      <c r="Q84" s="83">
        <f t="shared" si="19"/>
        <v>1158.6400000000001</v>
      </c>
      <c r="R84" s="83">
        <f t="shared" si="19"/>
        <v>1105.6400000000001</v>
      </c>
      <c r="S84" s="83">
        <f t="shared" si="19"/>
        <v>1103.7400000000002</v>
      </c>
      <c r="T84" s="83">
        <f t="shared" si="19"/>
        <v>1132.54</v>
      </c>
      <c r="U84" s="83">
        <f t="shared" si="19"/>
        <v>1197.7400000000002</v>
      </c>
      <c r="V84" s="83">
        <f t="shared" si="19"/>
        <v>1413.2400000000002</v>
      </c>
      <c r="W84" s="83">
        <f t="shared" si="19"/>
        <v>1613.3400000000001</v>
      </c>
      <c r="X84" s="83">
        <v>1701.74</v>
      </c>
      <c r="Y84" s="83">
        <f t="shared" si="19"/>
        <v>1667.24</v>
      </c>
      <c r="Z84" s="83">
        <f t="shared" si="19"/>
        <v>1646.74</v>
      </c>
      <c r="AA84" s="83">
        <f t="shared" si="19"/>
        <v>1553.74</v>
      </c>
      <c r="AB84" s="83">
        <f t="shared" si="19"/>
        <v>1477.6399999999999</v>
      </c>
      <c r="AC84" s="83">
        <f t="shared" si="19"/>
        <v>1421.1399999999999</v>
      </c>
      <c r="AD84" s="83">
        <f t="shared" si="19"/>
        <v>1356.1399999999999</v>
      </c>
      <c r="AE84" s="83">
        <f t="shared" si="19"/>
        <v>1274.74</v>
      </c>
      <c r="AF84" s="83">
        <f t="shared" si="19"/>
        <v>1212.6400000000001</v>
      </c>
      <c r="AG84" s="81">
        <f>AG81+AG77+AG65+AG61+AG43+AG83</f>
        <v>1448.0900000000001</v>
      </c>
      <c r="AH84" s="48">
        <f t="shared" si="14"/>
        <v>1701.74</v>
      </c>
      <c r="AI84" s="49">
        <f t="shared" si="15"/>
        <v>984.74</v>
      </c>
    </row>
    <row r="85" spans="1:37" ht="15.75" thickBot="1" x14ac:dyDescent="0.3">
      <c r="A85" s="74" t="s">
        <v>90</v>
      </c>
      <c r="B85" s="83">
        <f t="shared" ref="B85" si="20">B84-B92</f>
        <v>949.54</v>
      </c>
      <c r="C85" s="83">
        <f t="shared" ref="C85:AF85" si="21">C84-C92</f>
        <v>913.74000000000012</v>
      </c>
      <c r="D85" s="83">
        <f t="shared" si="21"/>
        <v>890.34</v>
      </c>
      <c r="E85" s="83">
        <f t="shared" si="21"/>
        <v>937.54</v>
      </c>
      <c r="F85" s="83">
        <f t="shared" si="21"/>
        <v>933.04000000000008</v>
      </c>
      <c r="G85" s="83">
        <f t="shared" si="21"/>
        <v>992.04</v>
      </c>
      <c r="H85" s="83">
        <f t="shared" si="21"/>
        <v>1097.8400000000001</v>
      </c>
      <c r="I85" s="83">
        <f t="shared" si="21"/>
        <v>1184.24</v>
      </c>
      <c r="J85" s="83">
        <f t="shared" si="21"/>
        <v>1251.24</v>
      </c>
      <c r="K85" s="83">
        <f t="shared" si="21"/>
        <v>1354.24</v>
      </c>
      <c r="L85" s="83">
        <f t="shared" si="21"/>
        <v>1446.24</v>
      </c>
      <c r="M85" s="83">
        <f t="shared" si="21"/>
        <v>1408.94</v>
      </c>
      <c r="N85" s="83">
        <f t="shared" si="21"/>
        <v>1373.24</v>
      </c>
      <c r="O85" s="83">
        <f t="shared" si="21"/>
        <v>1285.74</v>
      </c>
      <c r="P85" s="83">
        <f t="shared" si="21"/>
        <v>1245.1400000000001</v>
      </c>
      <c r="Q85" s="83">
        <f t="shared" si="21"/>
        <v>1156.1400000000001</v>
      </c>
      <c r="R85" s="83">
        <f t="shared" si="21"/>
        <v>1067.6400000000001</v>
      </c>
      <c r="S85" s="83">
        <f t="shared" si="21"/>
        <v>1103.7400000000002</v>
      </c>
      <c r="T85" s="83">
        <f t="shared" si="21"/>
        <v>1132.54</v>
      </c>
      <c r="U85" s="83">
        <f t="shared" si="21"/>
        <v>1186.7400000000002</v>
      </c>
      <c r="V85" s="83">
        <f t="shared" si="21"/>
        <v>1251.7400000000002</v>
      </c>
      <c r="W85" s="83">
        <f t="shared" si="21"/>
        <v>1410.94</v>
      </c>
      <c r="X85" s="83">
        <v>1474.14</v>
      </c>
      <c r="Y85" s="83">
        <f t="shared" si="21"/>
        <v>1439.64</v>
      </c>
      <c r="Z85" s="83">
        <f t="shared" si="21"/>
        <v>1356.74</v>
      </c>
      <c r="AA85" s="83">
        <f t="shared" si="21"/>
        <v>1263.74</v>
      </c>
      <c r="AB85" s="83">
        <f t="shared" si="21"/>
        <v>1206.8399999999999</v>
      </c>
      <c r="AC85" s="83">
        <f t="shared" si="21"/>
        <v>1152.1399999999999</v>
      </c>
      <c r="AD85" s="83">
        <f t="shared" si="21"/>
        <v>1094.3399999999999</v>
      </c>
      <c r="AE85" s="83">
        <f t="shared" si="21"/>
        <v>1012.14</v>
      </c>
      <c r="AF85" s="83">
        <f t="shared" si="21"/>
        <v>957.6400000000001</v>
      </c>
      <c r="AG85" s="81"/>
      <c r="AH85" s="48">
        <f t="shared" si="14"/>
        <v>1474.14</v>
      </c>
      <c r="AI85" s="49">
        <f t="shared" si="15"/>
        <v>890.34</v>
      </c>
    </row>
    <row r="86" spans="1:37" x14ac:dyDescent="0.25">
      <c r="A86" s="44" t="s">
        <v>74</v>
      </c>
      <c r="B86" s="76">
        <f t="shared" ref="B86" si="22">IF(B69&lt;0,B69*-1,0)</f>
        <v>0</v>
      </c>
      <c r="C86" s="76">
        <f t="shared" ref="C86:AF86" si="23">IF(C69&lt;0,C69*-1,0)</f>
        <v>0</v>
      </c>
      <c r="D86" s="76">
        <f t="shared" si="23"/>
        <v>0</v>
      </c>
      <c r="E86" s="76">
        <f t="shared" si="23"/>
        <v>0</v>
      </c>
      <c r="F86" s="76">
        <f t="shared" si="23"/>
        <v>0</v>
      </c>
      <c r="G86" s="76">
        <f t="shared" si="23"/>
        <v>0</v>
      </c>
      <c r="H86" s="76">
        <f t="shared" si="23"/>
        <v>0</v>
      </c>
      <c r="I86" s="76">
        <f t="shared" si="23"/>
        <v>0</v>
      </c>
      <c r="J86" s="76">
        <f t="shared" si="23"/>
        <v>0</v>
      </c>
      <c r="K86" s="76">
        <f t="shared" si="23"/>
        <v>0</v>
      </c>
      <c r="L86" s="76">
        <f t="shared" si="23"/>
        <v>0</v>
      </c>
      <c r="M86" s="76">
        <f t="shared" si="23"/>
        <v>0</v>
      </c>
      <c r="N86" s="76">
        <f t="shared" si="23"/>
        <v>0</v>
      </c>
      <c r="O86" s="76">
        <f t="shared" si="23"/>
        <v>0</v>
      </c>
      <c r="P86" s="76">
        <f t="shared" si="23"/>
        <v>0</v>
      </c>
      <c r="Q86" s="76">
        <f t="shared" si="23"/>
        <v>0</v>
      </c>
      <c r="R86" s="76">
        <f t="shared" si="23"/>
        <v>0</v>
      </c>
      <c r="S86" s="76">
        <f t="shared" si="23"/>
        <v>0</v>
      </c>
      <c r="T86" s="76">
        <f t="shared" si="23"/>
        <v>0</v>
      </c>
      <c r="U86" s="76">
        <f t="shared" si="23"/>
        <v>0</v>
      </c>
      <c r="V86" s="76">
        <f t="shared" si="23"/>
        <v>0</v>
      </c>
      <c r="W86" s="76">
        <f t="shared" si="23"/>
        <v>0</v>
      </c>
      <c r="X86" s="76">
        <v>0</v>
      </c>
      <c r="Y86" s="76">
        <f t="shared" si="23"/>
        <v>0</v>
      </c>
      <c r="Z86" s="76">
        <f t="shared" si="23"/>
        <v>0</v>
      </c>
      <c r="AA86" s="76">
        <f t="shared" si="23"/>
        <v>0</v>
      </c>
      <c r="AB86" s="76">
        <f t="shared" si="23"/>
        <v>0</v>
      </c>
      <c r="AC86" s="76">
        <f t="shared" si="23"/>
        <v>0</v>
      </c>
      <c r="AD86" s="76">
        <f t="shared" si="23"/>
        <v>0</v>
      </c>
      <c r="AE86" s="76">
        <f t="shared" si="23"/>
        <v>0</v>
      </c>
      <c r="AF86" s="76">
        <f t="shared" si="23"/>
        <v>0</v>
      </c>
      <c r="AG86" s="52"/>
      <c r="AH86" s="48">
        <f t="shared" si="14"/>
        <v>0</v>
      </c>
      <c r="AI86" s="49">
        <f t="shared" si="15"/>
        <v>0</v>
      </c>
    </row>
    <row r="87" spans="1:37" x14ac:dyDescent="0.25">
      <c r="A87" s="54" t="s">
        <v>72</v>
      </c>
      <c r="B87" s="76">
        <f t="shared" ref="B87" si="24">IF(B67&lt;0,B67*-1,0)</f>
        <v>0</v>
      </c>
      <c r="C87" s="76">
        <f t="shared" ref="C87:AF87" si="25">IF(C67&lt;0,C67*-1,0)</f>
        <v>0</v>
      </c>
      <c r="D87" s="76">
        <f t="shared" si="25"/>
        <v>0</v>
      </c>
      <c r="E87" s="76">
        <f t="shared" si="25"/>
        <v>0</v>
      </c>
      <c r="F87" s="76">
        <f t="shared" si="25"/>
        <v>0</v>
      </c>
      <c r="G87" s="76">
        <f t="shared" si="25"/>
        <v>0</v>
      </c>
      <c r="H87" s="76">
        <f t="shared" si="25"/>
        <v>0</v>
      </c>
      <c r="I87" s="76">
        <f t="shared" si="25"/>
        <v>0</v>
      </c>
      <c r="J87" s="76">
        <f t="shared" si="25"/>
        <v>0</v>
      </c>
      <c r="K87" s="76">
        <f t="shared" si="25"/>
        <v>0</v>
      </c>
      <c r="L87" s="76">
        <f t="shared" si="25"/>
        <v>0</v>
      </c>
      <c r="M87" s="76">
        <f t="shared" si="25"/>
        <v>0</v>
      </c>
      <c r="N87" s="76">
        <f t="shared" si="25"/>
        <v>0</v>
      </c>
      <c r="O87" s="76">
        <f t="shared" si="25"/>
        <v>0</v>
      </c>
      <c r="P87" s="76">
        <f t="shared" si="25"/>
        <v>0</v>
      </c>
      <c r="Q87" s="76">
        <f t="shared" si="25"/>
        <v>0</v>
      </c>
      <c r="R87" s="76">
        <f t="shared" si="25"/>
        <v>0</v>
      </c>
      <c r="S87" s="76">
        <f t="shared" si="25"/>
        <v>0</v>
      </c>
      <c r="T87" s="76">
        <f t="shared" si="25"/>
        <v>0</v>
      </c>
      <c r="U87" s="76">
        <f t="shared" si="25"/>
        <v>0</v>
      </c>
      <c r="V87" s="76">
        <f t="shared" si="25"/>
        <v>0</v>
      </c>
      <c r="W87" s="76">
        <f t="shared" si="25"/>
        <v>0</v>
      </c>
      <c r="X87" s="76">
        <v>0</v>
      </c>
      <c r="Y87" s="76">
        <f t="shared" si="25"/>
        <v>0</v>
      </c>
      <c r="Z87" s="76">
        <f t="shared" si="25"/>
        <v>0</v>
      </c>
      <c r="AA87" s="76">
        <f t="shared" si="25"/>
        <v>0</v>
      </c>
      <c r="AB87" s="76">
        <f t="shared" si="25"/>
        <v>0</v>
      </c>
      <c r="AC87" s="76">
        <f t="shared" si="25"/>
        <v>0</v>
      </c>
      <c r="AD87" s="76">
        <f t="shared" si="25"/>
        <v>0</v>
      </c>
      <c r="AE87" s="76">
        <f t="shared" si="25"/>
        <v>0</v>
      </c>
      <c r="AF87" s="76">
        <f t="shared" si="25"/>
        <v>0</v>
      </c>
      <c r="AG87" s="55"/>
      <c r="AH87" s="48">
        <f t="shared" si="14"/>
        <v>0</v>
      </c>
      <c r="AI87" s="49">
        <f t="shared" si="15"/>
        <v>0</v>
      </c>
    </row>
    <row r="88" spans="1:37" x14ac:dyDescent="0.25">
      <c r="A88" s="78" t="s">
        <v>91</v>
      </c>
      <c r="B88" s="76">
        <f t="shared" ref="B88" si="26">IF(B70&lt;0,B70*-1,0)</f>
        <v>0</v>
      </c>
      <c r="C88" s="76">
        <f t="shared" ref="C88:AF88" si="27">IF(C70&lt;0,C70*-1,0)</f>
        <v>0</v>
      </c>
      <c r="D88" s="76">
        <f t="shared" si="27"/>
        <v>0</v>
      </c>
      <c r="E88" s="76">
        <f t="shared" si="27"/>
        <v>0</v>
      </c>
      <c r="F88" s="76">
        <f t="shared" si="27"/>
        <v>0</v>
      </c>
      <c r="G88" s="76">
        <f t="shared" si="27"/>
        <v>0</v>
      </c>
      <c r="H88" s="76">
        <f t="shared" si="27"/>
        <v>0</v>
      </c>
      <c r="I88" s="76">
        <f t="shared" si="27"/>
        <v>0</v>
      </c>
      <c r="J88" s="76">
        <f t="shared" si="27"/>
        <v>0</v>
      </c>
      <c r="K88" s="76">
        <f t="shared" si="27"/>
        <v>0</v>
      </c>
      <c r="L88" s="76">
        <f t="shared" si="27"/>
        <v>0</v>
      </c>
      <c r="M88" s="76">
        <f t="shared" si="27"/>
        <v>0</v>
      </c>
      <c r="N88" s="76">
        <f t="shared" si="27"/>
        <v>0</v>
      </c>
      <c r="O88" s="76">
        <f t="shared" si="27"/>
        <v>0</v>
      </c>
      <c r="P88" s="76">
        <f t="shared" si="27"/>
        <v>0</v>
      </c>
      <c r="Q88" s="76">
        <f t="shared" si="27"/>
        <v>0</v>
      </c>
      <c r="R88" s="76">
        <f t="shared" si="27"/>
        <v>0</v>
      </c>
      <c r="S88" s="76">
        <f t="shared" si="27"/>
        <v>0</v>
      </c>
      <c r="T88" s="76">
        <f t="shared" si="27"/>
        <v>0</v>
      </c>
      <c r="U88" s="76">
        <f t="shared" si="27"/>
        <v>0</v>
      </c>
      <c r="V88" s="76">
        <f t="shared" si="27"/>
        <v>0</v>
      </c>
      <c r="W88" s="76">
        <f t="shared" si="27"/>
        <v>0</v>
      </c>
      <c r="X88" s="76">
        <v>0</v>
      </c>
      <c r="Y88" s="76">
        <f t="shared" si="27"/>
        <v>0</v>
      </c>
      <c r="Z88" s="76">
        <f t="shared" si="27"/>
        <v>0</v>
      </c>
      <c r="AA88" s="76">
        <f t="shared" si="27"/>
        <v>0</v>
      </c>
      <c r="AB88" s="76">
        <f t="shared" si="27"/>
        <v>0</v>
      </c>
      <c r="AC88" s="76">
        <f t="shared" si="27"/>
        <v>0</v>
      </c>
      <c r="AD88" s="76">
        <f t="shared" si="27"/>
        <v>0</v>
      </c>
      <c r="AE88" s="76">
        <f t="shared" si="27"/>
        <v>0</v>
      </c>
      <c r="AF88" s="76">
        <f t="shared" si="27"/>
        <v>0</v>
      </c>
      <c r="AG88" s="86"/>
      <c r="AH88" s="48">
        <f t="shared" si="14"/>
        <v>0</v>
      </c>
      <c r="AI88" s="49">
        <f t="shared" si="15"/>
        <v>0</v>
      </c>
    </row>
    <row r="89" spans="1:37" x14ac:dyDescent="0.25">
      <c r="A89" s="78" t="s">
        <v>92</v>
      </c>
      <c r="B89" s="76">
        <f t="shared" ref="B89" si="28">IF(B68&lt;0,B68*-1,0)</f>
        <v>35.200000000000003</v>
      </c>
      <c r="C89" s="76">
        <f t="shared" ref="C89:AF89" si="29">IF(C68&lt;0,C68*-1,0)</f>
        <v>91.8</v>
      </c>
      <c r="D89" s="76">
        <f t="shared" si="29"/>
        <v>102.1</v>
      </c>
      <c r="E89" s="76">
        <f t="shared" si="29"/>
        <v>88.2</v>
      </c>
      <c r="F89" s="76">
        <f t="shared" si="29"/>
        <v>103.1</v>
      </c>
      <c r="G89" s="76">
        <f t="shared" si="29"/>
        <v>86</v>
      </c>
      <c r="H89" s="76">
        <f t="shared" si="29"/>
        <v>81</v>
      </c>
      <c r="I89" s="76">
        <f t="shared" si="29"/>
        <v>80</v>
      </c>
      <c r="J89" s="76">
        <f t="shared" si="29"/>
        <v>160</v>
      </c>
      <c r="K89" s="76">
        <f t="shared" si="29"/>
        <v>185</v>
      </c>
      <c r="L89" s="76">
        <f t="shared" si="29"/>
        <v>226</v>
      </c>
      <c r="M89" s="76">
        <f t="shared" si="29"/>
        <v>232.8</v>
      </c>
      <c r="N89" s="76">
        <f t="shared" si="29"/>
        <v>220</v>
      </c>
      <c r="O89" s="76">
        <f t="shared" si="29"/>
        <v>10</v>
      </c>
      <c r="P89" s="76">
        <f t="shared" si="29"/>
        <v>15</v>
      </c>
      <c r="Q89" s="76">
        <f t="shared" si="29"/>
        <v>2.5</v>
      </c>
      <c r="R89" s="76">
        <f t="shared" si="29"/>
        <v>38</v>
      </c>
      <c r="S89" s="76">
        <f t="shared" si="29"/>
        <v>0</v>
      </c>
      <c r="T89" s="76">
        <f t="shared" si="29"/>
        <v>0</v>
      </c>
      <c r="U89" s="76">
        <f t="shared" si="29"/>
        <v>11</v>
      </c>
      <c r="V89" s="76">
        <f t="shared" si="29"/>
        <v>161.5</v>
      </c>
      <c r="W89" s="76">
        <f t="shared" si="29"/>
        <v>202.4</v>
      </c>
      <c r="X89" s="76">
        <v>227.6</v>
      </c>
      <c r="Y89" s="76">
        <f t="shared" si="29"/>
        <v>227.6</v>
      </c>
      <c r="Z89" s="76">
        <f t="shared" si="29"/>
        <v>290</v>
      </c>
      <c r="AA89" s="76">
        <f t="shared" si="29"/>
        <v>290</v>
      </c>
      <c r="AB89" s="76">
        <f t="shared" si="29"/>
        <v>270.8</v>
      </c>
      <c r="AC89" s="76">
        <f t="shared" si="29"/>
        <v>269</v>
      </c>
      <c r="AD89" s="76">
        <f t="shared" si="29"/>
        <v>261.8</v>
      </c>
      <c r="AE89" s="76">
        <f t="shared" si="29"/>
        <v>262.60000000000002</v>
      </c>
      <c r="AF89" s="76">
        <f t="shared" si="29"/>
        <v>255</v>
      </c>
      <c r="AG89" s="86"/>
      <c r="AH89" s="48">
        <f t="shared" si="14"/>
        <v>290</v>
      </c>
      <c r="AI89" s="49">
        <f t="shared" si="15"/>
        <v>0</v>
      </c>
    </row>
    <row r="90" spans="1:37" x14ac:dyDescent="0.25">
      <c r="A90" s="78" t="s">
        <v>71</v>
      </c>
      <c r="B90" s="76">
        <f t="shared" ref="B90" si="30">IF(B66&lt;0,B66*-1,0)</f>
        <v>0</v>
      </c>
      <c r="C90" s="76">
        <f t="shared" ref="C90:AF90" si="31">IF(C66&lt;0,C66*-1,0)</f>
        <v>0</v>
      </c>
      <c r="D90" s="76">
        <f t="shared" si="31"/>
        <v>0</v>
      </c>
      <c r="E90" s="76">
        <f t="shared" si="31"/>
        <v>0</v>
      </c>
      <c r="F90" s="76">
        <f t="shared" si="31"/>
        <v>0</v>
      </c>
      <c r="G90" s="76">
        <f t="shared" si="31"/>
        <v>0</v>
      </c>
      <c r="H90" s="76">
        <f t="shared" si="31"/>
        <v>0</v>
      </c>
      <c r="I90" s="76">
        <f t="shared" si="31"/>
        <v>0</v>
      </c>
      <c r="J90" s="76">
        <f t="shared" si="31"/>
        <v>0</v>
      </c>
      <c r="K90" s="76">
        <f t="shared" si="31"/>
        <v>0</v>
      </c>
      <c r="L90" s="76">
        <f t="shared" si="31"/>
        <v>0</v>
      </c>
      <c r="M90" s="76">
        <f t="shared" si="31"/>
        <v>0</v>
      </c>
      <c r="N90" s="76">
        <f t="shared" si="31"/>
        <v>0</v>
      </c>
      <c r="O90" s="76">
        <f t="shared" si="31"/>
        <v>0</v>
      </c>
      <c r="P90" s="76">
        <f t="shared" si="31"/>
        <v>0</v>
      </c>
      <c r="Q90" s="76">
        <f t="shared" si="31"/>
        <v>0</v>
      </c>
      <c r="R90" s="76">
        <f t="shared" si="31"/>
        <v>0</v>
      </c>
      <c r="S90" s="76">
        <f t="shared" si="31"/>
        <v>0</v>
      </c>
      <c r="T90" s="76">
        <f t="shared" si="31"/>
        <v>0</v>
      </c>
      <c r="U90" s="76">
        <f t="shared" si="31"/>
        <v>0</v>
      </c>
      <c r="V90" s="76">
        <f t="shared" si="31"/>
        <v>0</v>
      </c>
      <c r="W90" s="76">
        <f t="shared" si="31"/>
        <v>0</v>
      </c>
      <c r="X90" s="76">
        <v>0</v>
      </c>
      <c r="Y90" s="76">
        <f t="shared" si="31"/>
        <v>0</v>
      </c>
      <c r="Z90" s="76">
        <f t="shared" si="31"/>
        <v>0</v>
      </c>
      <c r="AA90" s="76">
        <f t="shared" si="31"/>
        <v>0</v>
      </c>
      <c r="AB90" s="76">
        <f t="shared" si="31"/>
        <v>0</v>
      </c>
      <c r="AC90" s="76">
        <f t="shared" si="31"/>
        <v>0</v>
      </c>
      <c r="AD90" s="76">
        <f t="shared" si="31"/>
        <v>0</v>
      </c>
      <c r="AE90" s="76">
        <f t="shared" si="31"/>
        <v>0</v>
      </c>
      <c r="AF90" s="76">
        <f t="shared" si="31"/>
        <v>0</v>
      </c>
      <c r="AG90" s="86"/>
      <c r="AH90" s="48">
        <f t="shared" si="14"/>
        <v>0</v>
      </c>
      <c r="AI90" s="49">
        <f t="shared" si="15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>
        <v>0</v>
      </c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4"/>
        <v>0</v>
      </c>
      <c r="AI91" s="49">
        <f t="shared" si="15"/>
        <v>0</v>
      </c>
    </row>
    <row r="92" spans="1:37" ht="15.75" thickBot="1" x14ac:dyDescent="0.3">
      <c r="A92" s="87" t="s">
        <v>94</v>
      </c>
      <c r="B92" s="61">
        <f t="shared" ref="B92" si="32">SUM(B86:B91)</f>
        <v>35.200000000000003</v>
      </c>
      <c r="C92" s="61">
        <f t="shared" ref="C92:AF92" si="33">SUM(C86:C91)</f>
        <v>91.8</v>
      </c>
      <c r="D92" s="61">
        <f t="shared" si="33"/>
        <v>102.1</v>
      </c>
      <c r="E92" s="61">
        <f t="shared" si="33"/>
        <v>88.2</v>
      </c>
      <c r="F92" s="61">
        <f t="shared" si="33"/>
        <v>103.1</v>
      </c>
      <c r="G92" s="61">
        <f t="shared" si="33"/>
        <v>86</v>
      </c>
      <c r="H92" s="61">
        <f t="shared" si="33"/>
        <v>81</v>
      </c>
      <c r="I92" s="61">
        <f t="shared" si="33"/>
        <v>80</v>
      </c>
      <c r="J92" s="61">
        <f t="shared" si="33"/>
        <v>160</v>
      </c>
      <c r="K92" s="61">
        <f t="shared" si="33"/>
        <v>185</v>
      </c>
      <c r="L92" s="61">
        <f t="shared" si="33"/>
        <v>226</v>
      </c>
      <c r="M92" s="61">
        <f t="shared" si="33"/>
        <v>232.8</v>
      </c>
      <c r="N92" s="61">
        <f t="shared" si="33"/>
        <v>220</v>
      </c>
      <c r="O92" s="61">
        <f t="shared" si="33"/>
        <v>10</v>
      </c>
      <c r="P92" s="61">
        <f t="shared" si="33"/>
        <v>15</v>
      </c>
      <c r="Q92" s="61">
        <f t="shared" si="33"/>
        <v>2.5</v>
      </c>
      <c r="R92" s="61">
        <f t="shared" si="33"/>
        <v>38</v>
      </c>
      <c r="S92" s="61">
        <f t="shared" si="33"/>
        <v>0</v>
      </c>
      <c r="T92" s="61">
        <f t="shared" si="33"/>
        <v>0</v>
      </c>
      <c r="U92" s="61">
        <f t="shared" si="33"/>
        <v>11</v>
      </c>
      <c r="V92" s="61">
        <f t="shared" si="33"/>
        <v>161.5</v>
      </c>
      <c r="W92" s="61">
        <f t="shared" si="33"/>
        <v>202.4</v>
      </c>
      <c r="X92" s="61">
        <v>227.6</v>
      </c>
      <c r="Y92" s="61">
        <f t="shared" si="33"/>
        <v>227.6</v>
      </c>
      <c r="Z92" s="61">
        <f t="shared" si="33"/>
        <v>290</v>
      </c>
      <c r="AA92" s="61">
        <f t="shared" si="33"/>
        <v>290</v>
      </c>
      <c r="AB92" s="61">
        <f t="shared" si="33"/>
        <v>270.8</v>
      </c>
      <c r="AC92" s="61">
        <f t="shared" si="33"/>
        <v>269</v>
      </c>
      <c r="AD92" s="61">
        <f t="shared" si="33"/>
        <v>261.8</v>
      </c>
      <c r="AE92" s="61">
        <f t="shared" si="33"/>
        <v>262.60000000000002</v>
      </c>
      <c r="AF92" s="61">
        <f t="shared" si="33"/>
        <v>255</v>
      </c>
      <c r="AG92" s="81"/>
      <c r="AH92" s="48">
        <f t="shared" si="14"/>
        <v>290</v>
      </c>
      <c r="AI92" s="49">
        <f t="shared" si="15"/>
        <v>0</v>
      </c>
      <c r="AK92" s="50"/>
    </row>
    <row r="93" spans="1:37" ht="15.75" thickBot="1" x14ac:dyDescent="0.3">
      <c r="A93" s="74" t="s">
        <v>95</v>
      </c>
      <c r="B93" s="61">
        <f t="shared" ref="B93" si="34">B77-B92</f>
        <v>-35.200000000000003</v>
      </c>
      <c r="C93" s="61">
        <f t="shared" ref="C93:AF93" si="35">C77-C92</f>
        <v>-91.8</v>
      </c>
      <c r="D93" s="61">
        <f t="shared" si="35"/>
        <v>-102.1</v>
      </c>
      <c r="E93" s="61">
        <f t="shared" si="35"/>
        <v>-88.2</v>
      </c>
      <c r="F93" s="61">
        <f t="shared" si="35"/>
        <v>-103.1</v>
      </c>
      <c r="G93" s="61">
        <f t="shared" si="35"/>
        <v>-86</v>
      </c>
      <c r="H93" s="61">
        <f t="shared" si="35"/>
        <v>-81</v>
      </c>
      <c r="I93" s="61">
        <f t="shared" si="35"/>
        <v>-80</v>
      </c>
      <c r="J93" s="61">
        <f t="shared" si="35"/>
        <v>-160</v>
      </c>
      <c r="K93" s="61">
        <f t="shared" si="35"/>
        <v>-185</v>
      </c>
      <c r="L93" s="61">
        <f t="shared" si="35"/>
        <v>-226</v>
      </c>
      <c r="M93" s="61">
        <f t="shared" si="35"/>
        <v>-232.8</v>
      </c>
      <c r="N93" s="61">
        <f t="shared" si="35"/>
        <v>-220</v>
      </c>
      <c r="O93" s="61">
        <f t="shared" si="35"/>
        <v>-10</v>
      </c>
      <c r="P93" s="61">
        <f t="shared" si="35"/>
        <v>-15</v>
      </c>
      <c r="Q93" s="61">
        <f t="shared" si="35"/>
        <v>-2.5</v>
      </c>
      <c r="R93" s="61">
        <f t="shared" si="35"/>
        <v>-38</v>
      </c>
      <c r="S93" s="61">
        <f t="shared" si="35"/>
        <v>0</v>
      </c>
      <c r="T93" s="61">
        <f t="shared" si="35"/>
        <v>0</v>
      </c>
      <c r="U93" s="61">
        <f t="shared" si="35"/>
        <v>-11</v>
      </c>
      <c r="V93" s="61">
        <f t="shared" si="35"/>
        <v>-161.5</v>
      </c>
      <c r="W93" s="61">
        <f t="shared" si="35"/>
        <v>-202.4</v>
      </c>
      <c r="X93" s="61">
        <v>-227.6</v>
      </c>
      <c r="Y93" s="61">
        <f t="shared" si="35"/>
        <v>-227.6</v>
      </c>
      <c r="Z93" s="61">
        <f t="shared" si="35"/>
        <v>-290</v>
      </c>
      <c r="AA93" s="61">
        <f t="shared" si="35"/>
        <v>-290</v>
      </c>
      <c r="AB93" s="61">
        <f t="shared" si="35"/>
        <v>-270.8</v>
      </c>
      <c r="AC93" s="61">
        <f t="shared" si="35"/>
        <v>-269</v>
      </c>
      <c r="AD93" s="61">
        <f t="shared" si="35"/>
        <v>-261.8</v>
      </c>
      <c r="AE93" s="61">
        <f t="shared" si="35"/>
        <v>-262.60000000000002</v>
      </c>
      <c r="AF93" s="61">
        <f t="shared" si="35"/>
        <v>-255</v>
      </c>
      <c r="AG93" s="81"/>
      <c r="AH93" s="48">
        <f t="shared" si="14"/>
        <v>0</v>
      </c>
      <c r="AI93" s="49">
        <f t="shared" si="15"/>
        <v>-290</v>
      </c>
    </row>
    <row r="94" spans="1:37" x14ac:dyDescent="0.25">
      <c r="A94" s="88" t="s">
        <v>96</v>
      </c>
      <c r="B94" s="89">
        <v>50.05</v>
      </c>
      <c r="C94" s="89">
        <v>49.89</v>
      </c>
      <c r="D94" s="89">
        <v>49.89</v>
      </c>
      <c r="E94" s="89">
        <v>50.034999999999997</v>
      </c>
      <c r="F94" s="89">
        <v>49.963999999999999</v>
      </c>
      <c r="G94" s="89">
        <v>50.048000000000002</v>
      </c>
      <c r="H94" s="89">
        <v>50.05</v>
      </c>
      <c r="I94" s="89">
        <v>50.030999999999999</v>
      </c>
      <c r="J94" s="89">
        <v>50.012</v>
      </c>
      <c r="K94" s="89">
        <v>49.869</v>
      </c>
      <c r="L94" s="89">
        <v>49.834000000000003</v>
      </c>
      <c r="M94" s="89">
        <v>49.95</v>
      </c>
      <c r="N94" s="89">
        <v>50.08</v>
      </c>
      <c r="O94" s="89">
        <v>50.015000000000001</v>
      </c>
      <c r="P94" s="89">
        <v>49.993000000000002</v>
      </c>
      <c r="Q94" s="89">
        <v>50.012999999999998</v>
      </c>
      <c r="R94" s="89">
        <v>49.85</v>
      </c>
      <c r="S94" s="89">
        <v>49.98</v>
      </c>
      <c r="T94" s="89">
        <v>50</v>
      </c>
      <c r="U94" s="89">
        <v>49.99</v>
      </c>
      <c r="V94" s="89">
        <v>49.95</v>
      </c>
      <c r="W94" s="89">
        <v>49.74</v>
      </c>
      <c r="X94" s="89">
        <v>49.87</v>
      </c>
      <c r="Y94" s="89">
        <v>50</v>
      </c>
      <c r="Z94" s="89">
        <v>49.97</v>
      </c>
      <c r="AA94" s="89">
        <v>50.04</v>
      </c>
      <c r="AB94" s="89">
        <v>50.07</v>
      </c>
      <c r="AC94" s="89">
        <v>49.953000000000003</v>
      </c>
      <c r="AD94" s="89">
        <v>49.988</v>
      </c>
      <c r="AE94" s="89">
        <v>50.012999999999998</v>
      </c>
      <c r="AF94" s="89">
        <v>50.02</v>
      </c>
      <c r="AG94" s="90"/>
      <c r="AH94" s="48">
        <f t="shared" si="14"/>
        <v>50.08</v>
      </c>
      <c r="AI94" s="49">
        <f t="shared" si="15"/>
        <v>49.74</v>
      </c>
    </row>
    <row r="95" spans="1:37" x14ac:dyDescent="0.25">
      <c r="A95" s="91" t="s">
        <v>97</v>
      </c>
      <c r="B95" s="65">
        <v>126.5</v>
      </c>
      <c r="C95" s="65">
        <v>127.7</v>
      </c>
      <c r="D95" s="65">
        <v>126.5</v>
      </c>
      <c r="E95" s="65">
        <v>127.4</v>
      </c>
      <c r="F95" s="65">
        <v>128.30000000000001</v>
      </c>
      <c r="G95" s="65">
        <v>125.9</v>
      </c>
      <c r="H95" s="65">
        <v>123.9</v>
      </c>
      <c r="I95" s="65">
        <v>124.1</v>
      </c>
      <c r="J95" s="65">
        <v>124.2</v>
      </c>
      <c r="K95" s="65">
        <v>123</v>
      </c>
      <c r="L95" s="65">
        <v>123.3</v>
      </c>
      <c r="M95" s="65">
        <v>122.3</v>
      </c>
      <c r="N95" s="65">
        <v>123</v>
      </c>
      <c r="O95" s="65">
        <v>123.3</v>
      </c>
      <c r="P95" s="65">
        <v>125.3</v>
      </c>
      <c r="Q95" s="65">
        <v>125.3</v>
      </c>
      <c r="R95" s="65">
        <v>125.9</v>
      </c>
      <c r="S95" s="65">
        <v>125</v>
      </c>
      <c r="T95" s="65">
        <v>124.7</v>
      </c>
      <c r="U95" s="65">
        <v>126.5</v>
      </c>
      <c r="V95" s="65">
        <v>125.7</v>
      </c>
      <c r="W95" s="65">
        <v>125.2</v>
      </c>
      <c r="X95" s="65">
        <v>126.2</v>
      </c>
      <c r="Y95" s="65">
        <v>127.2</v>
      </c>
      <c r="Z95" s="65">
        <v>127.2</v>
      </c>
      <c r="AA95" s="65">
        <v>126.6</v>
      </c>
      <c r="AB95" s="65">
        <v>126.7</v>
      </c>
      <c r="AC95" s="65">
        <v>126.8</v>
      </c>
      <c r="AD95" s="65">
        <v>127.5</v>
      </c>
      <c r="AE95" s="65">
        <v>127.8</v>
      </c>
      <c r="AF95" s="65">
        <v>127.4</v>
      </c>
      <c r="AG95" s="92"/>
      <c r="AH95" s="48">
        <f t="shared" si="14"/>
        <v>128.30000000000001</v>
      </c>
      <c r="AI95" s="49">
        <f t="shared" si="15"/>
        <v>122.3</v>
      </c>
    </row>
    <row r="96" spans="1:37" x14ac:dyDescent="0.25">
      <c r="A96" s="91" t="s">
        <v>98</v>
      </c>
      <c r="B96" s="65">
        <v>130.5</v>
      </c>
      <c r="C96" s="65">
        <v>131.5</v>
      </c>
      <c r="D96" s="65">
        <v>130.9</v>
      </c>
      <c r="E96" s="65">
        <v>131.4</v>
      </c>
      <c r="F96" s="65">
        <v>132</v>
      </c>
      <c r="G96" s="65">
        <v>130.30000000000001</v>
      </c>
      <c r="H96" s="65">
        <v>128.19999999999999</v>
      </c>
      <c r="I96" s="65">
        <v>128.19999999999999</v>
      </c>
      <c r="J96" s="65">
        <v>128.1</v>
      </c>
      <c r="K96" s="65">
        <v>127</v>
      </c>
      <c r="L96" s="65">
        <v>127</v>
      </c>
      <c r="M96" s="65">
        <v>126.2</v>
      </c>
      <c r="N96" s="65">
        <v>126.7</v>
      </c>
      <c r="O96" s="65">
        <v>126.9</v>
      </c>
      <c r="P96" s="65">
        <v>128.5</v>
      </c>
      <c r="Q96" s="65">
        <v>128.4</v>
      </c>
      <c r="R96" s="65">
        <v>128.80000000000001</v>
      </c>
      <c r="S96" s="65">
        <v>128.6</v>
      </c>
      <c r="T96" s="65">
        <v>128.1</v>
      </c>
      <c r="U96" s="65">
        <v>129.1</v>
      </c>
      <c r="V96" s="65">
        <v>128.69999999999999</v>
      </c>
      <c r="W96" s="65">
        <v>128</v>
      </c>
      <c r="X96" s="65">
        <v>128.6</v>
      </c>
      <c r="Y96" s="65">
        <v>129.9</v>
      </c>
      <c r="Z96" s="65">
        <v>129.9</v>
      </c>
      <c r="AA96" s="65">
        <v>129.4</v>
      </c>
      <c r="AB96" s="65">
        <v>129.4</v>
      </c>
      <c r="AC96" s="65">
        <v>129.69999999999999</v>
      </c>
      <c r="AD96" s="65">
        <v>130.4</v>
      </c>
      <c r="AE96" s="65">
        <v>131.1</v>
      </c>
      <c r="AF96" s="65">
        <v>131.1</v>
      </c>
      <c r="AG96" s="92"/>
      <c r="AH96" s="48">
        <f t="shared" si="14"/>
        <v>132</v>
      </c>
      <c r="AI96" s="49">
        <f t="shared" si="15"/>
        <v>126.2</v>
      </c>
    </row>
    <row r="97" spans="1:35" x14ac:dyDescent="0.25">
      <c r="A97" s="91" t="s">
        <v>99</v>
      </c>
      <c r="B97" s="65">
        <v>129.9</v>
      </c>
      <c r="C97" s="65">
        <v>131.69999999999999</v>
      </c>
      <c r="D97" s="65">
        <v>130.6</v>
      </c>
      <c r="E97" s="65">
        <v>131.9</v>
      </c>
      <c r="F97" s="65">
        <v>131.69999999999999</v>
      </c>
      <c r="G97" s="65">
        <v>131.30000000000001</v>
      </c>
      <c r="H97" s="65">
        <v>129.4</v>
      </c>
      <c r="I97" s="65">
        <v>127.9</v>
      </c>
      <c r="J97" s="65">
        <v>127</v>
      </c>
      <c r="K97" s="65">
        <v>126</v>
      </c>
      <c r="L97" s="65">
        <v>128.19999999999999</v>
      </c>
      <c r="M97" s="65">
        <v>126.9</v>
      </c>
      <c r="N97" s="65">
        <v>127.7</v>
      </c>
      <c r="O97" s="65">
        <v>129.9</v>
      </c>
      <c r="P97" s="65">
        <v>129.9</v>
      </c>
      <c r="Q97" s="65">
        <v>131</v>
      </c>
      <c r="R97" s="65">
        <v>127.5</v>
      </c>
      <c r="S97" s="65">
        <v>125</v>
      </c>
      <c r="T97" s="65">
        <v>127.8</v>
      </c>
      <c r="U97" s="65">
        <v>129.4</v>
      </c>
      <c r="V97" s="65">
        <v>128.5</v>
      </c>
      <c r="W97" s="65">
        <v>127.1</v>
      </c>
      <c r="X97" s="65">
        <v>130.1</v>
      </c>
      <c r="Y97" s="65">
        <v>131.69999999999999</v>
      </c>
      <c r="Z97" s="65">
        <v>131.69999999999999</v>
      </c>
      <c r="AA97" s="65">
        <v>130.9</v>
      </c>
      <c r="AB97" s="65">
        <v>130</v>
      </c>
      <c r="AC97" s="65">
        <v>131.19999999999999</v>
      </c>
      <c r="AD97" s="65">
        <v>131.19999999999999</v>
      </c>
      <c r="AE97" s="65">
        <v>132.30000000000001</v>
      </c>
      <c r="AF97" s="65">
        <v>131.4</v>
      </c>
      <c r="AG97" s="92"/>
      <c r="AH97" s="48">
        <f t="shared" si="14"/>
        <v>132.30000000000001</v>
      </c>
      <c r="AI97" s="49">
        <f t="shared" si="15"/>
        <v>125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4"/>
        <v>0</v>
      </c>
      <c r="AI98" s="49">
        <f t="shared" si="15"/>
        <v>0</v>
      </c>
    </row>
    <row r="99" spans="1:35" x14ac:dyDescent="0.25">
      <c r="A99" s="93" t="s">
        <v>101</v>
      </c>
      <c r="B99" s="94">
        <v>134.6</v>
      </c>
      <c r="C99" s="94">
        <v>134</v>
      </c>
      <c r="D99" s="94">
        <v>135.4</v>
      </c>
      <c r="E99" s="94">
        <v>133.30000000000001</v>
      </c>
      <c r="F99" s="94">
        <v>135.19999999999999</v>
      </c>
      <c r="G99" s="94">
        <v>132.5</v>
      </c>
      <c r="H99" s="94">
        <v>131.80000000000001</v>
      </c>
      <c r="I99" s="94">
        <v>132.1</v>
      </c>
      <c r="J99" s="94">
        <v>131</v>
      </c>
      <c r="K99" s="94">
        <v>131</v>
      </c>
      <c r="L99" s="94">
        <v>133</v>
      </c>
      <c r="M99" s="94">
        <v>133.1</v>
      </c>
      <c r="N99" s="94">
        <v>135.5</v>
      </c>
      <c r="O99" s="94">
        <v>133.30000000000001</v>
      </c>
      <c r="P99" s="94">
        <v>134</v>
      </c>
      <c r="Q99" s="94">
        <v>132.4</v>
      </c>
      <c r="R99" s="94">
        <v>134.30000000000001</v>
      </c>
      <c r="S99" s="94">
        <v>132.30000000000001</v>
      </c>
      <c r="T99" s="94">
        <v>133.30000000000001</v>
      </c>
      <c r="U99" s="94">
        <v>132.4</v>
      </c>
      <c r="V99" s="94">
        <v>134.80000000000001</v>
      </c>
      <c r="W99" s="94">
        <v>133.4</v>
      </c>
      <c r="X99" s="94">
        <v>133.1</v>
      </c>
      <c r="Y99" s="94">
        <v>133.80000000000001</v>
      </c>
      <c r="Z99" s="94">
        <v>133.80000000000001</v>
      </c>
      <c r="AA99" s="94">
        <v>134.19999999999999</v>
      </c>
      <c r="AB99" s="94">
        <v>133.1</v>
      </c>
      <c r="AC99" s="94">
        <v>133.4</v>
      </c>
      <c r="AD99" s="94">
        <v>134.19999999999999</v>
      </c>
      <c r="AE99" s="94">
        <v>134.19999999999999</v>
      </c>
      <c r="AF99" s="94">
        <v>135.80000000000001</v>
      </c>
      <c r="AG99" s="95"/>
      <c r="AH99" s="48">
        <f t="shared" si="14"/>
        <v>135.80000000000001</v>
      </c>
      <c r="AI99" s="49">
        <f t="shared" si="15"/>
        <v>131</v>
      </c>
    </row>
    <row r="100" spans="1:35" x14ac:dyDescent="0.25">
      <c r="A100" s="91" t="s">
        <v>102</v>
      </c>
      <c r="B100" s="65">
        <v>133.69999999999999</v>
      </c>
      <c r="C100" s="65">
        <v>133.9</v>
      </c>
      <c r="D100" s="65">
        <v>135.1</v>
      </c>
      <c r="E100" s="65">
        <v>134.30000000000001</v>
      </c>
      <c r="F100" s="65">
        <v>135.5</v>
      </c>
      <c r="G100" s="65">
        <v>133.1</v>
      </c>
      <c r="H100" s="65">
        <v>131.6</v>
      </c>
      <c r="I100" s="65">
        <v>130</v>
      </c>
      <c r="J100" s="65">
        <v>126.6</v>
      </c>
      <c r="K100" s="65">
        <v>128</v>
      </c>
      <c r="L100" s="65">
        <v>128</v>
      </c>
      <c r="M100" s="65">
        <v>125.4</v>
      </c>
      <c r="N100" s="65">
        <v>130.30000000000001</v>
      </c>
      <c r="O100" s="65">
        <v>129</v>
      </c>
      <c r="P100" s="65">
        <v>132.19999999999999</v>
      </c>
      <c r="Q100" s="65">
        <v>132.19999999999999</v>
      </c>
      <c r="R100" s="65">
        <v>132.1</v>
      </c>
      <c r="S100" s="65">
        <v>129</v>
      </c>
      <c r="T100" s="65">
        <v>128.1</v>
      </c>
      <c r="U100" s="65">
        <v>127.6</v>
      </c>
      <c r="V100" s="65">
        <v>129.4</v>
      </c>
      <c r="W100" s="65">
        <v>127.2</v>
      </c>
      <c r="X100" s="65">
        <v>131</v>
      </c>
      <c r="Y100" s="65">
        <v>131.9</v>
      </c>
      <c r="Z100" s="65">
        <v>131.9</v>
      </c>
      <c r="AA100" s="65">
        <v>131.6</v>
      </c>
      <c r="AB100" s="65">
        <v>131.4</v>
      </c>
      <c r="AC100" s="65">
        <v>131.80000000000001</v>
      </c>
      <c r="AD100" s="65">
        <v>132.9</v>
      </c>
      <c r="AE100" s="65">
        <v>134.5</v>
      </c>
      <c r="AF100" s="65">
        <v>134</v>
      </c>
      <c r="AG100" s="92"/>
      <c r="AH100" s="48">
        <f t="shared" si="14"/>
        <v>135.5</v>
      </c>
      <c r="AI100" s="49">
        <f t="shared" si="15"/>
        <v>125.4</v>
      </c>
    </row>
    <row r="101" spans="1:35" ht="15.75" thickBot="1" x14ac:dyDescent="0.3">
      <c r="A101" s="91" t="s">
        <v>104</v>
      </c>
      <c r="B101" s="96">
        <v>65.8</v>
      </c>
      <c r="C101" s="96">
        <v>66.2</v>
      </c>
      <c r="D101" s="96">
        <v>66</v>
      </c>
      <c r="E101" s="96">
        <v>66.2</v>
      </c>
      <c r="F101" s="96">
        <v>66.5</v>
      </c>
      <c r="G101" s="96">
        <v>65.599999999999994</v>
      </c>
      <c r="H101" s="96">
        <v>64.5</v>
      </c>
      <c r="I101" s="96">
        <v>64.5</v>
      </c>
      <c r="J101" s="96">
        <v>64.7</v>
      </c>
      <c r="K101" s="96">
        <v>64</v>
      </c>
      <c r="L101" s="96">
        <v>64.2</v>
      </c>
      <c r="M101" s="96">
        <v>63.6</v>
      </c>
      <c r="N101" s="96">
        <v>64</v>
      </c>
      <c r="O101" s="96">
        <v>63.9</v>
      </c>
      <c r="P101" s="96">
        <v>64.599999999999994</v>
      </c>
      <c r="Q101" s="96">
        <v>64.3</v>
      </c>
      <c r="R101" s="96">
        <v>64</v>
      </c>
      <c r="S101" s="96">
        <v>64.599999999999994</v>
      </c>
      <c r="T101" s="96">
        <v>64.5</v>
      </c>
      <c r="U101" s="96">
        <v>65.099999999999994</v>
      </c>
      <c r="V101" s="96">
        <v>64.8</v>
      </c>
      <c r="W101" s="96">
        <v>64.599999999999994</v>
      </c>
      <c r="X101" s="96">
        <v>64.8</v>
      </c>
      <c r="Y101" s="96">
        <v>65.599999999999994</v>
      </c>
      <c r="Z101" s="96">
        <v>65.599999999999994</v>
      </c>
      <c r="AA101" s="96">
        <v>65.2</v>
      </c>
      <c r="AB101" s="96">
        <v>65.099999999999994</v>
      </c>
      <c r="AC101" s="96">
        <v>65.400000000000006</v>
      </c>
      <c r="AD101" s="96">
        <v>65.8</v>
      </c>
      <c r="AE101" s="96">
        <v>66.3</v>
      </c>
      <c r="AF101" s="96">
        <v>66</v>
      </c>
      <c r="AG101" s="97"/>
      <c r="AH101" s="48">
        <f t="shared" si="14"/>
        <v>66.5</v>
      </c>
      <c r="AI101" s="49">
        <f t="shared" si="15"/>
        <v>63.6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 t="s">
        <v>248</v>
      </c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4"/>
        <v>0</v>
      </c>
      <c r="AI102" s="49">
        <f t="shared" si="15"/>
        <v>0</v>
      </c>
    </row>
    <row r="103" spans="1:35" ht="15.75" thickBot="1" x14ac:dyDescent="0.3">
      <c r="A103" s="99" t="s">
        <v>105</v>
      </c>
      <c r="B103" s="100">
        <f t="shared" ref="B103:W103" si="36">SUM(B16,B22,B25:B26,B51,B53:B54,B56,B58,B104:B108,B130,B136,B142,B151,B153,B165,B172,B175:B176,B183,B185,B187,B191:B193,B195:B197,B202,B208:B209,B211:B213,B221,B226)</f>
        <v>67.5</v>
      </c>
      <c r="C103" s="100">
        <f t="shared" si="36"/>
        <v>66.84</v>
      </c>
      <c r="D103" s="100">
        <f t="shared" si="36"/>
        <v>62.539999999999978</v>
      </c>
      <c r="E103" s="100">
        <f t="shared" si="36"/>
        <v>55.640000000000008</v>
      </c>
      <c r="F103" s="100">
        <f t="shared" si="36"/>
        <v>62.340000000000018</v>
      </c>
      <c r="G103" s="100">
        <f t="shared" si="36"/>
        <v>86.84</v>
      </c>
      <c r="H103" s="100">
        <f t="shared" si="36"/>
        <v>117.14000000000001</v>
      </c>
      <c r="I103" s="100">
        <f t="shared" si="36"/>
        <v>134.13999999999999</v>
      </c>
      <c r="J103" s="100">
        <f t="shared" si="36"/>
        <v>176.74</v>
      </c>
      <c r="K103" s="100">
        <f t="shared" si="36"/>
        <v>224.94</v>
      </c>
      <c r="L103" s="100">
        <f t="shared" si="36"/>
        <v>266.54000000000002</v>
      </c>
      <c r="M103" s="100">
        <f t="shared" si="36"/>
        <v>265.44</v>
      </c>
      <c r="N103" s="100">
        <f t="shared" si="36"/>
        <v>241.34</v>
      </c>
      <c r="O103" s="100">
        <f t="shared" si="36"/>
        <v>232.94000000000005</v>
      </c>
      <c r="P103" s="100">
        <f t="shared" si="36"/>
        <v>213.03999999999996</v>
      </c>
      <c r="Q103" s="100">
        <f t="shared" si="36"/>
        <v>196.7</v>
      </c>
      <c r="R103" s="100">
        <f t="shared" si="36"/>
        <v>186</v>
      </c>
      <c r="S103" s="100">
        <f t="shared" si="36"/>
        <v>189.39999999999998</v>
      </c>
      <c r="T103" s="100">
        <f t="shared" si="36"/>
        <v>193.00000000000003</v>
      </c>
      <c r="U103" s="100">
        <f t="shared" si="36"/>
        <v>213.5</v>
      </c>
      <c r="V103" s="100">
        <f t="shared" si="36"/>
        <v>234.79999999999998</v>
      </c>
      <c r="W103" s="100">
        <f t="shared" si="36"/>
        <v>266.8</v>
      </c>
      <c r="X103" s="100">
        <v>354.99708333333331</v>
      </c>
      <c r="Y103" s="100">
        <f t="shared" ref="Y103:AF103" si="37">SUM(Y16,Y22,Y25:Y26,Y51,Y53:Y54,Y56,Y58,Y104:Y108,Y130,Y136,Y142,Y151,Y153,Y165,Y172,Y175:Y176,Y183,Y185,Y187,Y191:Y193,Y195:Y197,Y202,Y208:Y209,Y211:Y213,Y221,Y226)</f>
        <v>272.8</v>
      </c>
      <c r="Z103" s="100">
        <f t="shared" si="37"/>
        <v>268.3</v>
      </c>
      <c r="AA103" s="100">
        <f t="shared" si="37"/>
        <v>253.30000000000004</v>
      </c>
      <c r="AB103" s="100">
        <f t="shared" si="37"/>
        <v>228.50000000000003</v>
      </c>
      <c r="AC103" s="100">
        <f t="shared" si="37"/>
        <v>222</v>
      </c>
      <c r="AD103" s="100">
        <f t="shared" si="37"/>
        <v>193.50000000000006</v>
      </c>
      <c r="AE103" s="100">
        <f t="shared" si="37"/>
        <v>131.30000000000004</v>
      </c>
      <c r="AF103" s="100">
        <f t="shared" si="37"/>
        <v>87.000000000000028</v>
      </c>
      <c r="AG103" s="101"/>
      <c r="AH103" s="48">
        <f t="shared" si="14"/>
        <v>354.99708333333331</v>
      </c>
      <c r="AI103" s="49">
        <f t="shared" si="15"/>
        <v>55.640000000000008</v>
      </c>
    </row>
    <row r="104" spans="1:35" x14ac:dyDescent="0.25">
      <c r="A104" s="88" t="s">
        <v>106</v>
      </c>
      <c r="B104" s="102">
        <v>27.4</v>
      </c>
      <c r="C104" s="102">
        <v>24.5</v>
      </c>
      <c r="D104" s="102">
        <v>27.6</v>
      </c>
      <c r="E104" s="102">
        <v>23.1</v>
      </c>
      <c r="F104" s="102">
        <v>21.4</v>
      </c>
      <c r="G104" s="102">
        <v>11.5</v>
      </c>
      <c r="H104" s="102">
        <v>21.8</v>
      </c>
      <c r="I104" s="102">
        <v>26.9</v>
      </c>
      <c r="J104" s="102">
        <v>40.700000000000003</v>
      </c>
      <c r="K104" s="102">
        <v>43</v>
      </c>
      <c r="L104" s="102">
        <v>45.3</v>
      </c>
      <c r="M104" s="102">
        <v>46.6</v>
      </c>
      <c r="N104" s="102">
        <v>48.7</v>
      </c>
      <c r="O104" s="102">
        <v>47.8</v>
      </c>
      <c r="P104" s="102">
        <v>45.8</v>
      </c>
      <c r="Q104" s="102">
        <v>50.1</v>
      </c>
      <c r="R104" s="102">
        <v>52.2</v>
      </c>
      <c r="S104" s="102">
        <v>48</v>
      </c>
      <c r="T104" s="102">
        <v>52.2</v>
      </c>
      <c r="U104" s="102">
        <v>44.1</v>
      </c>
      <c r="V104" s="102">
        <v>47.2</v>
      </c>
      <c r="W104" s="102">
        <v>39.5</v>
      </c>
      <c r="X104" s="102">
        <v>36.6</v>
      </c>
      <c r="Y104" s="102">
        <v>36.6</v>
      </c>
      <c r="Z104" s="102">
        <v>50</v>
      </c>
      <c r="AA104" s="102">
        <v>57.9</v>
      </c>
      <c r="AB104" s="102">
        <v>59.2</v>
      </c>
      <c r="AC104" s="102">
        <v>59.8</v>
      </c>
      <c r="AD104" s="102">
        <v>60.4</v>
      </c>
      <c r="AE104" s="102">
        <v>49.4</v>
      </c>
      <c r="AF104" s="102">
        <v>30.9</v>
      </c>
      <c r="AG104" s="103">
        <v>75</v>
      </c>
      <c r="AH104" s="48">
        <f t="shared" si="14"/>
        <v>60.4</v>
      </c>
      <c r="AI104" s="49">
        <f t="shared" si="15"/>
        <v>11.5</v>
      </c>
    </row>
    <row r="105" spans="1:35" x14ac:dyDescent="0.25">
      <c r="A105" s="91" t="s">
        <v>107</v>
      </c>
      <c r="B105" s="104">
        <v>43.1</v>
      </c>
      <c r="C105" s="104">
        <v>41</v>
      </c>
      <c r="D105" s="104">
        <v>45.5</v>
      </c>
      <c r="E105" s="104">
        <v>38.200000000000003</v>
      </c>
      <c r="F105" s="104">
        <v>35.9</v>
      </c>
      <c r="G105" s="104">
        <v>21.3</v>
      </c>
      <c r="H105" s="104">
        <v>34.299999999999997</v>
      </c>
      <c r="I105" s="104">
        <v>41.3</v>
      </c>
      <c r="J105" s="104">
        <v>64.8</v>
      </c>
      <c r="K105" s="104">
        <v>65</v>
      </c>
      <c r="L105" s="104">
        <v>69.3</v>
      </c>
      <c r="M105" s="104">
        <v>72.099999999999994</v>
      </c>
      <c r="N105" s="104">
        <v>74.8</v>
      </c>
      <c r="O105" s="104">
        <v>71.900000000000006</v>
      </c>
      <c r="P105" s="104">
        <v>65.2</v>
      </c>
      <c r="Q105" s="104">
        <v>72.2</v>
      </c>
      <c r="R105" s="104">
        <v>76.400000000000006</v>
      </c>
      <c r="S105" s="104">
        <v>71</v>
      </c>
      <c r="T105" s="104">
        <v>76.599999999999994</v>
      </c>
      <c r="U105" s="104">
        <v>65</v>
      </c>
      <c r="V105" s="104">
        <v>67.900000000000006</v>
      </c>
      <c r="W105" s="104">
        <v>56.8</v>
      </c>
      <c r="X105" s="104">
        <v>51.9</v>
      </c>
      <c r="Y105" s="104">
        <v>51.9</v>
      </c>
      <c r="Z105" s="104">
        <v>72</v>
      </c>
      <c r="AA105" s="104">
        <v>83.4</v>
      </c>
      <c r="AB105" s="104">
        <v>85.6</v>
      </c>
      <c r="AC105" s="104">
        <v>87.4</v>
      </c>
      <c r="AD105" s="104">
        <v>88</v>
      </c>
      <c r="AE105" s="104">
        <v>72.7</v>
      </c>
      <c r="AF105" s="104">
        <v>49.9</v>
      </c>
      <c r="AG105" s="103">
        <v>240</v>
      </c>
      <c r="AH105" s="48">
        <f t="shared" si="14"/>
        <v>88</v>
      </c>
      <c r="AI105" s="49">
        <f t="shared" si="15"/>
        <v>21.3</v>
      </c>
    </row>
    <row r="106" spans="1:35" x14ac:dyDescent="0.25">
      <c r="A106" s="91" t="s">
        <v>108</v>
      </c>
      <c r="B106" s="104">
        <f>-59.5-63.4</f>
        <v>-122.9</v>
      </c>
      <c r="C106" s="104">
        <f>-59-62.3</f>
        <v>-121.3</v>
      </c>
      <c r="D106" s="104">
        <f>-64.8-69</f>
        <v>-133.80000000000001</v>
      </c>
      <c r="E106" s="104">
        <f>-61-64</f>
        <v>-125</v>
      </c>
      <c r="F106" s="104">
        <f>-56-59.1</f>
        <v>-115.1</v>
      </c>
      <c r="G106" s="104">
        <f>-36-38</f>
        <v>-74</v>
      </c>
      <c r="H106" s="104">
        <f>-32-34</f>
        <v>-66</v>
      </c>
      <c r="I106" s="104">
        <f>-29.5-32.4</f>
        <v>-61.9</v>
      </c>
      <c r="J106" s="104">
        <f>-32.6-36</f>
        <v>-68.599999999999994</v>
      </c>
      <c r="K106" s="104">
        <f>-16-17</f>
        <v>-33</v>
      </c>
      <c r="L106" s="104">
        <f>-14-17</f>
        <v>-31</v>
      </c>
      <c r="M106" s="104">
        <v>-20.9</v>
      </c>
      <c r="N106" s="104">
        <f>-22-24</f>
        <v>-46</v>
      </c>
      <c r="O106" s="104">
        <f>-23-26</f>
        <v>-49</v>
      </c>
      <c r="P106" s="104">
        <f>-29-31</f>
        <v>-60</v>
      </c>
      <c r="Q106" s="104">
        <f>-40-42.7</f>
        <v>-82.7</v>
      </c>
      <c r="R106" s="104">
        <f>-46.7-49.6</f>
        <v>-96.300000000000011</v>
      </c>
      <c r="S106" s="104">
        <v>-85</v>
      </c>
      <c r="T106" s="104">
        <f>-44-47.5</f>
        <v>-91.5</v>
      </c>
      <c r="U106" s="104">
        <f>-25.6-27.1</f>
        <v>-52.7</v>
      </c>
      <c r="V106" s="104">
        <f>-18.1-19.6</f>
        <v>-37.700000000000003</v>
      </c>
      <c r="W106" s="104">
        <f>-13-0</f>
        <v>-13</v>
      </c>
      <c r="X106" s="104">
        <v>-12.700000000000001</v>
      </c>
      <c r="Y106" s="104">
        <v>-12.700000000000001</v>
      </c>
      <c r="Z106" s="104">
        <v>-28</v>
      </c>
      <c r="AA106" s="104">
        <f>-28.6-24.1</f>
        <v>-52.7</v>
      </c>
      <c r="AB106" s="104">
        <f>-36.7-39.5</f>
        <v>-76.2</v>
      </c>
      <c r="AC106" s="104">
        <f>-39.8-43.1</f>
        <v>-82.9</v>
      </c>
      <c r="AD106" s="104">
        <f>-51-55</f>
        <v>-106</v>
      </c>
      <c r="AE106" s="104">
        <f>-65-69</f>
        <v>-134</v>
      </c>
      <c r="AF106" s="104">
        <f>-61-65</f>
        <v>-126</v>
      </c>
      <c r="AG106" s="103">
        <v>240</v>
      </c>
      <c r="AH106" s="48">
        <f t="shared" si="14"/>
        <v>-12.700000000000001</v>
      </c>
      <c r="AI106" s="49">
        <f t="shared" si="15"/>
        <v>-134</v>
      </c>
    </row>
    <row r="107" spans="1:35" x14ac:dyDescent="0.25">
      <c r="A107" s="91" t="s">
        <v>109</v>
      </c>
      <c r="B107" s="104">
        <v>-10.6</v>
      </c>
      <c r="C107" s="104">
        <v>-8.8000000000000007</v>
      </c>
      <c r="D107" s="104">
        <v>-8.1999999999999993</v>
      </c>
      <c r="E107" s="104">
        <v>-12.1</v>
      </c>
      <c r="F107" s="104">
        <v>-11.3</v>
      </c>
      <c r="G107" s="104">
        <v>-3.4</v>
      </c>
      <c r="H107" s="104">
        <v>-4.4000000000000004</v>
      </c>
      <c r="I107" s="104">
        <v>-3.6</v>
      </c>
      <c r="J107" s="104">
        <v>-1.6</v>
      </c>
      <c r="K107" s="104">
        <v>8.5</v>
      </c>
      <c r="L107" s="104">
        <v>32.5</v>
      </c>
      <c r="M107" s="104">
        <v>13.2</v>
      </c>
      <c r="N107" s="104">
        <v>9.4</v>
      </c>
      <c r="O107" s="104">
        <v>7.8</v>
      </c>
      <c r="P107" s="104">
        <v>8.6999999999999993</v>
      </c>
      <c r="Q107" s="104">
        <v>4.7</v>
      </c>
      <c r="R107" s="104">
        <v>1.3</v>
      </c>
      <c r="S107" s="104">
        <v>4</v>
      </c>
      <c r="T107" s="104">
        <v>4.9000000000000004</v>
      </c>
      <c r="U107" s="104">
        <v>8.3000000000000007</v>
      </c>
      <c r="V107" s="104">
        <v>10.6</v>
      </c>
      <c r="W107" s="104">
        <v>37.1</v>
      </c>
      <c r="X107" s="104">
        <v>49.7</v>
      </c>
      <c r="Y107" s="104">
        <v>49.7</v>
      </c>
      <c r="Z107" s="104">
        <v>27</v>
      </c>
      <c r="AA107" s="104">
        <v>17.399999999999999</v>
      </c>
      <c r="AB107" s="104">
        <v>12.6</v>
      </c>
      <c r="AC107" s="104">
        <v>10.4</v>
      </c>
      <c r="AD107" s="104">
        <v>3.8</v>
      </c>
      <c r="AE107" s="104">
        <v>-4.0999999999999996</v>
      </c>
      <c r="AF107" s="104">
        <v>-8.1</v>
      </c>
      <c r="AG107" s="103">
        <v>60</v>
      </c>
      <c r="AH107" s="48">
        <f t="shared" si="14"/>
        <v>49.7</v>
      </c>
      <c r="AI107" s="49">
        <f t="shared" si="15"/>
        <v>-12.1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14"/>
        <v>0</v>
      </c>
      <c r="AI108" s="49">
        <f t="shared" si="15"/>
        <v>0</v>
      </c>
    </row>
    <row r="109" spans="1:35" x14ac:dyDescent="0.25">
      <c r="A109" s="105" t="s">
        <v>111</v>
      </c>
      <c r="B109" s="106">
        <v>16.600000000000001</v>
      </c>
      <c r="C109" s="106">
        <v>-2.5</v>
      </c>
      <c r="D109" s="106">
        <v>-0.7</v>
      </c>
      <c r="E109" s="106">
        <v>6.4</v>
      </c>
      <c r="F109" s="106">
        <v>15</v>
      </c>
      <c r="G109" s="106">
        <v>62.4</v>
      </c>
      <c r="H109" s="106">
        <v>70</v>
      </c>
      <c r="I109" s="106">
        <v>66.099999999999994</v>
      </c>
      <c r="J109" s="106">
        <v>48.3</v>
      </c>
      <c r="K109" s="106">
        <v>89</v>
      </c>
      <c r="L109" s="106">
        <v>84</v>
      </c>
      <c r="M109" s="106">
        <v>83.5</v>
      </c>
      <c r="N109" s="106">
        <v>63.3</v>
      </c>
      <c r="O109" s="106">
        <v>57.5</v>
      </c>
      <c r="P109" s="106">
        <v>51.6</v>
      </c>
      <c r="Q109" s="106">
        <v>33.700000000000003</v>
      </c>
      <c r="R109" s="106">
        <v>7.1</v>
      </c>
      <c r="S109" s="106">
        <v>26</v>
      </c>
      <c r="T109" s="106">
        <v>9.6</v>
      </c>
      <c r="U109" s="106">
        <v>39.799999999999997</v>
      </c>
      <c r="V109" s="106">
        <v>46.8</v>
      </c>
      <c r="W109" s="106">
        <v>77.599999999999994</v>
      </c>
      <c r="X109" s="106">
        <v>73.8</v>
      </c>
      <c r="Y109" s="106">
        <v>73.8</v>
      </c>
      <c r="Z109" s="106">
        <v>50</v>
      </c>
      <c r="AA109" s="106">
        <v>20.8</v>
      </c>
      <c r="AB109" s="106">
        <v>2.9</v>
      </c>
      <c r="AC109" s="106">
        <v>-9.1</v>
      </c>
      <c r="AD109" s="106">
        <v>-22.9</v>
      </c>
      <c r="AE109" s="106">
        <v>31.6</v>
      </c>
      <c r="AF109" s="106">
        <v>-3</v>
      </c>
      <c r="AG109" s="107"/>
      <c r="AH109" s="48">
        <f t="shared" si="14"/>
        <v>89</v>
      </c>
      <c r="AI109" s="49">
        <f t="shared" si="15"/>
        <v>-22.9</v>
      </c>
    </row>
    <row r="110" spans="1:35" x14ac:dyDescent="0.25">
      <c r="A110" s="105" t="s">
        <v>112</v>
      </c>
      <c r="B110" s="106">
        <v>10.199999999999999</v>
      </c>
      <c r="C110" s="106">
        <v>9.4</v>
      </c>
      <c r="D110" s="106">
        <v>0.1</v>
      </c>
      <c r="E110" s="106">
        <v>8.4</v>
      </c>
      <c r="F110" s="106">
        <v>19</v>
      </c>
      <c r="G110" s="106">
        <v>30.8</v>
      </c>
      <c r="H110" s="106">
        <v>15.4</v>
      </c>
      <c r="I110" s="106">
        <v>15.8</v>
      </c>
      <c r="J110" s="106">
        <v>22.2</v>
      </c>
      <c r="K110" s="106">
        <v>28</v>
      </c>
      <c r="L110" s="106">
        <v>22.2</v>
      </c>
      <c r="M110" s="106">
        <v>25</v>
      </c>
      <c r="N110" s="106">
        <v>16.3</v>
      </c>
      <c r="O110" s="106">
        <v>13.1</v>
      </c>
      <c r="P110" s="106">
        <v>13.6</v>
      </c>
      <c r="Q110" s="106">
        <v>2.1</v>
      </c>
      <c r="R110" s="106">
        <v>4.7</v>
      </c>
      <c r="S110" s="106">
        <v>13</v>
      </c>
      <c r="T110" s="106">
        <v>3.8</v>
      </c>
      <c r="U110" s="106">
        <v>26.5</v>
      </c>
      <c r="V110" s="106">
        <v>18.899999999999999</v>
      </c>
      <c r="W110" s="106">
        <v>46.1</v>
      </c>
      <c r="X110" s="106">
        <v>48.1</v>
      </c>
      <c r="Y110" s="106">
        <v>48.1</v>
      </c>
      <c r="Z110" s="106">
        <v>20</v>
      </c>
      <c r="AA110" s="106">
        <v>1.9</v>
      </c>
      <c r="AB110" s="106">
        <v>-3.2</v>
      </c>
      <c r="AC110" s="106">
        <v>4.2</v>
      </c>
      <c r="AD110" s="106">
        <v>-4.9000000000000004</v>
      </c>
      <c r="AE110" s="106">
        <v>-14.6</v>
      </c>
      <c r="AF110" s="106">
        <v>8.6</v>
      </c>
      <c r="AG110" s="108"/>
      <c r="AH110" s="48">
        <f t="shared" si="14"/>
        <v>48.1</v>
      </c>
      <c r="AI110" s="49">
        <f t="shared" si="15"/>
        <v>-14.6</v>
      </c>
    </row>
    <row r="111" spans="1:35" x14ac:dyDescent="0.25">
      <c r="A111" s="109" t="s">
        <v>113</v>
      </c>
      <c r="B111" s="94">
        <v>50.2</v>
      </c>
      <c r="C111" s="94">
        <v>54.1</v>
      </c>
      <c r="D111" s="94">
        <v>54</v>
      </c>
      <c r="E111" s="94">
        <v>55.5</v>
      </c>
      <c r="F111" s="94">
        <v>56.7</v>
      </c>
      <c r="G111" s="94">
        <v>54.2</v>
      </c>
      <c r="H111" s="94">
        <v>49.6</v>
      </c>
      <c r="I111" s="94">
        <v>47.1</v>
      </c>
      <c r="J111" s="94">
        <v>41</v>
      </c>
      <c r="K111" s="94">
        <v>38</v>
      </c>
      <c r="L111" s="94">
        <v>33.299999999999997</v>
      </c>
      <c r="M111" s="94">
        <v>30.1</v>
      </c>
      <c r="N111" s="94">
        <v>22.2</v>
      </c>
      <c r="O111" s="94">
        <v>42.4</v>
      </c>
      <c r="P111" s="94">
        <v>43.4</v>
      </c>
      <c r="Q111" s="94">
        <v>46.2</v>
      </c>
      <c r="R111" s="94">
        <v>52</v>
      </c>
      <c r="S111" s="94">
        <v>47</v>
      </c>
      <c r="T111" s="94">
        <v>43.4</v>
      </c>
      <c r="U111" s="94">
        <v>25.9</v>
      </c>
      <c r="V111" s="94">
        <v>24.2</v>
      </c>
      <c r="W111" s="94">
        <v>6.7</v>
      </c>
      <c r="X111" s="94">
        <v>67.8</v>
      </c>
      <c r="Y111" s="94">
        <v>67.8</v>
      </c>
      <c r="Z111" s="94">
        <v>27</v>
      </c>
      <c r="AA111" s="94">
        <v>39.5</v>
      </c>
      <c r="AB111" s="94">
        <v>45.1</v>
      </c>
      <c r="AC111" s="94">
        <v>48</v>
      </c>
      <c r="AD111" s="94">
        <v>43.4</v>
      </c>
      <c r="AE111" s="94">
        <v>51.6</v>
      </c>
      <c r="AF111" s="94">
        <v>45.9</v>
      </c>
      <c r="AG111" s="108"/>
      <c r="AH111" s="48">
        <f t="shared" si="14"/>
        <v>67.8</v>
      </c>
      <c r="AI111" s="49">
        <f t="shared" si="15"/>
        <v>6.7</v>
      </c>
    </row>
    <row r="112" spans="1:35" ht="15.75" thickBot="1" x14ac:dyDescent="0.3">
      <c r="A112" s="109" t="s">
        <v>114</v>
      </c>
      <c r="B112" s="94">
        <v>81.8</v>
      </c>
      <c r="C112" s="94">
        <v>84.5</v>
      </c>
      <c r="D112" s="94">
        <v>96.3</v>
      </c>
      <c r="E112" s="94">
        <v>86.2</v>
      </c>
      <c r="F112" s="94">
        <v>75.599999999999994</v>
      </c>
      <c r="G112" s="94">
        <v>45.7</v>
      </c>
      <c r="H112" s="94">
        <v>46.5</v>
      </c>
      <c r="I112" s="94">
        <v>41.6</v>
      </c>
      <c r="J112" s="94">
        <v>52.4</v>
      </c>
      <c r="K112" s="94">
        <v>22</v>
      </c>
      <c r="L112" s="94">
        <v>29.4</v>
      </c>
      <c r="M112" s="94">
        <v>23.7</v>
      </c>
      <c r="N112" s="94">
        <v>35.4</v>
      </c>
      <c r="O112" s="94">
        <v>39.200000000000003</v>
      </c>
      <c r="P112" s="94">
        <v>45.1</v>
      </c>
      <c r="Q112" s="94">
        <v>64.3</v>
      </c>
      <c r="R112" s="94">
        <v>72.099999999999994</v>
      </c>
      <c r="S112" s="94">
        <v>62</v>
      </c>
      <c r="T112" s="94">
        <v>69.7</v>
      </c>
      <c r="U112" s="94">
        <v>35.799999999999997</v>
      </c>
      <c r="V112" s="94">
        <v>29.9</v>
      </c>
      <c r="W112" s="94">
        <v>2.2000000000000002</v>
      </c>
      <c r="X112" s="94">
        <v>74</v>
      </c>
      <c r="Y112" s="94">
        <v>58</v>
      </c>
      <c r="Z112" s="94">
        <v>26</v>
      </c>
      <c r="AA112" s="94">
        <v>46.6</v>
      </c>
      <c r="AB112" s="94">
        <v>65</v>
      </c>
      <c r="AC112" s="94">
        <v>66.099999999999994</v>
      </c>
      <c r="AD112" s="94">
        <v>81.900000000000006</v>
      </c>
      <c r="AE112" s="94">
        <v>101.4</v>
      </c>
      <c r="AF112" s="94">
        <v>95</v>
      </c>
      <c r="AG112" s="108"/>
      <c r="AH112" s="48">
        <f t="shared" si="14"/>
        <v>101.4</v>
      </c>
      <c r="AI112" s="49">
        <f t="shared" si="15"/>
        <v>2.2000000000000002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38">SUM(B114:B218)</f>
        <v>0</v>
      </c>
      <c r="C219" s="125">
        <f t="shared" si="38"/>
        <v>0</v>
      </c>
      <c r="D219" s="125">
        <f t="shared" si="38"/>
        <v>0</v>
      </c>
      <c r="E219" s="125">
        <f t="shared" si="38"/>
        <v>0</v>
      </c>
      <c r="F219" s="125">
        <f t="shared" si="38"/>
        <v>0</v>
      </c>
      <c r="G219" s="125">
        <f t="shared" si="38"/>
        <v>0</v>
      </c>
      <c r="H219" s="125">
        <f t="shared" si="38"/>
        <v>0</v>
      </c>
      <c r="I219" s="125">
        <f t="shared" si="38"/>
        <v>0</v>
      </c>
      <c r="J219" s="125">
        <f t="shared" si="38"/>
        <v>0</v>
      </c>
      <c r="K219" s="125">
        <f t="shared" si="38"/>
        <v>0</v>
      </c>
      <c r="L219" s="125">
        <f t="shared" si="38"/>
        <v>0</v>
      </c>
      <c r="M219" s="125">
        <f t="shared" si="38"/>
        <v>0</v>
      </c>
      <c r="N219" s="125">
        <f t="shared" si="38"/>
        <v>0</v>
      </c>
      <c r="O219" s="125">
        <f t="shared" si="38"/>
        <v>0</v>
      </c>
      <c r="P219" s="125">
        <f t="shared" si="38"/>
        <v>0</v>
      </c>
      <c r="Q219" s="125">
        <f t="shared" si="38"/>
        <v>0</v>
      </c>
      <c r="R219" s="125">
        <f t="shared" si="38"/>
        <v>0</v>
      </c>
      <c r="S219" s="125">
        <f t="shared" si="38"/>
        <v>0</v>
      </c>
      <c r="T219" s="125">
        <f t="shared" si="38"/>
        <v>0</v>
      </c>
      <c r="U219" s="125">
        <f t="shared" si="38"/>
        <v>0</v>
      </c>
      <c r="V219" s="125">
        <f t="shared" si="38"/>
        <v>0</v>
      </c>
      <c r="W219" s="125">
        <f t="shared" si="38"/>
        <v>0</v>
      </c>
      <c r="X219" s="125">
        <f t="shared" si="38"/>
        <v>0</v>
      </c>
      <c r="Y219" s="125">
        <f t="shared" si="38"/>
        <v>0</v>
      </c>
      <c r="Z219" s="125">
        <f t="shared" si="38"/>
        <v>0</v>
      </c>
      <c r="AA219" s="125">
        <f t="shared" si="38"/>
        <v>0</v>
      </c>
      <c r="AB219" s="125">
        <f t="shared" si="38"/>
        <v>0</v>
      </c>
      <c r="AC219" s="125">
        <f t="shared" si="38"/>
        <v>0</v>
      </c>
      <c r="AD219" s="125">
        <f t="shared" si="38"/>
        <v>0</v>
      </c>
      <c r="AE219" s="125">
        <f t="shared" si="38"/>
        <v>0</v>
      </c>
      <c r="AF219" s="126">
        <f t="shared" si="38"/>
        <v>0</v>
      </c>
      <c r="AG219" s="127">
        <f t="shared" si="38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39">AF221</f>
        <v>0</v>
      </c>
      <c r="C221" s="129">
        <v>0.3</v>
      </c>
      <c r="D221" s="129">
        <f t="shared" ref="D221:P226" si="40">C221</f>
        <v>0.3</v>
      </c>
      <c r="E221" s="129">
        <f t="shared" si="40"/>
        <v>0.3</v>
      </c>
      <c r="F221" s="129">
        <f t="shared" si="40"/>
        <v>0.3</v>
      </c>
      <c r="G221" s="129">
        <f t="shared" si="40"/>
        <v>0.3</v>
      </c>
      <c r="H221" s="129">
        <f t="shared" si="40"/>
        <v>0.3</v>
      </c>
      <c r="I221" s="129">
        <f t="shared" si="40"/>
        <v>0.3</v>
      </c>
      <c r="J221" s="129">
        <f t="shared" si="40"/>
        <v>0.3</v>
      </c>
      <c r="K221" s="129">
        <f t="shared" si="40"/>
        <v>0.3</v>
      </c>
      <c r="L221" s="129">
        <f t="shared" si="40"/>
        <v>0.3</v>
      </c>
      <c r="M221" s="129">
        <f t="shared" si="40"/>
        <v>0.3</v>
      </c>
      <c r="N221" s="129">
        <f t="shared" si="40"/>
        <v>0.3</v>
      </c>
      <c r="O221" s="129">
        <f t="shared" si="40"/>
        <v>0.3</v>
      </c>
      <c r="P221" s="129">
        <f t="shared" si="40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39"/>
        <v>0</v>
      </c>
      <c r="C222" s="117">
        <v>0.4</v>
      </c>
      <c r="D222" s="117">
        <f t="shared" si="40"/>
        <v>0.4</v>
      </c>
      <c r="E222" s="117">
        <f t="shared" si="40"/>
        <v>0.4</v>
      </c>
      <c r="F222" s="117">
        <f t="shared" si="40"/>
        <v>0.4</v>
      </c>
      <c r="G222" s="117">
        <f t="shared" si="40"/>
        <v>0.4</v>
      </c>
      <c r="H222" s="117">
        <f t="shared" si="40"/>
        <v>0.4</v>
      </c>
      <c r="I222" s="117">
        <f t="shared" si="40"/>
        <v>0.4</v>
      </c>
      <c r="J222" s="117">
        <f t="shared" si="40"/>
        <v>0.4</v>
      </c>
      <c r="K222" s="117">
        <f t="shared" si="40"/>
        <v>0.4</v>
      </c>
      <c r="L222" s="117">
        <f t="shared" si="40"/>
        <v>0.4</v>
      </c>
      <c r="M222" s="117">
        <f t="shared" si="40"/>
        <v>0.4</v>
      </c>
      <c r="N222" s="117">
        <f t="shared" si="40"/>
        <v>0.4</v>
      </c>
      <c r="O222" s="117">
        <f t="shared" si="40"/>
        <v>0.4</v>
      </c>
      <c r="P222" s="117">
        <f t="shared" si="40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39"/>
        <v>0</v>
      </c>
      <c r="C223" s="117">
        <v>1.5</v>
      </c>
      <c r="D223" s="117">
        <f t="shared" si="40"/>
        <v>1.5</v>
      </c>
      <c r="E223" s="117">
        <f t="shared" si="40"/>
        <v>1.5</v>
      </c>
      <c r="F223" s="117">
        <f t="shared" si="40"/>
        <v>1.5</v>
      </c>
      <c r="G223" s="117">
        <f t="shared" si="40"/>
        <v>1.5</v>
      </c>
      <c r="H223" s="117">
        <f t="shared" si="40"/>
        <v>1.5</v>
      </c>
      <c r="I223" s="117">
        <f t="shared" si="40"/>
        <v>1.5</v>
      </c>
      <c r="J223" s="117">
        <f t="shared" si="40"/>
        <v>1.5</v>
      </c>
      <c r="K223" s="117">
        <f t="shared" si="40"/>
        <v>1.5</v>
      </c>
      <c r="L223" s="117">
        <f t="shared" si="40"/>
        <v>1.5</v>
      </c>
      <c r="M223" s="117">
        <f t="shared" si="40"/>
        <v>1.5</v>
      </c>
      <c r="N223" s="117">
        <f t="shared" si="40"/>
        <v>1.5</v>
      </c>
      <c r="O223" s="117">
        <f t="shared" si="40"/>
        <v>1.5</v>
      </c>
      <c r="P223" s="117">
        <f t="shared" si="40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39"/>
        <v>0</v>
      </c>
      <c r="C224" s="117">
        <v>0.3</v>
      </c>
      <c r="D224" s="117">
        <f t="shared" si="40"/>
        <v>0.3</v>
      </c>
      <c r="E224" s="117">
        <f t="shared" si="40"/>
        <v>0.3</v>
      </c>
      <c r="F224" s="117">
        <f t="shared" si="40"/>
        <v>0.3</v>
      </c>
      <c r="G224" s="117">
        <f t="shared" si="40"/>
        <v>0.3</v>
      </c>
      <c r="H224" s="117">
        <f t="shared" si="40"/>
        <v>0.3</v>
      </c>
      <c r="I224" s="117">
        <f t="shared" si="40"/>
        <v>0.3</v>
      </c>
      <c r="J224" s="117">
        <f t="shared" si="40"/>
        <v>0.3</v>
      </c>
      <c r="K224" s="117">
        <f t="shared" si="40"/>
        <v>0.3</v>
      </c>
      <c r="L224" s="117">
        <f t="shared" si="40"/>
        <v>0.3</v>
      </c>
      <c r="M224" s="117">
        <f t="shared" si="40"/>
        <v>0.3</v>
      </c>
      <c r="N224" s="117">
        <f t="shared" si="40"/>
        <v>0.3</v>
      </c>
      <c r="O224" s="117">
        <f t="shared" si="40"/>
        <v>0.3</v>
      </c>
      <c r="P224" s="117">
        <f t="shared" si="40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39"/>
        <v>0</v>
      </c>
      <c r="C225" s="117">
        <v>0.4</v>
      </c>
      <c r="D225" s="117">
        <f t="shared" si="40"/>
        <v>0.4</v>
      </c>
      <c r="E225" s="117">
        <f t="shared" si="40"/>
        <v>0.4</v>
      </c>
      <c r="F225" s="117">
        <f t="shared" si="40"/>
        <v>0.4</v>
      </c>
      <c r="G225" s="117">
        <f t="shared" si="40"/>
        <v>0.4</v>
      </c>
      <c r="H225" s="117">
        <f t="shared" si="40"/>
        <v>0.4</v>
      </c>
      <c r="I225" s="117">
        <f t="shared" si="40"/>
        <v>0.4</v>
      </c>
      <c r="J225" s="117">
        <f t="shared" si="40"/>
        <v>0.4</v>
      </c>
      <c r="K225" s="117">
        <f t="shared" si="40"/>
        <v>0.4</v>
      </c>
      <c r="L225" s="117">
        <f t="shared" si="40"/>
        <v>0.4</v>
      </c>
      <c r="M225" s="117">
        <f t="shared" si="40"/>
        <v>0.4</v>
      </c>
      <c r="N225" s="117">
        <f t="shared" si="40"/>
        <v>0.4</v>
      </c>
      <c r="O225" s="117">
        <f t="shared" si="40"/>
        <v>0.4</v>
      </c>
      <c r="P225" s="117">
        <f t="shared" si="40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39"/>
        <v>0</v>
      </c>
      <c r="C226" s="121">
        <v>0.64</v>
      </c>
      <c r="D226" s="121">
        <f t="shared" si="40"/>
        <v>0.64</v>
      </c>
      <c r="E226" s="121">
        <f t="shared" si="40"/>
        <v>0.64</v>
      </c>
      <c r="F226" s="121">
        <f t="shared" si="40"/>
        <v>0.64</v>
      </c>
      <c r="G226" s="121">
        <f t="shared" si="40"/>
        <v>0.64</v>
      </c>
      <c r="H226" s="121">
        <f t="shared" si="40"/>
        <v>0.64</v>
      </c>
      <c r="I226" s="121">
        <f t="shared" si="40"/>
        <v>0.64</v>
      </c>
      <c r="J226" s="121">
        <f t="shared" si="40"/>
        <v>0.64</v>
      </c>
      <c r="K226" s="121">
        <f t="shared" si="40"/>
        <v>0.64</v>
      </c>
      <c r="L226" s="121">
        <f t="shared" si="40"/>
        <v>0.64</v>
      </c>
      <c r="M226" s="121">
        <f t="shared" si="40"/>
        <v>0.64</v>
      </c>
      <c r="N226" s="121">
        <f t="shared" si="40"/>
        <v>0.64</v>
      </c>
      <c r="O226" s="121">
        <f t="shared" si="40"/>
        <v>0.64</v>
      </c>
      <c r="P226" s="121">
        <f t="shared" si="40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41">SUM(B221:B226)</f>
        <v>0</v>
      </c>
      <c r="C227" s="125">
        <f t="shared" si="41"/>
        <v>3.54</v>
      </c>
      <c r="D227" s="125">
        <f t="shared" si="41"/>
        <v>3.54</v>
      </c>
      <c r="E227" s="125">
        <f t="shared" si="41"/>
        <v>3.54</v>
      </c>
      <c r="F227" s="125">
        <f t="shared" si="41"/>
        <v>3.54</v>
      </c>
      <c r="G227" s="125">
        <f t="shared" si="41"/>
        <v>3.54</v>
      </c>
      <c r="H227" s="125">
        <f t="shared" si="41"/>
        <v>3.54</v>
      </c>
      <c r="I227" s="125">
        <f t="shared" si="41"/>
        <v>3.54</v>
      </c>
      <c r="J227" s="125">
        <f t="shared" si="41"/>
        <v>3.54</v>
      </c>
      <c r="K227" s="125">
        <f t="shared" si="41"/>
        <v>3.54</v>
      </c>
      <c r="L227" s="125">
        <f t="shared" si="41"/>
        <v>3.54</v>
      </c>
      <c r="M227" s="125">
        <f t="shared" si="41"/>
        <v>3.54</v>
      </c>
      <c r="N227" s="125">
        <f t="shared" si="41"/>
        <v>3.54</v>
      </c>
      <c r="O227" s="125">
        <f t="shared" si="41"/>
        <v>3.54</v>
      </c>
      <c r="P227" s="125">
        <f t="shared" si="41"/>
        <v>3.54</v>
      </c>
      <c r="Q227" s="125">
        <f t="shared" si="41"/>
        <v>0</v>
      </c>
      <c r="R227" s="125">
        <f t="shared" si="41"/>
        <v>0</v>
      </c>
      <c r="S227" s="125">
        <f t="shared" si="41"/>
        <v>0</v>
      </c>
      <c r="T227" s="125">
        <f t="shared" si="41"/>
        <v>0</v>
      </c>
      <c r="U227" s="125">
        <f t="shared" si="41"/>
        <v>0</v>
      </c>
      <c r="V227" s="125">
        <f t="shared" si="41"/>
        <v>0</v>
      </c>
      <c r="W227" s="125">
        <f t="shared" si="41"/>
        <v>0</v>
      </c>
      <c r="X227" s="125">
        <f t="shared" si="41"/>
        <v>0</v>
      </c>
      <c r="Y227" s="125">
        <f t="shared" si="41"/>
        <v>0</v>
      </c>
      <c r="Z227" s="125">
        <f t="shared" si="41"/>
        <v>0</v>
      </c>
      <c r="AA227" s="125">
        <f t="shared" si="41"/>
        <v>0</v>
      </c>
      <c r="AB227" s="125">
        <f t="shared" si="41"/>
        <v>0</v>
      </c>
      <c r="AC227" s="125">
        <f t="shared" si="41"/>
        <v>0</v>
      </c>
      <c r="AD227" s="125">
        <f t="shared" si="41"/>
        <v>0</v>
      </c>
      <c r="AE227" s="125">
        <f t="shared" si="41"/>
        <v>0</v>
      </c>
      <c r="AF227" s="125">
        <f t="shared" si="41"/>
        <v>0</v>
      </c>
      <c r="AG227" s="134">
        <f t="shared" si="41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1672.24</v>
      </c>
      <c r="C236" s="150">
        <f>INDEX(G9:N9,1,MATCH(MAX(G84:N84),G84:N84,0))</f>
        <v>0.3125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12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2079/08/12)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2079/08/12)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42">B84</f>
        <v>984.74</v>
      </c>
      <c r="U241" s="159">
        <f t="shared" si="42"/>
        <v>1005.5400000000001</v>
      </c>
      <c r="V241" s="159">
        <f t="shared" si="42"/>
        <v>992.44</v>
      </c>
      <c r="W241" s="159">
        <f t="shared" si="42"/>
        <v>1025.74</v>
      </c>
      <c r="X241" s="159">
        <f t="shared" si="42"/>
        <v>1036.1400000000001</v>
      </c>
      <c r="Y241" s="159">
        <f t="shared" si="42"/>
        <v>1078.04</v>
      </c>
      <c r="Z241" s="159">
        <f t="shared" si="42"/>
        <v>1178.8400000000001</v>
      </c>
      <c r="AA241" s="159">
        <f t="shared" si="42"/>
        <v>1264.24</v>
      </c>
      <c r="AB241" s="159">
        <f t="shared" si="42"/>
        <v>1411.24</v>
      </c>
      <c r="AC241" s="159">
        <f t="shared" si="42"/>
        <v>1539.24</v>
      </c>
      <c r="AD241" s="159">
        <f t="shared" si="42"/>
        <v>1672.24</v>
      </c>
      <c r="AE241" s="159">
        <f t="shared" si="42"/>
        <v>1641.74</v>
      </c>
      <c r="AF241" s="159">
        <f t="shared" si="42"/>
        <v>1593.24</v>
      </c>
      <c r="AG241" s="159">
        <f t="shared" si="42"/>
        <v>1295.74</v>
      </c>
      <c r="AH241" s="159">
        <f t="shared" si="42"/>
        <v>1260.1400000000001</v>
      </c>
      <c r="AI241" s="159">
        <f t="shared" si="42"/>
        <v>1158.6400000000001</v>
      </c>
      <c r="AJ241" s="159">
        <f t="shared" si="42"/>
        <v>1105.6400000000001</v>
      </c>
      <c r="AK241" s="159">
        <f t="shared" si="42"/>
        <v>1103.7400000000002</v>
      </c>
      <c r="AL241" s="159">
        <f t="shared" si="42"/>
        <v>1132.54</v>
      </c>
      <c r="AM241" s="159">
        <f t="shared" si="42"/>
        <v>1197.7400000000002</v>
      </c>
      <c r="AN241" s="159">
        <f t="shared" si="42"/>
        <v>1413.2400000000002</v>
      </c>
      <c r="AO241" s="159">
        <f t="shared" si="42"/>
        <v>1613.3400000000001</v>
      </c>
      <c r="AP241" s="159">
        <f t="shared" si="42"/>
        <v>1701.74</v>
      </c>
      <c r="AQ241" s="159">
        <f t="shared" si="42"/>
        <v>1667.24</v>
      </c>
      <c r="AR241" s="159">
        <f t="shared" si="42"/>
        <v>1646.74</v>
      </c>
      <c r="AS241" s="159">
        <f t="shared" si="42"/>
        <v>1553.74</v>
      </c>
      <c r="AT241" s="159">
        <f t="shared" si="42"/>
        <v>1477.6399999999999</v>
      </c>
      <c r="AU241" s="159">
        <f t="shared" si="42"/>
        <v>1421.1399999999999</v>
      </c>
      <c r="AV241" s="159">
        <f t="shared" si="42"/>
        <v>1356.1399999999999</v>
      </c>
      <c r="AW241" s="159">
        <f t="shared" si="42"/>
        <v>1274.74</v>
      </c>
      <c r="AX241" s="159">
        <f t="shared" si="42"/>
        <v>1212.6400000000001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43">C226</f>
        <v>0.64</v>
      </c>
      <c r="C262" s="162">
        <f t="shared" si="43"/>
        <v>0.64</v>
      </c>
      <c r="D262" s="162">
        <f t="shared" si="43"/>
        <v>0.64</v>
      </c>
      <c r="E262" s="162">
        <f t="shared" si="43"/>
        <v>0.64</v>
      </c>
      <c r="F262" s="162">
        <f t="shared" si="43"/>
        <v>0.64</v>
      </c>
      <c r="G262" s="162">
        <f t="shared" si="43"/>
        <v>0.64</v>
      </c>
      <c r="H262" s="162">
        <f t="shared" si="43"/>
        <v>0.64</v>
      </c>
      <c r="I262" s="162">
        <f t="shared" si="43"/>
        <v>0.64</v>
      </c>
      <c r="J262" s="162">
        <f t="shared" si="43"/>
        <v>0.64</v>
      </c>
      <c r="K262" s="162">
        <f t="shared" si="43"/>
        <v>0.64</v>
      </c>
      <c r="L262" s="162">
        <f t="shared" si="43"/>
        <v>0.64</v>
      </c>
      <c r="M262" s="162">
        <f t="shared" si="43"/>
        <v>0.64</v>
      </c>
      <c r="N262" s="162">
        <f t="shared" si="43"/>
        <v>0.64</v>
      </c>
      <c r="O262" s="162">
        <f t="shared" si="43"/>
        <v>0.64</v>
      </c>
      <c r="P262" s="162">
        <f t="shared" si="43"/>
        <v>0</v>
      </c>
      <c r="Q262" s="162">
        <f t="shared" si="43"/>
        <v>0</v>
      </c>
      <c r="R262" s="162">
        <f t="shared" si="43"/>
        <v>0</v>
      </c>
      <c r="S262" s="162">
        <f t="shared" si="43"/>
        <v>0</v>
      </c>
      <c r="T262" s="162">
        <f t="shared" si="43"/>
        <v>0</v>
      </c>
      <c r="U262" s="162">
        <f t="shared" si="43"/>
        <v>0</v>
      </c>
      <c r="V262" s="162">
        <f t="shared" si="43"/>
        <v>0</v>
      </c>
      <c r="W262" s="162">
        <f t="shared" si="43"/>
        <v>0</v>
      </c>
      <c r="X262" s="162">
        <f t="shared" si="43"/>
        <v>0</v>
      </c>
      <c r="Y262" s="162">
        <f t="shared" si="43"/>
        <v>0</v>
      </c>
      <c r="Z262" s="162">
        <f t="shared" si="43"/>
        <v>0</v>
      </c>
      <c r="AA262" s="162">
        <f t="shared" si="43"/>
        <v>0</v>
      </c>
      <c r="AB262" s="162">
        <f t="shared" si="43"/>
        <v>0</v>
      </c>
      <c r="AC262" s="162">
        <f t="shared" si="43"/>
        <v>0</v>
      </c>
      <c r="AD262" s="162">
        <f t="shared" si="43"/>
        <v>0</v>
      </c>
      <c r="AE262" s="162">
        <f t="shared" si="43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44">IF(B230&lt;100,"",B230-520)</f>
        <v/>
      </c>
      <c r="C263" s="163" t="str">
        <f t="shared" si="44"/>
        <v/>
      </c>
      <c r="D263" s="163" t="str">
        <f t="shared" si="44"/>
        <v/>
      </c>
      <c r="E263" s="163" t="str">
        <f t="shared" si="44"/>
        <v/>
      </c>
      <c r="F263" s="163" t="str">
        <f t="shared" si="44"/>
        <v/>
      </c>
      <c r="G263" s="163" t="str">
        <f t="shared" si="44"/>
        <v/>
      </c>
      <c r="H263" s="163" t="str">
        <f t="shared" si="44"/>
        <v/>
      </c>
      <c r="I263" s="163" t="str">
        <f t="shared" si="44"/>
        <v/>
      </c>
      <c r="J263" s="163" t="str">
        <f t="shared" si="44"/>
        <v/>
      </c>
      <c r="K263" s="163" t="str">
        <f t="shared" si="44"/>
        <v/>
      </c>
      <c r="L263" s="163" t="str">
        <f t="shared" si="44"/>
        <v/>
      </c>
      <c r="M263" s="163" t="str">
        <f t="shared" si="44"/>
        <v/>
      </c>
      <c r="N263" s="163" t="str">
        <f t="shared" si="44"/>
        <v/>
      </c>
      <c r="O263" s="163" t="str">
        <f t="shared" si="44"/>
        <v/>
      </c>
      <c r="P263" s="163" t="str">
        <f t="shared" si="44"/>
        <v/>
      </c>
      <c r="Q263" s="163" t="str">
        <f t="shared" si="44"/>
        <v/>
      </c>
      <c r="R263" s="163" t="str">
        <f t="shared" si="44"/>
        <v/>
      </c>
      <c r="S263" s="163" t="str">
        <f t="shared" si="44"/>
        <v/>
      </c>
      <c r="T263" s="163" t="str">
        <f t="shared" si="44"/>
        <v/>
      </c>
      <c r="U263" s="163" t="str">
        <f t="shared" si="44"/>
        <v/>
      </c>
      <c r="V263" s="163" t="str">
        <f t="shared" si="44"/>
        <v/>
      </c>
      <c r="W263" s="163" t="str">
        <f t="shared" si="44"/>
        <v/>
      </c>
      <c r="X263" s="163" t="str">
        <f t="shared" si="44"/>
        <v/>
      </c>
      <c r="Y263" s="163" t="str">
        <f t="shared" si="44"/>
        <v/>
      </c>
      <c r="Z263" s="163" t="str">
        <f t="shared" si="44"/>
        <v/>
      </c>
      <c r="AA263" s="163" t="str">
        <f t="shared" si="44"/>
        <v/>
      </c>
      <c r="AB263" s="163" t="str">
        <f t="shared" si="44"/>
        <v/>
      </c>
      <c r="AC263" s="163" t="str">
        <f t="shared" si="44"/>
        <v/>
      </c>
      <c r="AD263" s="163" t="str">
        <f t="shared" si="44"/>
        <v/>
      </c>
      <c r="AE263" s="163" t="str">
        <f t="shared" si="44"/>
        <v/>
      </c>
      <c r="AF263" s="163" t="str">
        <f t="shared" si="44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45">IF(B231&lt;100,"",B231-620)</f>
        <v/>
      </c>
      <c r="C264" s="163" t="str">
        <f t="shared" si="45"/>
        <v/>
      </c>
      <c r="D264" s="163" t="str">
        <f t="shared" si="45"/>
        <v/>
      </c>
      <c r="E264" s="163" t="str">
        <f t="shared" si="45"/>
        <v/>
      </c>
      <c r="F264" s="163" t="str">
        <f t="shared" si="45"/>
        <v/>
      </c>
      <c r="G264" s="163" t="str">
        <f t="shared" si="45"/>
        <v/>
      </c>
      <c r="H264" s="163" t="str">
        <f t="shared" si="45"/>
        <v/>
      </c>
      <c r="I264" s="163" t="str">
        <f t="shared" si="45"/>
        <v/>
      </c>
      <c r="J264" s="163" t="str">
        <f t="shared" si="45"/>
        <v/>
      </c>
      <c r="K264" s="163" t="str">
        <f t="shared" si="45"/>
        <v/>
      </c>
      <c r="L264" s="163" t="str">
        <f t="shared" si="45"/>
        <v/>
      </c>
      <c r="M264" s="163" t="str">
        <f t="shared" si="45"/>
        <v/>
      </c>
      <c r="N264" s="163" t="str">
        <f t="shared" si="45"/>
        <v/>
      </c>
      <c r="O264" s="163" t="str">
        <f t="shared" si="45"/>
        <v/>
      </c>
      <c r="P264" s="163" t="str">
        <f t="shared" si="45"/>
        <v/>
      </c>
      <c r="Q264" s="163" t="str">
        <f t="shared" si="45"/>
        <v/>
      </c>
      <c r="R264" s="163" t="str">
        <f t="shared" si="45"/>
        <v/>
      </c>
      <c r="S264" s="163" t="str">
        <f t="shared" si="45"/>
        <v/>
      </c>
      <c r="T264" s="163" t="str">
        <f t="shared" si="45"/>
        <v/>
      </c>
      <c r="U264" s="163" t="str">
        <f t="shared" si="45"/>
        <v/>
      </c>
      <c r="V264" s="163" t="str">
        <f t="shared" si="45"/>
        <v/>
      </c>
      <c r="W264" s="163" t="str">
        <f t="shared" si="45"/>
        <v/>
      </c>
      <c r="X264" s="163" t="str">
        <f t="shared" si="45"/>
        <v/>
      </c>
      <c r="Y264" s="163" t="str">
        <f t="shared" si="45"/>
        <v/>
      </c>
      <c r="Z264" s="163" t="str">
        <f t="shared" si="45"/>
        <v/>
      </c>
      <c r="AA264" s="163" t="str">
        <f t="shared" si="45"/>
        <v/>
      </c>
      <c r="AB264" s="163" t="str">
        <f t="shared" si="45"/>
        <v/>
      </c>
      <c r="AC264" s="163" t="str">
        <f t="shared" si="45"/>
        <v/>
      </c>
      <c r="AD264" s="163" t="str">
        <f t="shared" si="45"/>
        <v/>
      </c>
      <c r="AE264" s="163" t="str">
        <f t="shared" si="45"/>
        <v/>
      </c>
      <c r="AF264" s="163" t="str">
        <f t="shared" si="45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46">IF(B232&lt;100,"",B232-330)</f>
        <v/>
      </c>
      <c r="C265" s="163" t="str">
        <f t="shared" si="46"/>
        <v/>
      </c>
      <c r="D265" s="163" t="str">
        <f t="shared" si="46"/>
        <v/>
      </c>
      <c r="E265" s="163" t="str">
        <f t="shared" si="46"/>
        <v/>
      </c>
      <c r="F265" s="163" t="str">
        <f t="shared" si="46"/>
        <v/>
      </c>
      <c r="G265" s="163" t="str">
        <f t="shared" si="46"/>
        <v/>
      </c>
      <c r="H265" s="163" t="str">
        <f t="shared" si="46"/>
        <v/>
      </c>
      <c r="I265" s="163" t="str">
        <f t="shared" si="46"/>
        <v/>
      </c>
      <c r="J265" s="163" t="str">
        <f t="shared" si="46"/>
        <v/>
      </c>
      <c r="K265" s="163" t="str">
        <f t="shared" si="46"/>
        <v/>
      </c>
      <c r="L265" s="163" t="str">
        <f t="shared" si="46"/>
        <v/>
      </c>
      <c r="M265" s="163" t="str">
        <f t="shared" si="46"/>
        <v/>
      </c>
      <c r="N265" s="163" t="str">
        <f t="shared" si="46"/>
        <v/>
      </c>
      <c r="O265" s="163" t="str">
        <f t="shared" si="46"/>
        <v/>
      </c>
      <c r="P265" s="163" t="str">
        <f t="shared" si="46"/>
        <v/>
      </c>
      <c r="Q265" s="163" t="str">
        <f t="shared" si="46"/>
        <v/>
      </c>
      <c r="R265" s="163" t="str">
        <f t="shared" si="46"/>
        <v/>
      </c>
      <c r="S265" s="163" t="str">
        <f t="shared" si="46"/>
        <v/>
      </c>
      <c r="T265" s="163" t="str">
        <f t="shared" si="46"/>
        <v/>
      </c>
      <c r="U265" s="163" t="str">
        <f t="shared" si="46"/>
        <v/>
      </c>
      <c r="V265" s="163" t="str">
        <f t="shared" si="46"/>
        <v/>
      </c>
      <c r="W265" s="163" t="str">
        <f t="shared" si="46"/>
        <v/>
      </c>
      <c r="X265" s="163" t="str">
        <f t="shared" si="46"/>
        <v/>
      </c>
      <c r="Y265" s="163" t="str">
        <f t="shared" si="46"/>
        <v/>
      </c>
      <c r="Z265" s="163" t="str">
        <f t="shared" si="46"/>
        <v/>
      </c>
      <c r="AA265" s="163" t="str">
        <f t="shared" si="46"/>
        <v/>
      </c>
      <c r="AB265" s="163" t="str">
        <f t="shared" si="46"/>
        <v/>
      </c>
      <c r="AC265" s="163" t="str">
        <f t="shared" si="46"/>
        <v/>
      </c>
      <c r="AD265" s="163" t="str">
        <f t="shared" si="46"/>
        <v/>
      </c>
      <c r="AE265" s="163" t="str">
        <f t="shared" si="46"/>
        <v/>
      </c>
      <c r="AF265" s="163" t="str">
        <f t="shared" si="46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47">IF(B233&lt;100,"",B233-1500)</f>
        <v/>
      </c>
      <c r="C266" s="163" t="str">
        <f t="shared" si="47"/>
        <v/>
      </c>
      <c r="D266" s="163" t="str">
        <f t="shared" si="47"/>
        <v/>
      </c>
      <c r="E266" s="163" t="str">
        <f t="shared" si="47"/>
        <v/>
      </c>
      <c r="F266" s="163" t="str">
        <f t="shared" si="47"/>
        <v/>
      </c>
      <c r="G266" s="163" t="str">
        <f t="shared" si="47"/>
        <v/>
      </c>
      <c r="H266" s="163" t="str">
        <f t="shared" si="47"/>
        <v/>
      </c>
      <c r="I266" s="163" t="str">
        <f t="shared" si="47"/>
        <v/>
      </c>
      <c r="J266" s="163" t="str">
        <f t="shared" si="47"/>
        <v/>
      </c>
      <c r="K266" s="163" t="str">
        <f t="shared" si="47"/>
        <v/>
      </c>
      <c r="L266" s="163" t="str">
        <f t="shared" si="47"/>
        <v/>
      </c>
      <c r="M266" s="163" t="str">
        <f t="shared" si="47"/>
        <v/>
      </c>
      <c r="N266" s="163" t="str">
        <f t="shared" si="47"/>
        <v/>
      </c>
      <c r="O266" s="163" t="str">
        <f t="shared" si="47"/>
        <v/>
      </c>
      <c r="P266" s="163" t="str">
        <f t="shared" si="47"/>
        <v/>
      </c>
      <c r="Q266" s="163" t="str">
        <f t="shared" si="47"/>
        <v/>
      </c>
      <c r="R266" s="163" t="str">
        <f t="shared" si="47"/>
        <v/>
      </c>
      <c r="S266" s="163" t="str">
        <f t="shared" si="47"/>
        <v/>
      </c>
      <c r="T266" s="163" t="str">
        <f t="shared" si="47"/>
        <v/>
      </c>
      <c r="U266" s="163" t="str">
        <f t="shared" si="47"/>
        <v/>
      </c>
      <c r="V266" s="163" t="str">
        <f t="shared" si="47"/>
        <v/>
      </c>
      <c r="W266" s="163" t="str">
        <f t="shared" si="47"/>
        <v/>
      </c>
      <c r="X266" s="163" t="str">
        <f t="shared" si="47"/>
        <v/>
      </c>
      <c r="Y266" s="163" t="str">
        <f t="shared" si="47"/>
        <v/>
      </c>
      <c r="Z266" s="163" t="str">
        <f t="shared" si="47"/>
        <v/>
      </c>
      <c r="AA266" s="163" t="str">
        <f t="shared" si="47"/>
        <v/>
      </c>
      <c r="AB266" s="163" t="str">
        <f t="shared" si="47"/>
        <v/>
      </c>
      <c r="AC266" s="163" t="str">
        <f t="shared" si="47"/>
        <v/>
      </c>
      <c r="AD266" s="163" t="str">
        <f t="shared" si="47"/>
        <v/>
      </c>
      <c r="AE266" s="163" t="str">
        <f t="shared" si="47"/>
        <v/>
      </c>
      <c r="AF266" s="163" t="str">
        <f t="shared" si="47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">
    <cfRule type="expression" dxfId="6418" priority="355">
      <formula>B$9&gt;=20/24</formula>
    </cfRule>
    <cfRule type="expression" dxfId="6417" priority="356">
      <formula>AND(B$9&gt;=14/24,B$9&lt;20/24)</formula>
    </cfRule>
    <cfRule type="expression" dxfId="6416" priority="357">
      <formula>AND(B$9&gt;=8/24,B$9&lt;14/24)</formula>
    </cfRule>
    <cfRule type="expression" dxfId="6415" priority="358">
      <formula>B$9&lt;8/24</formula>
    </cfRule>
  </conditionalFormatting>
  <conditionalFormatting sqref="AL4:AL6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AB42:AF42">
    <cfRule type="expression" dxfId="6414" priority="350">
      <formula>AB$9&gt;=20/24</formula>
    </cfRule>
    <cfRule type="expression" dxfId="6413" priority="351">
      <formula>AND(AB$9&gt;=14/24,AB$9&lt;20/24)</formula>
    </cfRule>
    <cfRule type="expression" dxfId="6412" priority="352">
      <formula>AND(AB$9&gt;=8/24,AB$9&lt;14/24)</formula>
    </cfRule>
    <cfRule type="expression" dxfId="6411" priority="353">
      <formula>AB$9&lt;8/24</formula>
    </cfRule>
  </conditionalFormatting>
  <conditionalFormatting sqref="AG60 AB42:AF42">
    <cfRule type="expression" dxfId="6410" priority="349">
      <formula>AB42&gt;$AG42</formula>
    </cfRule>
  </conditionalFormatting>
  <conditionalFormatting sqref="A94:A104 A54:A81 A90:A92 A197:A227 A41:A52 A113:A184 A37:A38 A86:A88 A83:A84 A106:A108 A34:A35 A20:A32 A17:A18 A11:A15">
    <cfRule type="expression" dxfId="6409" priority="348">
      <formula>$AH11=0</formula>
    </cfRule>
  </conditionalFormatting>
  <conditionalFormatting sqref="A109">
    <cfRule type="expression" dxfId="6408" priority="347">
      <formula>$AH109=0</formula>
    </cfRule>
  </conditionalFormatting>
  <conditionalFormatting sqref="AL3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407" priority="345">
      <formula>$AH40=0</formula>
    </cfRule>
  </conditionalFormatting>
  <conditionalFormatting sqref="A93">
    <cfRule type="expression" dxfId="6406" priority="344">
      <formula>$AH93=0</formula>
    </cfRule>
  </conditionalFormatting>
  <conditionalFormatting sqref="A16">
    <cfRule type="expression" dxfId="6405" priority="343">
      <formula>$AH16=0</formula>
    </cfRule>
  </conditionalFormatting>
  <conditionalFormatting sqref="A191:A196">
    <cfRule type="expression" dxfId="6404" priority="342">
      <formula>$AH191=0</formula>
    </cfRule>
  </conditionalFormatting>
  <conditionalFormatting sqref="A185:A190">
    <cfRule type="expression" dxfId="6403" priority="341">
      <formula>$AH185=0</formula>
    </cfRule>
  </conditionalFormatting>
  <conditionalFormatting sqref="A53">
    <cfRule type="expression" dxfId="6402" priority="340">
      <formula>$AH53=0</formula>
    </cfRule>
  </conditionalFormatting>
  <conditionalFormatting sqref="A89">
    <cfRule type="expression" dxfId="6401" priority="339">
      <formula>$AH89=0</formula>
    </cfRule>
  </conditionalFormatting>
  <conditionalFormatting sqref="C94:AF94">
    <cfRule type="expression" dxfId="6400" priority="335">
      <formula>C$9&gt;=20/24</formula>
    </cfRule>
    <cfRule type="expression" dxfId="6399" priority="336">
      <formula>AND(C$9&gt;=14/24,C$9&lt;20/24)</formula>
    </cfRule>
    <cfRule type="expression" dxfId="6398" priority="337">
      <formula>AND(C$9&gt;=8/24,C$9&lt;14/24)</formula>
    </cfRule>
    <cfRule type="expression" dxfId="6397" priority="338">
      <formula>C$9&lt;8/24</formula>
    </cfRule>
  </conditionalFormatting>
  <conditionalFormatting sqref="AL39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396" priority="361">
      <formula>C$9&gt;=20/24</formula>
    </cfRule>
    <cfRule type="expression" dxfId="6395" priority="362">
      <formula>AND(C$9&gt;=14/24,C$9&lt;20/24)</formula>
    </cfRule>
    <cfRule type="expression" dxfId="6394" priority="363">
      <formula>AND(C$9&gt;=8/24,C$9&lt;14/24)</formula>
    </cfRule>
    <cfRule type="expression" dxfId="6393" priority="364">
      <formula>C$9&lt;8/24</formula>
    </cfRule>
  </conditionalFormatting>
  <conditionalFormatting sqref="A228">
    <cfRule type="expression" dxfId="6392" priority="365">
      <formula>$AH228=0</formula>
    </cfRule>
  </conditionalFormatting>
  <conditionalFormatting sqref="AG240">
    <cfRule type="expression" dxfId="6391" priority="366">
      <formula>B$9&gt;=20/24</formula>
    </cfRule>
    <cfRule type="expression" dxfId="6390" priority="367">
      <formula>AND(B$9&gt;=14/24,B$9&lt;20/24)</formula>
    </cfRule>
    <cfRule type="expression" dxfId="6389" priority="368">
      <formula>AND(B$9&gt;=8/24,B$9&lt;14/24)</formula>
    </cfRule>
    <cfRule type="expression" dxfId="6388" priority="369">
      <formula>B$9&lt;8/24</formula>
    </cfRule>
  </conditionalFormatting>
  <conditionalFormatting sqref="S8">
    <cfRule type="expression" dxfId="6387" priority="330">
      <formula>U$9&gt;=20/24</formula>
    </cfRule>
    <cfRule type="expression" dxfId="6386" priority="331">
      <formula>AND(U$9&gt;=14/24,U$9&lt;20/24)</formula>
    </cfRule>
    <cfRule type="expression" dxfId="6385" priority="332">
      <formula>AND(U$9&gt;=8/24,U$9&lt;14/24)</formula>
    </cfRule>
    <cfRule type="expression" dxfId="6384" priority="333">
      <formula>U$9&lt;8/24</formula>
    </cfRule>
  </conditionalFormatting>
  <conditionalFormatting sqref="AB8">
    <cfRule type="expression" dxfId="6383" priority="326">
      <formula>AD$9&gt;=20/24</formula>
    </cfRule>
    <cfRule type="expression" dxfId="6382" priority="327">
      <formula>AND(AD$9&gt;=14/24,AD$9&lt;20/24)</formula>
    </cfRule>
    <cfRule type="expression" dxfId="6381" priority="328">
      <formula>AND(AD$9&gt;=8/24,AD$9&lt;14/24)</formula>
    </cfRule>
    <cfRule type="expression" dxfId="6380" priority="329">
      <formula>AD$9&lt;8/24</formula>
    </cfRule>
  </conditionalFormatting>
  <conditionalFormatting sqref="AH240:AX240">
    <cfRule type="expression" dxfId="6379" priority="370">
      <formula>AG$9&gt;=20/24</formula>
    </cfRule>
    <cfRule type="expression" dxfId="6378" priority="371">
      <formula>AND(AG$9&gt;=14/24,AG$9&lt;20/24)</formula>
    </cfRule>
    <cfRule type="expression" dxfId="6377" priority="372">
      <formula>AND(AG$9&gt;=8/24,AG$9&lt;14/24)</formula>
    </cfRule>
    <cfRule type="expression" dxfId="6376" priority="373">
      <formula>AG$9&lt;8/24</formula>
    </cfRule>
  </conditionalFormatting>
  <conditionalFormatting sqref="T240">
    <cfRule type="expression" dxfId="6375" priority="374">
      <formula>AX$9&gt;=20/24</formula>
    </cfRule>
    <cfRule type="expression" dxfId="6374" priority="375">
      <formula>AND(AX$9&gt;=14/24,AX$9&lt;20/24)</formula>
    </cfRule>
    <cfRule type="expression" dxfId="6373" priority="376">
      <formula>AND(AX$9&gt;=8/24,AX$9&lt;14/24)</formula>
    </cfRule>
    <cfRule type="expression" dxfId="6372" priority="377">
      <formula>AX$9&lt;8/24</formula>
    </cfRule>
  </conditionalFormatting>
  <conditionalFormatting sqref="A110:A111">
    <cfRule type="expression" dxfId="6371" priority="325">
      <formula>$AH110=0</formula>
    </cfRule>
  </conditionalFormatting>
  <conditionalFormatting sqref="E49:Q50 S49:W50 AB49:AF50 V66:AF66">
    <cfRule type="expression" dxfId="6370" priority="321">
      <formula>E$9&gt;=20/24</formula>
    </cfRule>
    <cfRule type="expression" dxfId="6369" priority="322">
      <formula>AND(E$9&gt;=14/24,E$9&lt;20/24)</formula>
    </cfRule>
    <cfRule type="expression" dxfId="6368" priority="323">
      <formula>AND(E$9&gt;=8/24,E$9&lt;14/24)</formula>
    </cfRule>
    <cfRule type="expression" dxfId="6367" priority="324">
      <formula>E$9&lt;8/24</formula>
    </cfRule>
  </conditionalFormatting>
  <conditionalFormatting sqref="E48:Q48 S48:W48 AB48:AF48">
    <cfRule type="expression" dxfId="6366" priority="317">
      <formula>E$9&gt;=20/24</formula>
    </cfRule>
    <cfRule type="expression" dxfId="6365" priority="318">
      <formula>AND(E$9&gt;=14/24,E$9&lt;20/24)</formula>
    </cfRule>
    <cfRule type="expression" dxfId="6364" priority="319">
      <formula>AND(E$9&gt;=8/24,E$9&lt;14/24)</formula>
    </cfRule>
    <cfRule type="expression" dxfId="6363" priority="320">
      <formula>E$9&lt;8/24</formula>
    </cfRule>
  </conditionalFormatting>
  <conditionalFormatting sqref="E48:Q50 S48:W50 AB48:AF50">
    <cfRule type="expression" dxfId="6362" priority="316">
      <formula>E48&gt;$AG48</formula>
    </cfRule>
  </conditionalFormatting>
  <conditionalFormatting sqref="C91:AF91 C81:AF81 D78:AF80 V67:W70 D95:AF101 L42:AA42 T62:AF64 X67:AF76">
    <cfRule type="expression" dxfId="6361" priority="312">
      <formula>C$9&gt;=20/24</formula>
    </cfRule>
    <cfRule type="expression" dxfId="6360" priority="313">
      <formula>AND(C$9&gt;=14/24,C$9&lt;20/24)</formula>
    </cfRule>
    <cfRule type="expression" dxfId="6359" priority="314">
      <formula>AND(C$9&gt;=8/24,C$9&lt;14/24)</formula>
    </cfRule>
    <cfRule type="expression" dxfId="6358" priority="315">
      <formula>C$9&lt;8/24</formula>
    </cfRule>
  </conditionalFormatting>
  <conditionalFormatting sqref="C60:AF60 E51:Q51 L42:AA42 AB51:AF52 T62:AF64">
    <cfRule type="expression" dxfId="6357" priority="307">
      <formula>C42&gt;$AG42</formula>
    </cfRule>
  </conditionalFormatting>
  <conditionalFormatting sqref="V51:AA52">
    <cfRule type="expression" dxfId="6356" priority="290">
      <formula>V$9&gt;=20/24</formula>
    </cfRule>
    <cfRule type="expression" dxfId="6355" priority="291">
      <formula>AND(V$9&gt;=14/24,V$9&lt;20/24)</formula>
    </cfRule>
    <cfRule type="expression" dxfId="6354" priority="292">
      <formula>AND(V$9&gt;=8/24,V$9&lt;14/24)</formula>
    </cfRule>
    <cfRule type="expression" dxfId="6353" priority="293">
      <formula>V$9&lt;8/24</formula>
    </cfRule>
  </conditionalFormatting>
  <conditionalFormatting sqref="V51:AA52">
    <cfRule type="expression" dxfId="6352" priority="289">
      <formula>V51&gt;$AG51</formula>
    </cfRule>
  </conditionalFormatting>
  <conditionalFormatting sqref="R48:R50 U51:U52 R51:T53 U53:AF54">
    <cfRule type="expression" dxfId="6351" priority="285">
      <formula>R$9&gt;=20/24</formula>
    </cfRule>
    <cfRule type="expression" dxfId="6350" priority="286">
      <formula>AND(R$9&gt;=14/24,R$9&lt;20/24)</formula>
    </cfRule>
    <cfRule type="expression" dxfId="6349" priority="287">
      <formula>AND(R$9&gt;=8/24,R$9&lt;14/24)</formula>
    </cfRule>
    <cfRule type="expression" dxfId="6348" priority="288">
      <formula>R$9&lt;8/24</formula>
    </cfRule>
  </conditionalFormatting>
  <conditionalFormatting sqref="R48:R50 U51:U52 R51:T53 U53:AF54">
    <cfRule type="expression" dxfId="6347" priority="284">
      <formula>R48&gt;$AG48</formula>
    </cfRule>
  </conditionalFormatting>
  <conditionalFormatting sqref="D48">
    <cfRule type="expression" dxfId="6346" priority="271">
      <formula>D$9&gt;=20/24</formula>
    </cfRule>
    <cfRule type="expression" dxfId="6345" priority="272">
      <formula>AND(D$9&gt;=14/24,D$9&lt;20/24)</formula>
    </cfRule>
    <cfRule type="expression" dxfId="6344" priority="273">
      <formula>AND(D$9&gt;=8/24,D$9&lt;14/24)</formula>
    </cfRule>
    <cfRule type="expression" dxfId="6343" priority="274">
      <formula>D$9&lt;8/24</formula>
    </cfRule>
  </conditionalFormatting>
  <conditionalFormatting sqref="D48">
    <cfRule type="expression" dxfId="6342" priority="270">
      <formula>D48&gt;$AG48</formula>
    </cfRule>
  </conditionalFormatting>
  <conditionalFormatting sqref="X49:AA50">
    <cfRule type="expression" dxfId="6341" priority="266">
      <formula>X$9&gt;=20/24</formula>
    </cfRule>
    <cfRule type="expression" dxfId="6340" priority="267">
      <formula>AND(X$9&gt;=14/24,X$9&lt;20/24)</formula>
    </cfRule>
    <cfRule type="expression" dxfId="6339" priority="268">
      <formula>AND(X$9&gt;=8/24,X$9&lt;14/24)</formula>
    </cfRule>
    <cfRule type="expression" dxfId="6338" priority="269">
      <formula>X$9&lt;8/24</formula>
    </cfRule>
  </conditionalFormatting>
  <conditionalFormatting sqref="X48:AA48">
    <cfRule type="expression" dxfId="6337" priority="262">
      <formula>X$9&gt;=20/24</formula>
    </cfRule>
    <cfRule type="expression" dxfId="6336" priority="263">
      <formula>AND(X$9&gt;=14/24,X$9&lt;20/24)</formula>
    </cfRule>
    <cfRule type="expression" dxfId="6335" priority="264">
      <formula>AND(X$9&gt;=8/24,X$9&lt;14/24)</formula>
    </cfRule>
    <cfRule type="expression" dxfId="6334" priority="265">
      <formula>X$9&lt;8/24</formula>
    </cfRule>
  </conditionalFormatting>
  <conditionalFormatting sqref="X48:AA50">
    <cfRule type="expression" dxfId="6333" priority="261">
      <formula>X48&gt;$AG48</formula>
    </cfRule>
  </conditionalFormatting>
  <conditionalFormatting sqref="C83:AF83 C92:AF92">
    <cfRule type="expression" dxfId="6332" priority="257">
      <formula>C$9&gt;=20/24</formula>
    </cfRule>
    <cfRule type="expression" dxfId="6331" priority="258">
      <formula>AND(C$9&gt;=14/24,C$9&lt;20/24)</formula>
    </cfRule>
    <cfRule type="expression" dxfId="6330" priority="259">
      <formula>AND(C$9&gt;=8/24,C$9&lt;14/24)</formula>
    </cfRule>
    <cfRule type="expression" dxfId="6329" priority="260">
      <formula>C$9&lt;8/24</formula>
    </cfRule>
  </conditionalFormatting>
  <conditionalFormatting sqref="E42:K42">
    <cfRule type="expression" dxfId="6328" priority="253">
      <formula>E$9&gt;=20/24</formula>
    </cfRule>
    <cfRule type="expression" dxfId="6327" priority="254">
      <formula>AND(E$9&gt;=14/24,E$9&lt;20/24)</formula>
    </cfRule>
    <cfRule type="expression" dxfId="6326" priority="255">
      <formula>AND(E$9&gt;=8/24,E$9&lt;14/24)</formula>
    </cfRule>
    <cfRule type="expression" dxfId="6325" priority="256">
      <formula>E$9&lt;8/24</formula>
    </cfRule>
  </conditionalFormatting>
  <conditionalFormatting sqref="E42:K42">
    <cfRule type="expression" dxfId="6324" priority="252">
      <formula>E42&gt;$AG42</formula>
    </cfRule>
  </conditionalFormatting>
  <conditionalFormatting sqref="C49:D50 E41:AF41">
    <cfRule type="expression" dxfId="6323" priority="244">
      <formula>C$9&gt;=20/24</formula>
    </cfRule>
    <cfRule type="expression" dxfId="6322" priority="245">
      <formula>AND(C$9&gt;=14/24,C$9&lt;20/24)</formula>
    </cfRule>
    <cfRule type="expression" dxfId="6321" priority="246">
      <formula>AND(C$9&gt;=8/24,C$9&lt;14/24)</formula>
    </cfRule>
    <cfRule type="expression" dxfId="6320" priority="247">
      <formula>C$9&lt;8/24</formula>
    </cfRule>
  </conditionalFormatting>
  <conditionalFormatting sqref="C48">
    <cfRule type="expression" dxfId="6319" priority="240">
      <formula>C$9&gt;=20/24</formula>
    </cfRule>
    <cfRule type="expression" dxfId="6318" priority="241">
      <formula>AND(C$9&gt;=14/24,C$9&lt;20/24)</formula>
    </cfRule>
    <cfRule type="expression" dxfId="6317" priority="242">
      <formula>AND(C$9&gt;=8/24,C$9&lt;14/24)</formula>
    </cfRule>
    <cfRule type="expression" dxfId="6316" priority="243">
      <formula>C$9&lt;8/24</formula>
    </cfRule>
  </conditionalFormatting>
  <conditionalFormatting sqref="C48:C50 D49:D50 E41:AF41">
    <cfRule type="expression" dxfId="6315" priority="239">
      <formula>C41&gt;$AG41</formula>
    </cfRule>
  </conditionalFormatting>
  <conditionalFormatting sqref="C84:AF84 C65:AG65 C82:AG82 C93:AF93 C95:C101 F62:S64">
    <cfRule type="expression" dxfId="6314" priority="235">
      <formula>C$9&gt;=20/24</formula>
    </cfRule>
    <cfRule type="expression" dxfId="6313" priority="236">
      <formula>AND(C$9&gt;=14/24,C$9&lt;20/24)</formula>
    </cfRule>
    <cfRule type="expression" dxfId="6312" priority="237">
      <formula>AND(C$9&gt;=8/24,C$9&lt;14/24)</formula>
    </cfRule>
    <cfRule type="expression" dxfId="6311" priority="238">
      <formula>C$9&lt;8/24</formula>
    </cfRule>
  </conditionalFormatting>
  <conditionalFormatting sqref="C43:AG43 C61:AG61 C65:AG65 C51:D52 E52:Q52 F62:S64">
    <cfRule type="expression" dxfId="6310" priority="230">
      <formula>C43&gt;$AG43</formula>
    </cfRule>
  </conditionalFormatting>
  <conditionalFormatting sqref="C53:Q54 R54:T54">
    <cfRule type="expression" dxfId="6309" priority="213">
      <formula>C$9&gt;=20/24</formula>
    </cfRule>
    <cfRule type="expression" dxfId="6308" priority="214">
      <formula>AND(C$9&gt;=14/24,C$9&lt;20/24)</formula>
    </cfRule>
    <cfRule type="expression" dxfId="6307" priority="215">
      <formula>AND(C$9&gt;=8/24,C$9&lt;14/24)</formula>
    </cfRule>
    <cfRule type="expression" dxfId="6306" priority="216">
      <formula>C$9&lt;8/24</formula>
    </cfRule>
  </conditionalFormatting>
  <conditionalFormatting sqref="C53:Q54 R54:T54">
    <cfRule type="expression" dxfId="6305" priority="212">
      <formula>C53&gt;$AG53</formula>
    </cfRule>
  </conditionalFormatting>
  <conditionalFormatting sqref="A39">
    <cfRule type="expression" dxfId="6304" priority="202">
      <formula>$AH39=0</formula>
    </cfRule>
  </conditionalFormatting>
  <conditionalFormatting sqref="C77:AF77">
    <cfRule type="expression" dxfId="6303" priority="198">
      <formula>C$9&gt;=20/24</formula>
    </cfRule>
    <cfRule type="expression" dxfId="6302" priority="199">
      <formula>AND(C$9&gt;=14/24,C$9&lt;20/24)</formula>
    </cfRule>
    <cfRule type="expression" dxfId="6301" priority="200">
      <formula>AND(C$9&gt;=8/24,C$9&lt;14/24)</formula>
    </cfRule>
    <cfRule type="expression" dxfId="6300" priority="201">
      <formula>C$9&lt;8/24</formula>
    </cfRule>
  </conditionalFormatting>
  <conditionalFormatting sqref="C86:AF90">
    <cfRule type="expression" dxfId="6299" priority="194">
      <formula>C$9&gt;=20/24</formula>
    </cfRule>
    <cfRule type="expression" dxfId="6298" priority="195">
      <formula>AND(C$9&gt;=14/24,C$9&lt;20/24)</formula>
    </cfRule>
    <cfRule type="expression" dxfId="6297" priority="196">
      <formula>AND(C$9&gt;=8/24,C$9&lt;14/24)</formula>
    </cfRule>
    <cfRule type="expression" dxfId="6296" priority="197">
      <formula>C$9&lt;8/24</formula>
    </cfRule>
  </conditionalFormatting>
  <conditionalFormatting sqref="AL40 AL37 AL20:AL32 AL34:AL35 AL7:AL18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6295" priority="190">
      <formula>C$9&gt;=20/24</formula>
    </cfRule>
    <cfRule type="expression" dxfId="6294" priority="191">
      <formula>AND(C$9&gt;=14/24,C$9&lt;20/24)</formula>
    </cfRule>
    <cfRule type="expression" dxfId="6293" priority="192">
      <formula>AND(C$9&gt;=8/24,C$9&lt;14/24)</formula>
    </cfRule>
    <cfRule type="expression" dxfId="6292" priority="193">
      <formula>C$9&lt;8/24</formula>
    </cfRule>
  </conditionalFormatting>
  <conditionalFormatting sqref="C44:AF46">
    <cfRule type="expression" dxfId="6291" priority="189">
      <formula>C44&gt;$AG44</formula>
    </cfRule>
  </conditionalFormatting>
  <conditionalFormatting sqref="C47:AG47">
    <cfRule type="expression" dxfId="6290" priority="185">
      <formula>C$9&gt;=20/24</formula>
    </cfRule>
    <cfRule type="expression" dxfId="6289" priority="186">
      <formula>AND(C$9&gt;=14/24,C$9&lt;20/24)</formula>
    </cfRule>
    <cfRule type="expression" dxfId="6288" priority="187">
      <formula>AND(C$9&gt;=8/24,C$9&lt;14/24)</formula>
    </cfRule>
    <cfRule type="expression" dxfId="6287" priority="188">
      <formula>C$9&lt;8/24</formula>
    </cfRule>
  </conditionalFormatting>
  <conditionalFormatting sqref="C47:AG47">
    <cfRule type="expression" dxfId="6286" priority="184">
      <formula>C47&gt;$AG47</formula>
    </cfRule>
  </conditionalFormatting>
  <conditionalFormatting sqref="C102:AF102">
    <cfRule type="expression" dxfId="6285" priority="180">
      <formula>C$9&gt;=20/24</formula>
    </cfRule>
    <cfRule type="expression" dxfId="6284" priority="181">
      <formula>AND(C$9&gt;=14/24,C$9&lt;20/24)</formula>
    </cfRule>
    <cfRule type="expression" dxfId="6283" priority="182">
      <formula>AND(C$9&gt;=8/24,C$9&lt;14/24)</formula>
    </cfRule>
    <cfRule type="expression" dxfId="6282" priority="183">
      <formula>C$9&lt;8/24</formula>
    </cfRule>
  </conditionalFormatting>
  <conditionalFormatting sqref="AL36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6281" priority="170">
      <formula>$AH36=0</formula>
    </cfRule>
  </conditionalFormatting>
  <conditionalFormatting sqref="A85">
    <cfRule type="expression" dxfId="6280" priority="168">
      <formula>$AH85=0</formula>
    </cfRule>
  </conditionalFormatting>
  <conditionalFormatting sqref="A82">
    <cfRule type="expression" dxfId="6279" priority="169">
      <formula>$AH82=0</formula>
    </cfRule>
  </conditionalFormatting>
  <conditionalFormatting sqref="A112">
    <cfRule type="expression" dxfId="6278" priority="159">
      <formula>$AH112=0</formula>
    </cfRule>
  </conditionalFormatting>
  <conditionalFormatting sqref="C105:AF105">
    <cfRule type="expression" dxfId="6277" priority="155">
      <formula>C$9&gt;=20/24</formula>
    </cfRule>
    <cfRule type="expression" dxfId="6276" priority="156">
      <formula>AND(C$9&gt;=14/24,C$9&lt;20/24)</formula>
    </cfRule>
    <cfRule type="expression" dxfId="6275" priority="157">
      <formula>AND(C$9&gt;=8/24,C$9&lt;14/24)</formula>
    </cfRule>
    <cfRule type="expression" dxfId="6274" priority="158">
      <formula>C$9&lt;8/24</formula>
    </cfRule>
  </conditionalFormatting>
  <conditionalFormatting sqref="A105">
    <cfRule type="expression" dxfId="6273" priority="154">
      <formula>$AH105=0</formula>
    </cfRule>
  </conditionalFormatting>
  <conditionalFormatting sqref="U55:AF59">
    <cfRule type="expression" dxfId="6272" priority="146">
      <formula>U$9&gt;=20/24</formula>
    </cfRule>
    <cfRule type="expression" dxfId="6271" priority="147">
      <formula>AND(U$9&gt;=14/24,U$9&lt;20/24)</formula>
    </cfRule>
    <cfRule type="expression" dxfId="6270" priority="148">
      <formula>AND(U$9&gt;=8/24,U$9&lt;14/24)</formula>
    </cfRule>
    <cfRule type="expression" dxfId="6269" priority="149">
      <formula>U$9&lt;8/24</formula>
    </cfRule>
  </conditionalFormatting>
  <conditionalFormatting sqref="U55:AF59">
    <cfRule type="expression" dxfId="6268" priority="145">
      <formula>U55&gt;$AG55</formula>
    </cfRule>
  </conditionalFormatting>
  <conditionalFormatting sqref="A19">
    <cfRule type="expression" dxfId="6267" priority="142">
      <formula>$AH19=0</formula>
    </cfRule>
  </conditionalFormatting>
  <conditionalFormatting sqref="AL19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266" priority="132">
      <formula>$AH33=0</formula>
    </cfRule>
  </conditionalFormatting>
  <conditionalFormatting sqref="AL3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B104 B106:B111 B22:AF26 B11:AF11 B17:AF18 B15:AF15">
    <cfRule type="expression" dxfId="6265" priority="113">
      <formula>B$9&gt;=20/24</formula>
    </cfRule>
    <cfRule type="expression" dxfId="6264" priority="114">
      <formula>AND(B$9&gt;=14/24,B$9&lt;20/24)</formula>
    </cfRule>
    <cfRule type="expression" dxfId="6263" priority="115">
      <formula>AND(B$9&gt;=8/24,B$9&lt;14/24)</formula>
    </cfRule>
    <cfRule type="expression" dxfId="6262" priority="116">
      <formula>B$9&lt;8/24</formula>
    </cfRule>
  </conditionalFormatting>
  <conditionalFormatting sqref="B42:D42">
    <cfRule type="expression" dxfId="6261" priority="109">
      <formula>B$9&gt;=20/24</formula>
    </cfRule>
    <cfRule type="expression" dxfId="6260" priority="110">
      <formula>AND(B$9&gt;=14/24,B$9&lt;20/24)</formula>
    </cfRule>
    <cfRule type="expression" dxfId="6259" priority="111">
      <formula>AND(B$9&gt;=8/24,B$9&lt;14/24)</formula>
    </cfRule>
    <cfRule type="expression" dxfId="6258" priority="112">
      <formula>B$9&lt;8/24</formula>
    </cfRule>
  </conditionalFormatting>
  <conditionalFormatting sqref="B42:D42 B20:AF20 B40:AF40 B22:AF26 B11:AF18">
    <cfRule type="expression" dxfId="6257" priority="108">
      <formula>B11&gt;$AG11</formula>
    </cfRule>
  </conditionalFormatting>
  <conditionalFormatting sqref="B94">
    <cfRule type="expression" dxfId="6256" priority="104">
      <formula>B$9&gt;=20/24</formula>
    </cfRule>
    <cfRule type="expression" dxfId="6255" priority="105">
      <formula>AND(B$9&gt;=14/24,B$9&lt;20/24)</formula>
    </cfRule>
    <cfRule type="expression" dxfId="6254" priority="106">
      <formula>AND(B$9&gt;=8/24,B$9&lt;14/24)</formula>
    </cfRule>
    <cfRule type="expression" dxfId="6253" priority="107">
      <formula>B$9&lt;8/24</formula>
    </cfRule>
  </conditionalFormatting>
  <conditionalFormatting sqref="B49:B50 B66:U66">
    <cfRule type="expression" dxfId="6252" priority="100">
      <formula>B$9&gt;=20/24</formula>
    </cfRule>
    <cfRule type="expression" dxfId="6251" priority="101">
      <formula>AND(B$9&gt;=14/24,B$9&lt;20/24)</formula>
    </cfRule>
    <cfRule type="expression" dxfId="6250" priority="102">
      <formula>AND(B$9&gt;=8/24,B$9&lt;14/24)</formula>
    </cfRule>
    <cfRule type="expression" dxfId="6249" priority="103">
      <formula>B$9&lt;8/24</formula>
    </cfRule>
  </conditionalFormatting>
  <conditionalFormatting sqref="B48">
    <cfRule type="expression" dxfId="6248" priority="96">
      <formula>B$9&gt;=20/24</formula>
    </cfRule>
    <cfRule type="expression" dxfId="6247" priority="97">
      <formula>AND(B$9&gt;=14/24,B$9&lt;20/24)</formula>
    </cfRule>
    <cfRule type="expression" dxfId="6246" priority="98">
      <formula>AND(B$9&gt;=8/24,B$9&lt;14/24)</formula>
    </cfRule>
    <cfRule type="expression" dxfId="6245" priority="99">
      <formula>B$9&lt;8/24</formula>
    </cfRule>
  </conditionalFormatting>
  <conditionalFormatting sqref="B48:B50">
    <cfRule type="expression" dxfId="6244" priority="95">
      <formula>B48&gt;$AG48</formula>
    </cfRule>
  </conditionalFormatting>
  <conditionalFormatting sqref="B91 B78:B81 B95:B101 C78:C80 B62:E64 B67:U76 V71:W76 B28:AF30 B32:AF32 B20:AF20 B34:AF37 B12:AF14">
    <cfRule type="expression" dxfId="6243" priority="91">
      <formula>B$9&gt;=20/24</formula>
    </cfRule>
    <cfRule type="expression" dxfId="6242" priority="92">
      <formula>AND(B$9&gt;=14/24,B$9&lt;20/24)</formula>
    </cfRule>
    <cfRule type="expression" dxfId="6241" priority="93">
      <formula>AND(B$9&gt;=8/24,B$9&lt;14/24)</formula>
    </cfRule>
    <cfRule type="expression" dxfId="6240" priority="94">
      <formula>B$9&lt;8/24</formula>
    </cfRule>
  </conditionalFormatting>
  <conditionalFormatting sqref="B38:AF38">
    <cfRule type="expression" dxfId="6239" priority="87">
      <formula>B$9&gt;=20/24</formula>
    </cfRule>
    <cfRule type="expression" dxfId="6238" priority="88">
      <formula>AND(B$9&gt;=14/24,B$9&lt;20/24)</formula>
    </cfRule>
    <cfRule type="expression" dxfId="6237" priority="89">
      <formula>AND(B$9&gt;=8/24,B$9&lt;14/24)</formula>
    </cfRule>
    <cfRule type="expression" dxfId="6236" priority="90">
      <formula>B$9&lt;8/24</formula>
    </cfRule>
  </conditionalFormatting>
  <conditionalFormatting sqref="B51:B52 B60 B62:E64 B28:AF32 B34:AF38">
    <cfRule type="expression" dxfId="6235" priority="86">
      <formula>B28&gt;$AG28</formula>
    </cfRule>
  </conditionalFormatting>
  <conditionalFormatting sqref="B40:AF40">
    <cfRule type="expression" dxfId="6234" priority="82">
      <formula>B$9&gt;=20/24</formula>
    </cfRule>
    <cfRule type="expression" dxfId="6233" priority="83">
      <formula>AND(B$9&gt;=14/24,B$9&lt;20/24)</formula>
    </cfRule>
    <cfRule type="expression" dxfId="6232" priority="84">
      <formula>AND(B$9&gt;=8/24,B$9&lt;14/24)</formula>
    </cfRule>
    <cfRule type="expression" dxfId="6231" priority="85">
      <formula>B$9&lt;8/24</formula>
    </cfRule>
  </conditionalFormatting>
  <conditionalFormatting sqref="B16:AF16">
    <cfRule type="expression" dxfId="6230" priority="78">
      <formula>B$9&gt;=20/24</formula>
    </cfRule>
    <cfRule type="expression" dxfId="6229" priority="79">
      <formula>AND(B$9&gt;=14/24,B$9&lt;20/24)</formula>
    </cfRule>
    <cfRule type="expression" dxfId="6228" priority="80">
      <formula>AND(B$9&gt;=8/24,B$9&lt;14/24)</formula>
    </cfRule>
    <cfRule type="expression" dxfId="6227" priority="81">
      <formula>B$9&lt;8/24</formula>
    </cfRule>
  </conditionalFormatting>
  <conditionalFormatting sqref="B39:AF39">
    <cfRule type="expression" dxfId="6226" priority="74">
      <formula>B$9&gt;=20/24</formula>
    </cfRule>
    <cfRule type="expression" dxfId="6225" priority="75">
      <formula>AND(B$9&gt;=14/24,B$9&lt;20/24)</formula>
    </cfRule>
    <cfRule type="expression" dxfId="6224" priority="76">
      <formula>AND(B$9&gt;=8/24,B$9&lt;14/24)</formula>
    </cfRule>
    <cfRule type="expression" dxfId="6223" priority="77">
      <formula>B$9&lt;8/24</formula>
    </cfRule>
  </conditionalFormatting>
  <conditionalFormatting sqref="B39:AF39">
    <cfRule type="expression" dxfId="6222" priority="73">
      <formula>B39&gt;$AG39</formula>
    </cfRule>
  </conditionalFormatting>
  <conditionalFormatting sqref="B53:B59 C55:T59">
    <cfRule type="expression" dxfId="6221" priority="69">
      <formula>B$9&gt;=20/24</formula>
    </cfRule>
    <cfRule type="expression" dxfId="6220" priority="70">
      <formula>AND(B$9&gt;=14/24,B$9&lt;20/24)</formula>
    </cfRule>
    <cfRule type="expression" dxfId="6219" priority="71">
      <formula>AND(B$9&gt;=8/24,B$9&lt;14/24)</formula>
    </cfRule>
    <cfRule type="expression" dxfId="6218" priority="72">
      <formula>B$9&lt;8/24</formula>
    </cfRule>
  </conditionalFormatting>
  <conditionalFormatting sqref="B53:B59 C55:T59">
    <cfRule type="expression" dxfId="6217" priority="68">
      <formula>B53&gt;$AG53</formula>
    </cfRule>
  </conditionalFormatting>
  <conditionalFormatting sqref="B31:AF31">
    <cfRule type="expression" dxfId="6216" priority="64">
      <formula>B$9&gt;=20/24</formula>
    </cfRule>
    <cfRule type="expression" dxfId="6215" priority="65">
      <formula>AND(B$9&gt;=14/24,B$9&lt;20/24)</formula>
    </cfRule>
    <cfRule type="expression" dxfId="6214" priority="66">
      <formula>AND(B$9&gt;=8/24,B$9&lt;14/24)</formula>
    </cfRule>
    <cfRule type="expression" dxfId="6213" priority="67">
      <formula>B$9&lt;8/24</formula>
    </cfRule>
  </conditionalFormatting>
  <conditionalFormatting sqref="B21:AF21 B27:AF27">
    <cfRule type="expression" dxfId="6212" priority="60">
      <formula>B$9&gt;=20/24</formula>
    </cfRule>
    <cfRule type="expression" dxfId="6211" priority="61">
      <formula>AND(B$9&gt;=14/24,B$9&lt;20/24)</formula>
    </cfRule>
    <cfRule type="expression" dxfId="6210" priority="62">
      <formula>AND(B$9&gt;=8/24,B$9&lt;14/24)</formula>
    </cfRule>
    <cfRule type="expression" dxfId="6209" priority="63">
      <formula>B$9&lt;8/24</formula>
    </cfRule>
  </conditionalFormatting>
  <conditionalFormatting sqref="B21:AF21 B27:AF27">
    <cfRule type="expression" dxfId="6208" priority="59">
      <formula>B21&gt;$AG21</formula>
    </cfRule>
  </conditionalFormatting>
  <conditionalFormatting sqref="B83 B92">
    <cfRule type="expression" dxfId="6207" priority="55">
      <formula>B$9&gt;=20/24</formula>
    </cfRule>
    <cfRule type="expression" dxfId="6206" priority="56">
      <formula>AND(B$9&gt;=14/24,B$9&lt;20/24)</formula>
    </cfRule>
    <cfRule type="expression" dxfId="6205" priority="57">
      <formula>AND(B$9&gt;=8/24,B$9&lt;14/24)</formula>
    </cfRule>
    <cfRule type="expression" dxfId="6204" priority="58">
      <formula>B$9&lt;8/24</formula>
    </cfRule>
  </conditionalFormatting>
  <conditionalFormatting sqref="B84 B65 B82 B93">
    <cfRule type="expression" dxfId="6203" priority="51">
      <formula>B$9&gt;=20/24</formula>
    </cfRule>
    <cfRule type="expression" dxfId="6202" priority="52">
      <formula>AND(B$9&gt;=14/24,B$9&lt;20/24)</formula>
    </cfRule>
    <cfRule type="expression" dxfId="6201" priority="53">
      <formula>AND(B$9&gt;=8/24,B$9&lt;14/24)</formula>
    </cfRule>
    <cfRule type="expression" dxfId="6200" priority="54">
      <formula>B$9&lt;8/24</formula>
    </cfRule>
  </conditionalFormatting>
  <conditionalFormatting sqref="B43 B61 B65">
    <cfRule type="expression" dxfId="6199" priority="50">
      <formula>B43&gt;$AG43</formula>
    </cfRule>
  </conditionalFormatting>
  <conditionalFormatting sqref="B77">
    <cfRule type="expression" dxfId="6198" priority="46">
      <formula>B$9&gt;=20/24</formula>
    </cfRule>
    <cfRule type="expression" dxfId="6197" priority="47">
      <formula>AND(B$9&gt;=14/24,B$9&lt;20/24)</formula>
    </cfRule>
    <cfRule type="expression" dxfId="6196" priority="48">
      <formula>AND(B$9&gt;=8/24,B$9&lt;14/24)</formula>
    </cfRule>
    <cfRule type="expression" dxfId="6195" priority="49">
      <formula>B$9&lt;8/24</formula>
    </cfRule>
  </conditionalFormatting>
  <conditionalFormatting sqref="B86:B90">
    <cfRule type="expression" dxfId="6194" priority="42">
      <formula>B$9&gt;=20/24</formula>
    </cfRule>
    <cfRule type="expression" dxfId="6193" priority="43">
      <formula>AND(B$9&gt;=14/24,B$9&lt;20/24)</formula>
    </cfRule>
    <cfRule type="expression" dxfId="6192" priority="44">
      <formula>AND(B$9&gt;=8/24,B$9&lt;14/24)</formula>
    </cfRule>
    <cfRule type="expression" dxfId="6191" priority="45">
      <formula>B$9&lt;8/24</formula>
    </cfRule>
  </conditionalFormatting>
  <conditionalFormatting sqref="B44:B46">
    <cfRule type="expression" dxfId="6190" priority="38">
      <formula>B$9&gt;=20/24</formula>
    </cfRule>
    <cfRule type="expression" dxfId="6189" priority="39">
      <formula>AND(B$9&gt;=14/24,B$9&lt;20/24)</formula>
    </cfRule>
    <cfRule type="expression" dxfId="6188" priority="40">
      <formula>AND(B$9&gt;=8/24,B$9&lt;14/24)</formula>
    </cfRule>
    <cfRule type="expression" dxfId="6187" priority="41">
      <formula>B$9&lt;8/24</formula>
    </cfRule>
  </conditionalFormatting>
  <conditionalFormatting sqref="B44:B46">
    <cfRule type="expression" dxfId="6186" priority="37">
      <formula>B44&gt;$AG44</formula>
    </cfRule>
  </conditionalFormatting>
  <conditionalFormatting sqref="B47">
    <cfRule type="expression" dxfId="6185" priority="33">
      <formula>B$9&gt;=20/24</formula>
    </cfRule>
    <cfRule type="expression" dxfId="6184" priority="34">
      <formula>AND(B$9&gt;=14/24,B$9&lt;20/24)</formula>
    </cfRule>
    <cfRule type="expression" dxfId="6183" priority="35">
      <formula>AND(B$9&gt;=8/24,B$9&lt;14/24)</formula>
    </cfRule>
    <cfRule type="expression" dxfId="6182" priority="36">
      <formula>B$9&lt;8/24</formula>
    </cfRule>
  </conditionalFormatting>
  <conditionalFormatting sqref="B47">
    <cfRule type="expression" dxfId="6181" priority="32">
      <formula>B47&gt;$AG47</formula>
    </cfRule>
  </conditionalFormatting>
  <conditionalFormatting sqref="B102">
    <cfRule type="expression" dxfId="6180" priority="28">
      <formula>B$9&gt;=20/24</formula>
    </cfRule>
    <cfRule type="expression" dxfId="6179" priority="29">
      <formula>AND(B$9&gt;=14/24,B$9&lt;20/24)</formula>
    </cfRule>
    <cfRule type="expression" dxfId="6178" priority="30">
      <formula>AND(B$9&gt;=8/24,B$9&lt;14/24)</formula>
    </cfRule>
    <cfRule type="expression" dxfId="6177" priority="31">
      <formula>B$9&lt;8/24</formula>
    </cfRule>
  </conditionalFormatting>
  <conditionalFormatting sqref="B105">
    <cfRule type="expression" dxfId="6176" priority="16">
      <formula>B$9&gt;=20/24</formula>
    </cfRule>
    <cfRule type="expression" dxfId="6175" priority="17">
      <formula>AND(B$9&gt;=14/24,B$9&lt;20/24)</formula>
    </cfRule>
    <cfRule type="expression" dxfId="6174" priority="18">
      <formula>AND(B$9&gt;=8/24,B$9&lt;14/24)</formula>
    </cfRule>
    <cfRule type="expression" dxfId="6173" priority="19">
      <formula>B$9&lt;8/24</formula>
    </cfRule>
  </conditionalFormatting>
  <conditionalFormatting sqref="B19:AF19">
    <cfRule type="expression" dxfId="6172" priority="15">
      <formula>B19&gt;$AG19</formula>
    </cfRule>
  </conditionalFormatting>
  <conditionalFormatting sqref="B19:AF19">
    <cfRule type="expression" dxfId="6171" priority="11">
      <formula>B$9&gt;=20/24</formula>
    </cfRule>
    <cfRule type="expression" dxfId="6170" priority="12">
      <formula>AND(B$9&gt;=14/24,B$9&lt;20/24)</formula>
    </cfRule>
    <cfRule type="expression" dxfId="6169" priority="13">
      <formula>AND(B$9&gt;=8/24,B$9&lt;14/24)</formula>
    </cfRule>
    <cfRule type="expression" dxfId="6168" priority="14">
      <formula>B$9&lt;8/24</formula>
    </cfRule>
  </conditionalFormatting>
  <conditionalFormatting sqref="B33:AF33">
    <cfRule type="expression" dxfId="6167" priority="7">
      <formula>B$9&gt;=20/24</formula>
    </cfRule>
    <cfRule type="expression" dxfId="6166" priority="8">
      <formula>AND(B$9&gt;=14/24,B$9&lt;20/24)</formula>
    </cfRule>
    <cfRule type="expression" dxfId="6165" priority="9">
      <formula>AND(B$9&gt;=8/24,B$9&lt;14/24)</formula>
    </cfRule>
    <cfRule type="expression" dxfId="6164" priority="10">
      <formula>B$9&lt;8/24</formula>
    </cfRule>
  </conditionalFormatting>
  <conditionalFormatting sqref="B33:AF33">
    <cfRule type="expression" dxfId="6163" priority="6">
      <formula>B33&gt;$AG33</formula>
    </cfRule>
  </conditionalFormatting>
  <conditionalFormatting sqref="B41:D41">
    <cfRule type="expression" dxfId="6162" priority="2">
      <formula>B$9&gt;=20/24</formula>
    </cfRule>
    <cfRule type="expression" dxfId="6161" priority="3">
      <formula>AND(B$9&gt;=14/24,B$9&lt;20/24)</formula>
    </cfRule>
    <cfRule type="expression" dxfId="6160" priority="4">
      <formula>AND(B$9&gt;=8/24,B$9&lt;14/24)</formula>
    </cfRule>
    <cfRule type="expression" dxfId="6159" priority="5">
      <formula>B$9&lt;8/24</formula>
    </cfRule>
  </conditionalFormatting>
  <conditionalFormatting sqref="B41:D41">
    <cfRule type="expression" dxfId="6158" priority="1">
      <formula>B41&gt;$AG41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1" id="{66ADE6FE-DB8E-44A3-B812-00C689BE83A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2" id="{823BABF7-43E7-48E6-9B40-10E4674F79F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3" id="{170E01AF-CAB0-4D33-BEDD-7939A072637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4" id="{48150244-0C29-46D8-B3D4-F70A2E45801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C85:AF85</xm:sqref>
        </x14:conditionalFormatting>
        <x14:conditionalFormatting xmlns:xm="http://schemas.microsoft.com/office/excel/2006/main">
          <x14:cfRule type="expression" priority="164" id="{EC8E3864-ADA0-4745-A51B-7C0841F9A80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5" id="{B9A9726D-C976-4955-8228-2FC395B13EE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6" id="{A2CC63B2-412F-4CAA-88D2-1D0DEE64154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7" id="{981A6D81-79F0-4E3F-B299-86F07AE58C5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24" id="{A75EC941-B298-4399-9276-BB6864EA294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" id="{664F8F36-D307-4034-922D-648A9B69830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6" id="{55F432A2-0CE3-4FD9-AB05-943286CEAF3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7" id="{0B4E9DB2-7C3E-4EF6-8BC2-2224D9E74C5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</xm:sqref>
        </x14:conditionalFormatting>
        <x14:conditionalFormatting xmlns:xm="http://schemas.microsoft.com/office/excel/2006/main">
          <x14:cfRule type="expression" priority="20" id="{41254764-F58C-44A8-9288-674004377C2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C559BA67-510E-45EA-B21A-D69D937FFC9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5056AB27-28C4-4175-B187-3BEB0AFB0D5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" id="{41156C5D-F93B-4E45-991A-C900757425D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J273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AJ73" sqref="AJ7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2079/08/13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1650MW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Load=986</v>
      </c>
      <c r="B7" s="35">
        <f t="shared" ref="B7:AF7" si="1">B84</f>
        <v>1021.8400000000001</v>
      </c>
      <c r="C7" s="35">
        <f t="shared" si="1"/>
        <v>1031.7400000000002</v>
      </c>
      <c r="D7" s="35">
        <f t="shared" si="1"/>
        <v>985.54000000000019</v>
      </c>
      <c r="E7" s="35">
        <f t="shared" si="1"/>
        <v>1003.8400000000001</v>
      </c>
      <c r="F7" s="35">
        <f t="shared" si="1"/>
        <v>1019.3400000000001</v>
      </c>
      <c r="G7" s="35">
        <f t="shared" si="1"/>
        <v>1067.8400000000001</v>
      </c>
      <c r="H7" s="35">
        <f t="shared" si="1"/>
        <v>1176.04</v>
      </c>
      <c r="I7" s="35">
        <f t="shared" si="1"/>
        <v>1309.8400000000001</v>
      </c>
      <c r="J7" s="35">
        <f t="shared" si="1"/>
        <v>1320.0400000000002</v>
      </c>
      <c r="K7" s="35">
        <f t="shared" si="1"/>
        <v>1601.54</v>
      </c>
      <c r="L7" s="35">
        <f t="shared" si="1"/>
        <v>1611.24</v>
      </c>
      <c r="M7" s="35">
        <f t="shared" si="1"/>
        <v>1650.24</v>
      </c>
      <c r="N7" s="35">
        <f t="shared" si="1"/>
        <v>1540.8400000000001</v>
      </c>
      <c r="O7" s="35">
        <f t="shared" si="1"/>
        <v>1344.8400000000001</v>
      </c>
      <c r="P7" s="35">
        <f t="shared" si="1"/>
        <v>1309.6400000000001</v>
      </c>
      <c r="Q7" s="35">
        <f t="shared" si="1"/>
        <v>1197.74</v>
      </c>
      <c r="R7" s="35">
        <f t="shared" si="1"/>
        <v>1177.24</v>
      </c>
      <c r="S7" s="35">
        <f t="shared" si="1"/>
        <v>1149.44</v>
      </c>
      <c r="T7" s="35">
        <f t="shared" si="1"/>
        <v>1181.1400000000001</v>
      </c>
      <c r="U7" s="35">
        <f t="shared" si="1"/>
        <v>1181.1400000000001</v>
      </c>
      <c r="V7" s="35">
        <f t="shared" si="1"/>
        <v>1433.44</v>
      </c>
      <c r="W7" s="35">
        <f t="shared" si="1"/>
        <v>1569.44</v>
      </c>
      <c r="X7" s="35">
        <f t="shared" si="1"/>
        <v>1681.7400000000002</v>
      </c>
      <c r="Y7" s="35">
        <f t="shared" si="1"/>
        <v>1726.7400000000002</v>
      </c>
      <c r="Z7" s="35">
        <f t="shared" si="1"/>
        <v>1690.0400000000002</v>
      </c>
      <c r="AA7" s="35">
        <f t="shared" si="1"/>
        <v>1625.7400000000002</v>
      </c>
      <c r="AB7" s="35">
        <f t="shared" si="1"/>
        <v>1508.94</v>
      </c>
      <c r="AC7" s="35">
        <f t="shared" si="1"/>
        <v>1478.94</v>
      </c>
      <c r="AD7" s="35">
        <f t="shared" si="1"/>
        <v>1395.44</v>
      </c>
      <c r="AE7" s="35">
        <f t="shared" si="1"/>
        <v>1222.8400000000001</v>
      </c>
      <c r="AF7" s="35">
        <f t="shared" si="1"/>
        <v>1110.2400000000002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K9" s="161"/>
      <c r="AL9" s="227" t="s">
        <v>263</v>
      </c>
      <c r="AM9" s="228"/>
      <c r="AN9" s="228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K10" s="161"/>
      <c r="AL10" s="229" t="s">
        <v>242</v>
      </c>
      <c r="AM10" s="228"/>
      <c r="AN10" s="228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35.5</v>
      </c>
      <c r="C11" s="45">
        <v>35.5</v>
      </c>
      <c r="D11" s="45">
        <v>35.5</v>
      </c>
      <c r="E11" s="45">
        <v>33</v>
      </c>
      <c r="F11" s="45">
        <v>32.4</v>
      </c>
      <c r="G11" s="45">
        <v>32.299999999999997</v>
      </c>
      <c r="H11" s="45">
        <v>32.299999999999997</v>
      </c>
      <c r="I11" s="45">
        <v>32.299999999999997</v>
      </c>
      <c r="J11" s="45">
        <v>32.299999999999997</v>
      </c>
      <c r="K11" s="45">
        <v>32.299999999999997</v>
      </c>
      <c r="L11" s="45">
        <v>32.299999999999997</v>
      </c>
      <c r="M11" s="45">
        <v>32.299999999999997</v>
      </c>
      <c r="N11" s="45">
        <v>32.299999999999997</v>
      </c>
      <c r="O11" s="45">
        <v>32.299999999999997</v>
      </c>
      <c r="P11" s="45">
        <v>32.299999999999997</v>
      </c>
      <c r="Q11" s="45">
        <v>32.299999999999997</v>
      </c>
      <c r="R11" s="45">
        <v>32.299999999999997</v>
      </c>
      <c r="S11" s="45">
        <v>32.299999999999997</v>
      </c>
      <c r="T11" s="45">
        <v>32.299999999999997</v>
      </c>
      <c r="U11" s="45">
        <v>32.299999999999997</v>
      </c>
      <c r="V11" s="45">
        <v>32.299999999999997</v>
      </c>
      <c r="W11" s="45">
        <v>32.299999999999997</v>
      </c>
      <c r="X11" s="46">
        <v>32.299999999999997</v>
      </c>
      <c r="Y11" s="46">
        <v>32.299999999999997</v>
      </c>
      <c r="Z11" s="46">
        <v>32.299999999999997</v>
      </c>
      <c r="AA11" s="46">
        <v>32.299999999999997</v>
      </c>
      <c r="AB11" s="46">
        <v>32.299999999999997</v>
      </c>
      <c r="AC11" s="46">
        <v>32.299999999999997</v>
      </c>
      <c r="AD11" s="46">
        <v>32.299999999999997</v>
      </c>
      <c r="AE11" s="46">
        <v>32.299999999999997</v>
      </c>
      <c r="AF11" s="46">
        <v>32.299999999999997</v>
      </c>
      <c r="AG11" s="47">
        <v>52.4</v>
      </c>
      <c r="AH11" s="48">
        <f>MAX(B11:AF11)</f>
        <v>35.5</v>
      </c>
      <c r="AI11" s="49">
        <f>MIN(B11:AF11)</f>
        <v>32.299999999999997</v>
      </c>
      <c r="AK11" s="230" t="s">
        <v>256</v>
      </c>
      <c r="AL11" s="231">
        <v>7</v>
      </c>
      <c r="AM11" s="232">
        <v>15</v>
      </c>
      <c r="AN11" s="233">
        <f>AL11*AM11</f>
        <v>105</v>
      </c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50.1</v>
      </c>
      <c r="C12" s="45">
        <v>50.1</v>
      </c>
      <c r="D12" s="45">
        <v>50.1</v>
      </c>
      <c r="E12" s="45">
        <v>50.1</v>
      </c>
      <c r="F12" s="45">
        <v>50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8" si="2">MAX(B12:AF12)</f>
        <v>50.3</v>
      </c>
      <c r="AI12" s="49">
        <f t="shared" ref="AI12:AI78" si="3">MIN(B12:AF12)</f>
        <v>50</v>
      </c>
      <c r="AK12" s="230" t="s">
        <v>257</v>
      </c>
      <c r="AL12" s="231">
        <v>7</v>
      </c>
      <c r="AM12" s="232">
        <v>15</v>
      </c>
      <c r="AN12" s="233">
        <f t="shared" ref="AN12:AN17" si="4">AL12*AM12</f>
        <v>105</v>
      </c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30.2</v>
      </c>
      <c r="C13" s="45">
        <v>30.2</v>
      </c>
      <c r="D13" s="45">
        <v>30.2</v>
      </c>
      <c r="E13" s="45">
        <v>30.2</v>
      </c>
      <c r="F13" s="45">
        <v>28.5</v>
      </c>
      <c r="G13" s="45">
        <v>28</v>
      </c>
      <c r="H13" s="45">
        <v>27.3</v>
      </c>
      <c r="I13" s="45">
        <v>27.3</v>
      </c>
      <c r="J13" s="45">
        <v>27.3</v>
      </c>
      <c r="K13" s="45">
        <v>27.3</v>
      </c>
      <c r="L13" s="45">
        <v>27.3</v>
      </c>
      <c r="M13" s="45">
        <v>27.3</v>
      </c>
      <c r="N13" s="45">
        <v>27.3</v>
      </c>
      <c r="O13" s="45">
        <v>27.3</v>
      </c>
      <c r="P13" s="45">
        <v>27.3</v>
      </c>
      <c r="Q13" s="45">
        <v>27.3</v>
      </c>
      <c r="R13" s="45">
        <v>27.3</v>
      </c>
      <c r="S13" s="45">
        <v>27.3</v>
      </c>
      <c r="T13" s="45">
        <v>27.3</v>
      </c>
      <c r="U13" s="45">
        <v>27.3</v>
      </c>
      <c r="V13" s="45">
        <v>27.3</v>
      </c>
      <c r="W13" s="45">
        <v>27.3</v>
      </c>
      <c r="X13" s="45">
        <v>27.3</v>
      </c>
      <c r="Y13" s="45">
        <v>27.3</v>
      </c>
      <c r="Z13" s="45">
        <v>27.3</v>
      </c>
      <c r="AA13" s="45">
        <v>27.3</v>
      </c>
      <c r="AB13" s="45">
        <v>27.3</v>
      </c>
      <c r="AC13" s="45">
        <v>27.3</v>
      </c>
      <c r="AD13" s="45">
        <v>27.3</v>
      </c>
      <c r="AE13" s="45">
        <v>27.3</v>
      </c>
      <c r="AF13" s="45">
        <v>27.3</v>
      </c>
      <c r="AG13" s="51">
        <v>45</v>
      </c>
      <c r="AH13" s="48">
        <f t="shared" si="2"/>
        <v>30.2</v>
      </c>
      <c r="AI13" s="49">
        <f t="shared" si="3"/>
        <v>27.3</v>
      </c>
      <c r="AK13" s="230" t="s">
        <v>258</v>
      </c>
      <c r="AL13" s="231">
        <v>7</v>
      </c>
      <c r="AM13" s="232">
        <v>8</v>
      </c>
      <c r="AN13" s="233">
        <f t="shared" si="4"/>
        <v>56</v>
      </c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18.5</v>
      </c>
      <c r="C14" s="45">
        <v>18.5</v>
      </c>
      <c r="D14" s="45">
        <v>18.5</v>
      </c>
      <c r="E14" s="45">
        <v>18.600000000000001</v>
      </c>
      <c r="F14" s="45">
        <v>18.899999999999999</v>
      </c>
      <c r="G14" s="45">
        <v>18.8</v>
      </c>
      <c r="H14" s="45">
        <v>18.600000000000001</v>
      </c>
      <c r="I14" s="45">
        <v>18.600000000000001</v>
      </c>
      <c r="J14" s="45">
        <v>18.600000000000001</v>
      </c>
      <c r="K14" s="45">
        <v>18.600000000000001</v>
      </c>
      <c r="L14" s="45">
        <v>18.600000000000001</v>
      </c>
      <c r="M14" s="45">
        <v>18.600000000000001</v>
      </c>
      <c r="N14" s="45">
        <v>18.600000000000001</v>
      </c>
      <c r="O14" s="45">
        <v>18.600000000000001</v>
      </c>
      <c r="P14" s="45">
        <v>18.600000000000001</v>
      </c>
      <c r="Q14" s="45">
        <v>18.600000000000001</v>
      </c>
      <c r="R14" s="45">
        <v>18.600000000000001</v>
      </c>
      <c r="S14" s="45">
        <v>18.600000000000001</v>
      </c>
      <c r="T14" s="45">
        <v>18.600000000000001</v>
      </c>
      <c r="U14" s="45">
        <v>18.600000000000001</v>
      </c>
      <c r="V14" s="45">
        <v>18.600000000000001</v>
      </c>
      <c r="W14" s="45">
        <v>18.600000000000001</v>
      </c>
      <c r="X14" s="45">
        <v>28.9</v>
      </c>
      <c r="Y14" s="45">
        <v>28.9</v>
      </c>
      <c r="Z14" s="45">
        <v>28.9</v>
      </c>
      <c r="AA14" s="45">
        <v>28.9</v>
      </c>
      <c r="AB14" s="45">
        <v>18.899999999999999</v>
      </c>
      <c r="AC14" s="45">
        <v>18.899999999999999</v>
      </c>
      <c r="AD14" s="45">
        <v>18.899999999999999</v>
      </c>
      <c r="AE14" s="45">
        <v>18.899999999999999</v>
      </c>
      <c r="AF14" s="45">
        <v>18.899999999999999</v>
      </c>
      <c r="AG14" s="51">
        <v>42</v>
      </c>
      <c r="AH14" s="48">
        <f t="shared" si="2"/>
        <v>28.9</v>
      </c>
      <c r="AI14" s="49">
        <f t="shared" si="3"/>
        <v>18.5</v>
      </c>
      <c r="AK14" s="230" t="s">
        <v>259</v>
      </c>
      <c r="AL14" s="231">
        <v>7</v>
      </c>
      <c r="AM14" s="232">
        <v>2</v>
      </c>
      <c r="AN14" s="233">
        <f t="shared" si="4"/>
        <v>14</v>
      </c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12</v>
      </c>
      <c r="D15" s="45">
        <v>12</v>
      </c>
      <c r="E15" s="45">
        <v>12</v>
      </c>
      <c r="F15" s="45">
        <v>12</v>
      </c>
      <c r="G15" s="45">
        <v>12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12</v>
      </c>
      <c r="AK15" s="230" t="s">
        <v>260</v>
      </c>
      <c r="AL15" s="231">
        <v>7</v>
      </c>
      <c r="AM15" s="232">
        <v>5</v>
      </c>
      <c r="AN15" s="233">
        <f t="shared" si="4"/>
        <v>35</v>
      </c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5</v>
      </c>
      <c r="C16" s="45">
        <v>5</v>
      </c>
      <c r="D16" s="45">
        <v>5</v>
      </c>
      <c r="E16" s="45">
        <v>0</v>
      </c>
      <c r="F16" s="45">
        <v>0</v>
      </c>
      <c r="G16" s="45">
        <v>5</v>
      </c>
      <c r="H16" s="45">
        <v>18.3</v>
      </c>
      <c r="I16" s="45">
        <v>18.3</v>
      </c>
      <c r="J16" s="45">
        <v>18.3</v>
      </c>
      <c r="K16" s="45">
        <v>18.3</v>
      </c>
      <c r="L16" s="45">
        <v>18.3</v>
      </c>
      <c r="M16" s="45">
        <v>18.3</v>
      </c>
      <c r="N16" s="45">
        <v>18.3</v>
      </c>
      <c r="O16" s="45">
        <v>18.3</v>
      </c>
      <c r="P16" s="45">
        <v>18.3</v>
      </c>
      <c r="Q16" s="45">
        <v>16</v>
      </c>
      <c r="R16" s="45">
        <v>15.6</v>
      </c>
      <c r="S16" s="45">
        <v>15.6</v>
      </c>
      <c r="T16" s="45">
        <v>15.6</v>
      </c>
      <c r="U16" s="45">
        <v>15.6</v>
      </c>
      <c r="V16" s="45">
        <v>15.6</v>
      </c>
      <c r="W16" s="45">
        <v>15.6</v>
      </c>
      <c r="X16" s="45">
        <v>18</v>
      </c>
      <c r="Y16" s="45">
        <v>18</v>
      </c>
      <c r="Z16" s="45">
        <v>18</v>
      </c>
      <c r="AA16" s="45">
        <v>18</v>
      </c>
      <c r="AB16" s="45">
        <v>18</v>
      </c>
      <c r="AC16" s="45">
        <v>18</v>
      </c>
      <c r="AD16" s="45">
        <v>18</v>
      </c>
      <c r="AE16" s="45">
        <v>10</v>
      </c>
      <c r="AF16" s="45">
        <v>5</v>
      </c>
      <c r="AG16" s="52">
        <v>30</v>
      </c>
      <c r="AH16" s="48">
        <f t="shared" si="2"/>
        <v>18.3</v>
      </c>
      <c r="AI16" s="49">
        <f t="shared" si="3"/>
        <v>0</v>
      </c>
      <c r="AK16" s="230" t="s">
        <v>261</v>
      </c>
      <c r="AL16" s="231">
        <v>3</v>
      </c>
      <c r="AM16" s="232">
        <v>12</v>
      </c>
      <c r="AN16" s="233">
        <f t="shared" si="4"/>
        <v>36</v>
      </c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15.4</v>
      </c>
      <c r="C17" s="45">
        <v>15.4</v>
      </c>
      <c r="D17" s="45">
        <v>15.4</v>
      </c>
      <c r="E17" s="45">
        <v>15.3</v>
      </c>
      <c r="F17" s="45">
        <v>15.3</v>
      </c>
      <c r="G17" s="45">
        <v>15.3</v>
      </c>
      <c r="H17" s="45">
        <v>15</v>
      </c>
      <c r="I17" s="45">
        <v>15</v>
      </c>
      <c r="J17" s="45">
        <v>15</v>
      </c>
      <c r="K17" s="45">
        <v>15</v>
      </c>
      <c r="L17" s="45">
        <v>15</v>
      </c>
      <c r="M17" s="45">
        <v>15</v>
      </c>
      <c r="N17" s="45">
        <v>15</v>
      </c>
      <c r="O17" s="45">
        <v>15</v>
      </c>
      <c r="P17" s="45">
        <v>15</v>
      </c>
      <c r="Q17" s="45">
        <v>15</v>
      </c>
      <c r="R17" s="45">
        <v>15</v>
      </c>
      <c r="S17" s="45">
        <v>15</v>
      </c>
      <c r="T17" s="45">
        <v>15</v>
      </c>
      <c r="U17" s="45">
        <v>15</v>
      </c>
      <c r="V17" s="45">
        <v>15</v>
      </c>
      <c r="W17" s="45">
        <v>15</v>
      </c>
      <c r="X17" s="45">
        <v>15.4</v>
      </c>
      <c r="Y17" s="45">
        <v>15.4</v>
      </c>
      <c r="Z17" s="45">
        <v>15.4</v>
      </c>
      <c r="AA17" s="45">
        <v>15.4</v>
      </c>
      <c r="AB17" s="45">
        <v>15.4</v>
      </c>
      <c r="AC17" s="45">
        <v>15.4</v>
      </c>
      <c r="AD17" s="45">
        <v>15.4</v>
      </c>
      <c r="AE17" s="45">
        <v>15.4</v>
      </c>
      <c r="AF17" s="45">
        <v>15.4</v>
      </c>
      <c r="AG17" s="51">
        <v>24.2</v>
      </c>
      <c r="AH17" s="48">
        <f t="shared" si="2"/>
        <v>15.4</v>
      </c>
      <c r="AI17" s="49">
        <f t="shared" si="3"/>
        <v>15</v>
      </c>
      <c r="AK17" s="230" t="s">
        <v>262</v>
      </c>
      <c r="AL17" s="231">
        <v>7</v>
      </c>
      <c r="AM17" s="232">
        <v>4</v>
      </c>
      <c r="AN17" s="233">
        <f t="shared" si="4"/>
        <v>28</v>
      </c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17</v>
      </c>
      <c r="C18" s="45">
        <v>17</v>
      </c>
      <c r="D18" s="45">
        <v>17</v>
      </c>
      <c r="E18" s="45">
        <v>17</v>
      </c>
      <c r="F18" s="45">
        <v>17</v>
      </c>
      <c r="G18" s="45">
        <v>17</v>
      </c>
      <c r="H18" s="45">
        <v>17</v>
      </c>
      <c r="I18" s="45">
        <v>17</v>
      </c>
      <c r="J18" s="45">
        <v>17</v>
      </c>
      <c r="K18" s="45">
        <v>17</v>
      </c>
      <c r="L18" s="45">
        <v>17</v>
      </c>
      <c r="M18" s="45">
        <v>17</v>
      </c>
      <c r="N18" s="45">
        <v>17</v>
      </c>
      <c r="O18" s="45">
        <v>17</v>
      </c>
      <c r="P18" s="45">
        <v>17</v>
      </c>
      <c r="Q18" s="45">
        <v>17</v>
      </c>
      <c r="R18" s="45">
        <v>17</v>
      </c>
      <c r="S18" s="45">
        <v>17</v>
      </c>
      <c r="T18" s="45">
        <v>17</v>
      </c>
      <c r="U18" s="45">
        <v>17</v>
      </c>
      <c r="V18" s="45">
        <v>17</v>
      </c>
      <c r="W18" s="45">
        <v>17</v>
      </c>
      <c r="X18" s="45">
        <v>18</v>
      </c>
      <c r="Y18" s="45">
        <v>18</v>
      </c>
      <c r="Z18" s="45">
        <v>18</v>
      </c>
      <c r="AA18" s="45">
        <v>18</v>
      </c>
      <c r="AB18" s="45">
        <v>18</v>
      </c>
      <c r="AC18" s="45">
        <v>18</v>
      </c>
      <c r="AD18" s="45">
        <v>18</v>
      </c>
      <c r="AE18" s="45">
        <v>18</v>
      </c>
      <c r="AF18" s="45">
        <v>18</v>
      </c>
      <c r="AG18" s="51">
        <v>28</v>
      </c>
      <c r="AH18" s="48">
        <f t="shared" si="2"/>
        <v>18</v>
      </c>
      <c r="AI18" s="49">
        <f t="shared" si="3"/>
        <v>17</v>
      </c>
      <c r="AK18" s="234"/>
      <c r="AL18" s="18"/>
      <c r="AM18" s="228"/>
      <c r="AN18" s="233">
        <f>SUM(AN11:AN17)</f>
        <v>379</v>
      </c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3</v>
      </c>
      <c r="H19" s="45">
        <v>18</v>
      </c>
      <c r="I19" s="45">
        <v>18</v>
      </c>
      <c r="J19" s="45">
        <v>18</v>
      </c>
      <c r="K19" s="45">
        <v>18</v>
      </c>
      <c r="L19" s="45">
        <v>18</v>
      </c>
      <c r="M19" s="45">
        <v>18</v>
      </c>
      <c r="N19" s="45">
        <v>18</v>
      </c>
      <c r="O19" s="45">
        <v>18</v>
      </c>
      <c r="P19" s="45">
        <v>18</v>
      </c>
      <c r="Q19" s="45">
        <v>18</v>
      </c>
      <c r="R19" s="45">
        <v>18</v>
      </c>
      <c r="S19" s="45">
        <v>18</v>
      </c>
      <c r="T19" s="45">
        <v>18</v>
      </c>
      <c r="U19" s="45">
        <v>18</v>
      </c>
      <c r="V19" s="45">
        <v>18</v>
      </c>
      <c r="W19" s="45">
        <v>18</v>
      </c>
      <c r="X19" s="45">
        <v>18</v>
      </c>
      <c r="Y19" s="45">
        <v>18</v>
      </c>
      <c r="Z19" s="45">
        <v>18</v>
      </c>
      <c r="AA19" s="45">
        <v>18</v>
      </c>
      <c r="AB19" s="45">
        <v>18</v>
      </c>
      <c r="AC19" s="45">
        <v>18</v>
      </c>
      <c r="AD19" s="45">
        <v>18</v>
      </c>
      <c r="AE19" s="45">
        <v>10</v>
      </c>
      <c r="AF19" s="45">
        <v>0</v>
      </c>
      <c r="AG19" s="52">
        <v>30</v>
      </c>
      <c r="AH19" s="48">
        <f t="shared" si="2"/>
        <v>18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16.8</v>
      </c>
      <c r="C20" s="45">
        <v>16.8</v>
      </c>
      <c r="D20" s="45">
        <v>16.8</v>
      </c>
      <c r="E20" s="45">
        <v>16.8</v>
      </c>
      <c r="F20" s="45">
        <v>16.8</v>
      </c>
      <c r="G20" s="45">
        <v>16.8</v>
      </c>
      <c r="H20" s="45">
        <v>16.8</v>
      </c>
      <c r="I20" s="45">
        <v>16.8</v>
      </c>
      <c r="J20" s="45">
        <v>16.8</v>
      </c>
      <c r="K20" s="45">
        <v>16.8</v>
      </c>
      <c r="L20" s="45">
        <v>16.8</v>
      </c>
      <c r="M20" s="45">
        <v>16.8</v>
      </c>
      <c r="N20" s="45">
        <v>16.8</v>
      </c>
      <c r="O20" s="45">
        <v>16.8</v>
      </c>
      <c r="P20" s="45">
        <v>16.8</v>
      </c>
      <c r="Q20" s="45">
        <v>16.8</v>
      </c>
      <c r="R20" s="45">
        <v>16.8</v>
      </c>
      <c r="S20" s="45">
        <v>16.8</v>
      </c>
      <c r="T20" s="45">
        <v>16.8</v>
      </c>
      <c r="U20" s="45">
        <v>16.8</v>
      </c>
      <c r="V20" s="45">
        <v>16.8</v>
      </c>
      <c r="W20" s="45">
        <v>16.8</v>
      </c>
      <c r="X20" s="45">
        <v>16.8</v>
      </c>
      <c r="Y20" s="45">
        <v>16.8</v>
      </c>
      <c r="Z20" s="45">
        <v>16.8</v>
      </c>
      <c r="AA20" s="45">
        <v>16.8</v>
      </c>
      <c r="AB20" s="45">
        <v>16.8</v>
      </c>
      <c r="AC20" s="45">
        <v>16.8</v>
      </c>
      <c r="AD20" s="45">
        <v>16.8</v>
      </c>
      <c r="AE20" s="45">
        <v>16.8</v>
      </c>
      <c r="AF20" s="45">
        <v>16.8</v>
      </c>
      <c r="AG20" s="51">
        <v>25</v>
      </c>
      <c r="AH20" s="48">
        <f t="shared" si="2"/>
        <v>16.8</v>
      </c>
      <c r="AI20" s="49">
        <f t="shared" si="3"/>
        <v>16.8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17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16</v>
      </c>
      <c r="N23" s="45">
        <v>16</v>
      </c>
      <c r="O23" s="45">
        <v>16</v>
      </c>
      <c r="P23" s="45">
        <v>16</v>
      </c>
      <c r="Q23" s="45">
        <v>16</v>
      </c>
      <c r="R23" s="45">
        <v>16</v>
      </c>
      <c r="S23" s="45">
        <v>16</v>
      </c>
      <c r="T23" s="45">
        <v>16</v>
      </c>
      <c r="U23" s="45">
        <v>16</v>
      </c>
      <c r="V23" s="45">
        <v>16</v>
      </c>
      <c r="W23" s="45">
        <v>16</v>
      </c>
      <c r="X23" s="45">
        <v>16</v>
      </c>
      <c r="Y23" s="45">
        <v>16</v>
      </c>
      <c r="Z23" s="45">
        <v>16</v>
      </c>
      <c r="AA23" s="45">
        <v>16</v>
      </c>
      <c r="AB23" s="45">
        <v>16</v>
      </c>
      <c r="AC23" s="45">
        <v>16</v>
      </c>
      <c r="AD23" s="45">
        <v>16</v>
      </c>
      <c r="AE23" s="45">
        <v>16</v>
      </c>
      <c r="AF23" s="45">
        <v>16</v>
      </c>
      <c r="AG23" s="51">
        <v>25</v>
      </c>
      <c r="AH23" s="48">
        <f t="shared" si="2"/>
        <v>17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11.9</v>
      </c>
      <c r="C24" s="45">
        <v>11.9</v>
      </c>
      <c r="D24" s="45">
        <v>11.9</v>
      </c>
      <c r="E24" s="45">
        <v>12.6</v>
      </c>
      <c r="F24" s="45">
        <v>14</v>
      </c>
      <c r="G24" s="45">
        <v>14.2</v>
      </c>
      <c r="H24" s="45">
        <v>14.2</v>
      </c>
      <c r="I24" s="45">
        <v>14.2</v>
      </c>
      <c r="J24" s="45">
        <v>14.2</v>
      </c>
      <c r="K24" s="45">
        <v>14.2</v>
      </c>
      <c r="L24" s="45">
        <v>14.2</v>
      </c>
      <c r="M24" s="45">
        <v>14.2</v>
      </c>
      <c r="N24" s="45">
        <v>14.2</v>
      </c>
      <c r="O24" s="45">
        <v>14.2</v>
      </c>
      <c r="P24" s="45">
        <v>14.2</v>
      </c>
      <c r="Q24" s="45">
        <v>14.2</v>
      </c>
      <c r="R24" s="45">
        <v>14.2</v>
      </c>
      <c r="S24" s="45">
        <v>14.2</v>
      </c>
      <c r="T24" s="45">
        <v>14.2</v>
      </c>
      <c r="U24" s="45">
        <v>14.2</v>
      </c>
      <c r="V24" s="45">
        <v>14.2</v>
      </c>
      <c r="W24" s="45">
        <v>14.2</v>
      </c>
      <c r="X24" s="45">
        <v>14.2</v>
      </c>
      <c r="Y24" s="45">
        <v>14.2</v>
      </c>
      <c r="Z24" s="45">
        <v>14.2</v>
      </c>
      <c r="AA24" s="45">
        <v>14.2</v>
      </c>
      <c r="AB24" s="45">
        <v>14.2</v>
      </c>
      <c r="AC24" s="45">
        <v>14.2</v>
      </c>
      <c r="AD24" s="45">
        <v>14.2</v>
      </c>
      <c r="AE24" s="45">
        <v>14.2</v>
      </c>
      <c r="AF24" s="45">
        <v>14.2</v>
      </c>
      <c r="AG24" s="51">
        <v>23.5</v>
      </c>
      <c r="AH24" s="48">
        <f t="shared" si="2"/>
        <v>14.2</v>
      </c>
      <c r="AI24" s="49">
        <f t="shared" si="3"/>
        <v>11.9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5</v>
      </c>
      <c r="AF29" s="45">
        <v>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0</v>
      </c>
      <c r="C33" s="45">
        <v>0</v>
      </c>
      <c r="D33" s="45">
        <v>0</v>
      </c>
      <c r="E33" s="45">
        <v>0</v>
      </c>
      <c r="F33" s="45">
        <v>0</v>
      </c>
      <c r="G33" s="45">
        <v>0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7.5</v>
      </c>
      <c r="P33" s="45">
        <v>7</v>
      </c>
      <c r="Q33" s="45">
        <v>7</v>
      </c>
      <c r="R33" s="45">
        <v>7</v>
      </c>
      <c r="S33" s="45">
        <v>7</v>
      </c>
      <c r="T33" s="45">
        <v>7</v>
      </c>
      <c r="U33" s="45">
        <v>7</v>
      </c>
      <c r="V33" s="45">
        <v>7</v>
      </c>
      <c r="W33" s="45">
        <v>7</v>
      </c>
      <c r="X33" s="45">
        <v>7</v>
      </c>
      <c r="Y33" s="45">
        <v>7</v>
      </c>
      <c r="Z33" s="45">
        <v>7</v>
      </c>
      <c r="AA33" s="45">
        <v>7</v>
      </c>
      <c r="AB33" s="45">
        <v>7</v>
      </c>
      <c r="AC33" s="45">
        <v>7</v>
      </c>
      <c r="AD33" s="45">
        <v>7</v>
      </c>
      <c r="AE33" s="45">
        <v>3</v>
      </c>
      <c r="AF33" s="45">
        <v>0</v>
      </c>
      <c r="AG33" s="51">
        <v>12</v>
      </c>
      <c r="AH33" s="48">
        <f t="shared" si="2"/>
        <v>8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3</v>
      </c>
      <c r="C35" s="45">
        <v>3</v>
      </c>
      <c r="D35" s="45">
        <v>3</v>
      </c>
      <c r="E35" s="45">
        <v>3</v>
      </c>
      <c r="F35" s="45">
        <v>3</v>
      </c>
      <c r="G35" s="45">
        <v>3</v>
      </c>
      <c r="H35" s="45">
        <v>3</v>
      </c>
      <c r="I35" s="45">
        <v>3</v>
      </c>
      <c r="J35" s="45">
        <v>3</v>
      </c>
      <c r="K35" s="45">
        <v>3</v>
      </c>
      <c r="L35" s="45">
        <v>3</v>
      </c>
      <c r="M35" s="45">
        <v>3</v>
      </c>
      <c r="N35" s="45">
        <v>3</v>
      </c>
      <c r="O35" s="45">
        <v>3</v>
      </c>
      <c r="P35" s="45">
        <v>3</v>
      </c>
      <c r="Q35" s="45">
        <v>3</v>
      </c>
      <c r="R35" s="45">
        <v>3</v>
      </c>
      <c r="S35" s="45">
        <v>3</v>
      </c>
      <c r="T35" s="45">
        <v>3</v>
      </c>
      <c r="U35" s="45">
        <v>3</v>
      </c>
      <c r="V35" s="45">
        <v>3</v>
      </c>
      <c r="W35" s="45">
        <v>3</v>
      </c>
      <c r="X35" s="45">
        <v>3</v>
      </c>
      <c r="Y35" s="45">
        <v>3</v>
      </c>
      <c r="Z35" s="45">
        <v>3</v>
      </c>
      <c r="AA35" s="45">
        <v>3</v>
      </c>
      <c r="AB35" s="45">
        <v>3</v>
      </c>
      <c r="AC35" s="45">
        <v>3</v>
      </c>
      <c r="AD35" s="45">
        <v>3</v>
      </c>
      <c r="AE35" s="45">
        <v>3</v>
      </c>
      <c r="AF35" s="45">
        <v>3</v>
      </c>
      <c r="AG35" s="51">
        <v>12</v>
      </c>
      <c r="AH35" s="48">
        <f t="shared" si="2"/>
        <v>3</v>
      </c>
      <c r="AI35" s="49">
        <f t="shared" si="3"/>
        <v>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5">
        <v>10</v>
      </c>
      <c r="AH39" s="48">
        <f t="shared" si="2"/>
        <v>7</v>
      </c>
      <c r="AI39" s="49">
        <f t="shared" si="3"/>
        <v>7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2</v>
      </c>
      <c r="Y40" s="45">
        <v>2</v>
      </c>
      <c r="Z40" s="45">
        <v>2</v>
      </c>
      <c r="AA40" s="45">
        <v>2</v>
      </c>
      <c r="AB40" s="45">
        <v>2</v>
      </c>
      <c r="AC40" s="45">
        <v>2</v>
      </c>
      <c r="AD40" s="45">
        <v>2</v>
      </c>
      <c r="AE40" s="45">
        <v>2</v>
      </c>
      <c r="AF40" s="45">
        <v>2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250</v>
      </c>
      <c r="C41" s="57">
        <v>250</v>
      </c>
      <c r="D41" s="57">
        <v>250</v>
      </c>
      <c r="E41" s="57">
        <v>250</v>
      </c>
      <c r="F41" s="57">
        <v>250</v>
      </c>
      <c r="G41" s="57">
        <v>250</v>
      </c>
      <c r="H41" s="57">
        <v>250</v>
      </c>
      <c r="I41" s="57">
        <v>250</v>
      </c>
      <c r="J41" s="57">
        <v>250</v>
      </c>
      <c r="K41" s="57">
        <v>250</v>
      </c>
      <c r="L41" s="57">
        <v>250</v>
      </c>
      <c r="M41" s="57">
        <v>250</v>
      </c>
      <c r="N41" s="57">
        <v>250</v>
      </c>
      <c r="O41" s="57">
        <v>250</v>
      </c>
      <c r="P41" s="57">
        <v>250</v>
      </c>
      <c r="Q41" s="57">
        <v>250</v>
      </c>
      <c r="R41" s="57">
        <v>250</v>
      </c>
      <c r="S41" s="57">
        <v>250</v>
      </c>
      <c r="T41" s="57">
        <v>250</v>
      </c>
      <c r="U41" s="57">
        <v>250</v>
      </c>
      <c r="V41" s="57">
        <v>250</v>
      </c>
      <c r="W41" s="57">
        <v>250</v>
      </c>
      <c r="X41" s="57">
        <v>250</v>
      </c>
      <c r="Y41" s="57">
        <v>250</v>
      </c>
      <c r="Z41" s="57">
        <v>250</v>
      </c>
      <c r="AA41" s="57">
        <v>250</v>
      </c>
      <c r="AB41" s="57">
        <v>250</v>
      </c>
      <c r="AC41" s="57">
        <v>250</v>
      </c>
      <c r="AD41" s="57">
        <v>250</v>
      </c>
      <c r="AE41" s="57">
        <v>250</v>
      </c>
      <c r="AF41" s="57">
        <v>250</v>
      </c>
      <c r="AG41" s="55">
        <v>85</v>
      </c>
      <c r="AH41" s="48">
        <f t="shared" si="2"/>
        <v>250</v>
      </c>
      <c r="AI41" s="49">
        <f t="shared" si="3"/>
        <v>250</v>
      </c>
      <c r="AK41" s="50"/>
    </row>
    <row r="42" spans="1:88" ht="15.75" thickBot="1" x14ac:dyDescent="0.3">
      <c r="A42" s="58" t="s">
        <v>47</v>
      </c>
      <c r="B42" s="59">
        <f>42+36.2</f>
        <v>78.2</v>
      </c>
      <c r="C42" s="59">
        <f>48.9+37.1</f>
        <v>86</v>
      </c>
      <c r="D42" s="59">
        <f>49.4+36.3</f>
        <v>85.699999999999989</v>
      </c>
      <c r="E42" s="59">
        <v>84</v>
      </c>
      <c r="F42" s="59">
        <v>85.4</v>
      </c>
      <c r="G42" s="59">
        <v>87.2</v>
      </c>
      <c r="H42" s="59">
        <v>87</v>
      </c>
      <c r="I42" s="59">
        <v>76</v>
      </c>
      <c r="J42" s="59">
        <v>80.2</v>
      </c>
      <c r="K42" s="59">
        <v>85.3</v>
      </c>
      <c r="L42" s="57">
        <v>86</v>
      </c>
      <c r="M42" s="57">
        <f>36.5+47.7</f>
        <v>84.2</v>
      </c>
      <c r="N42" s="57">
        <f>36.4+49</f>
        <v>85.4</v>
      </c>
      <c r="O42" s="57">
        <f>36.9+49.4</f>
        <v>86.3</v>
      </c>
      <c r="P42" s="57">
        <f>37.6+49.8</f>
        <v>87.4</v>
      </c>
      <c r="Q42" s="57">
        <f>39.2+49.2</f>
        <v>88.4</v>
      </c>
      <c r="R42" s="57">
        <f>38.4+48.3</f>
        <v>86.699999999999989</v>
      </c>
      <c r="S42" s="57">
        <f>36.8+45.9</f>
        <v>82.699999999999989</v>
      </c>
      <c r="T42" s="57">
        <f>38.4+48.1</f>
        <v>86.5</v>
      </c>
      <c r="U42" s="57">
        <f>35.1+47</f>
        <v>82.1</v>
      </c>
      <c r="V42" s="57">
        <f>35.1+47</f>
        <v>82.1</v>
      </c>
      <c r="W42" s="57">
        <f>35.1+47</f>
        <v>82.1</v>
      </c>
      <c r="X42" s="59">
        <f>34+38.2</f>
        <v>72.2</v>
      </c>
      <c r="Y42" s="59">
        <f>34+38.2</f>
        <v>72.2</v>
      </c>
      <c r="Z42" s="59">
        <v>67</v>
      </c>
      <c r="AA42" s="59">
        <f>36.5+45.6</f>
        <v>82.1</v>
      </c>
      <c r="AB42" s="59">
        <v>81.599999999999994</v>
      </c>
      <c r="AC42" s="59">
        <v>81.599999999999994</v>
      </c>
      <c r="AD42" s="59">
        <v>83.1</v>
      </c>
      <c r="AE42" s="59">
        <v>84.8</v>
      </c>
      <c r="AF42" s="59">
        <v>83.1</v>
      </c>
      <c r="AG42" s="55">
        <v>240</v>
      </c>
      <c r="AH42" s="48">
        <f t="shared" si="2"/>
        <v>88.4</v>
      </c>
      <c r="AI42" s="49">
        <f t="shared" si="3"/>
        <v>67</v>
      </c>
      <c r="AK42" s="50"/>
    </row>
    <row r="43" spans="1:88" ht="15.75" thickBot="1" x14ac:dyDescent="0.3">
      <c r="A43" s="60" t="s">
        <v>48</v>
      </c>
      <c r="B43" s="61">
        <f t="shared" ref="B43:W43" si="5">SUM(B11:B41)</f>
        <v>616.10000000000014</v>
      </c>
      <c r="C43" s="61">
        <f t="shared" si="5"/>
        <v>587.10000000000014</v>
      </c>
      <c r="D43" s="61">
        <f t="shared" si="5"/>
        <v>587.10000000000014</v>
      </c>
      <c r="E43" s="61">
        <f t="shared" si="5"/>
        <v>580.30000000000007</v>
      </c>
      <c r="F43" s="61">
        <f t="shared" si="5"/>
        <v>579.6</v>
      </c>
      <c r="G43" s="61">
        <f t="shared" si="5"/>
        <v>587.40000000000009</v>
      </c>
      <c r="H43" s="61">
        <f t="shared" si="5"/>
        <v>644.5</v>
      </c>
      <c r="I43" s="61">
        <f t="shared" si="5"/>
        <v>644.5</v>
      </c>
      <c r="J43" s="61">
        <f t="shared" si="5"/>
        <v>644.5</v>
      </c>
      <c r="K43" s="61">
        <f t="shared" si="5"/>
        <v>644.5</v>
      </c>
      <c r="L43" s="61">
        <f t="shared" si="5"/>
        <v>644.5</v>
      </c>
      <c r="M43" s="61">
        <f t="shared" si="5"/>
        <v>661.5</v>
      </c>
      <c r="N43" s="61">
        <f t="shared" si="5"/>
        <v>662.5</v>
      </c>
      <c r="O43" s="61">
        <f t="shared" si="5"/>
        <v>662</v>
      </c>
      <c r="P43" s="61">
        <f t="shared" si="5"/>
        <v>661.5</v>
      </c>
      <c r="Q43" s="61">
        <f t="shared" si="5"/>
        <v>659.2</v>
      </c>
      <c r="R43" s="61">
        <f t="shared" si="5"/>
        <v>658.8</v>
      </c>
      <c r="S43" s="61">
        <f t="shared" si="5"/>
        <v>658.8</v>
      </c>
      <c r="T43" s="61">
        <f t="shared" si="5"/>
        <v>658.8</v>
      </c>
      <c r="U43" s="61">
        <f t="shared" si="5"/>
        <v>658.8</v>
      </c>
      <c r="V43" s="61">
        <f t="shared" si="5"/>
        <v>658.8</v>
      </c>
      <c r="W43" s="61">
        <f t="shared" si="5"/>
        <v>658.8</v>
      </c>
      <c r="X43" s="61">
        <v>672.90000000000009</v>
      </c>
      <c r="Y43" s="61">
        <f t="shared" ref="Y43:AG43" si="6">SUM(Y11:Y41)</f>
        <v>672.90000000000009</v>
      </c>
      <c r="Z43" s="61">
        <f t="shared" si="6"/>
        <v>672.90000000000009</v>
      </c>
      <c r="AA43" s="61">
        <f t="shared" si="6"/>
        <v>672.90000000000009</v>
      </c>
      <c r="AB43" s="61">
        <f t="shared" si="6"/>
        <v>662.90000000000009</v>
      </c>
      <c r="AC43" s="61">
        <f t="shared" si="6"/>
        <v>662.90000000000009</v>
      </c>
      <c r="AD43" s="61">
        <f t="shared" si="6"/>
        <v>662.90000000000009</v>
      </c>
      <c r="AE43" s="61">
        <f t="shared" si="6"/>
        <v>637.90000000000009</v>
      </c>
      <c r="AF43" s="61">
        <f t="shared" si="6"/>
        <v>614.90000000000009</v>
      </c>
      <c r="AG43" s="62">
        <f t="shared" si="6"/>
        <v>796.78000000000009</v>
      </c>
      <c r="AH43" s="48">
        <f t="shared" si="2"/>
        <v>672.90000000000009</v>
      </c>
      <c r="AI43" s="49">
        <f t="shared" si="3"/>
        <v>579.6</v>
      </c>
      <c r="AK43" s="50"/>
    </row>
    <row r="44" spans="1:88" x14ac:dyDescent="0.25">
      <c r="A44" s="63" t="s">
        <v>49</v>
      </c>
      <c r="B44" s="45">
        <v>15</v>
      </c>
      <c r="C44" s="45">
        <v>50</v>
      </c>
      <c r="D44" s="45">
        <v>15</v>
      </c>
      <c r="E44" s="45">
        <v>15</v>
      </c>
      <c r="F44" s="45">
        <v>10</v>
      </c>
      <c r="G44" s="45">
        <v>50</v>
      </c>
      <c r="H44" s="45">
        <v>100</v>
      </c>
      <c r="I44" s="45">
        <v>210</v>
      </c>
      <c r="J44" s="45">
        <v>210</v>
      </c>
      <c r="K44" s="45">
        <v>456</v>
      </c>
      <c r="L44" s="45">
        <v>456</v>
      </c>
      <c r="M44" s="45">
        <v>456</v>
      </c>
      <c r="N44" s="45">
        <v>360</v>
      </c>
      <c r="O44" s="45">
        <v>180</v>
      </c>
      <c r="P44" s="45">
        <v>160</v>
      </c>
      <c r="Q44" s="45">
        <v>50</v>
      </c>
      <c r="R44" s="45">
        <v>30</v>
      </c>
      <c r="S44" s="45">
        <v>40</v>
      </c>
      <c r="T44" s="45">
        <v>60</v>
      </c>
      <c r="U44" s="45">
        <v>60</v>
      </c>
      <c r="V44" s="45">
        <v>320</v>
      </c>
      <c r="W44" s="45">
        <v>456</v>
      </c>
      <c r="X44" s="45">
        <v>456</v>
      </c>
      <c r="Y44" s="45">
        <v>456</v>
      </c>
      <c r="Z44" s="45">
        <v>456</v>
      </c>
      <c r="AA44" s="45">
        <v>435</v>
      </c>
      <c r="AB44" s="45">
        <v>350</v>
      </c>
      <c r="AC44" s="45">
        <v>320</v>
      </c>
      <c r="AD44" s="45">
        <v>250</v>
      </c>
      <c r="AE44" s="45">
        <v>140</v>
      </c>
      <c r="AF44" s="45">
        <v>50</v>
      </c>
      <c r="AG44" s="52">
        <v>456</v>
      </c>
      <c r="AH44" s="48">
        <f t="shared" si="2"/>
        <v>456</v>
      </c>
      <c r="AI44" s="49">
        <f t="shared" si="3"/>
        <v>10</v>
      </c>
      <c r="AK44" s="50"/>
    </row>
    <row r="45" spans="1:88" x14ac:dyDescent="0.25">
      <c r="A45" s="64" t="s">
        <v>50</v>
      </c>
      <c r="B45" s="65">
        <v>60</v>
      </c>
      <c r="C45" s="65">
        <v>60</v>
      </c>
      <c r="D45" s="65">
        <v>58</v>
      </c>
      <c r="E45" s="65">
        <v>58</v>
      </c>
      <c r="F45" s="65">
        <v>58</v>
      </c>
      <c r="G45" s="65">
        <v>58</v>
      </c>
      <c r="H45" s="65">
        <v>58</v>
      </c>
      <c r="I45" s="65">
        <v>58</v>
      </c>
      <c r="J45" s="65">
        <v>58</v>
      </c>
      <c r="K45" s="65">
        <v>58</v>
      </c>
      <c r="L45" s="65">
        <v>58</v>
      </c>
      <c r="M45" s="65">
        <v>58</v>
      </c>
      <c r="N45" s="65">
        <v>58</v>
      </c>
      <c r="O45" s="65">
        <v>58</v>
      </c>
      <c r="P45" s="65">
        <v>57</v>
      </c>
      <c r="Q45" s="65">
        <v>57</v>
      </c>
      <c r="R45" s="65">
        <v>57</v>
      </c>
      <c r="S45" s="65">
        <v>57</v>
      </c>
      <c r="T45" s="65">
        <v>57</v>
      </c>
      <c r="U45" s="65">
        <v>57</v>
      </c>
      <c r="V45" s="65">
        <v>57</v>
      </c>
      <c r="W45" s="65">
        <v>57</v>
      </c>
      <c r="X45" s="65">
        <v>57</v>
      </c>
      <c r="Y45" s="65">
        <v>57</v>
      </c>
      <c r="Z45" s="65">
        <v>57</v>
      </c>
      <c r="AA45" s="65">
        <v>57</v>
      </c>
      <c r="AB45" s="65">
        <v>57</v>
      </c>
      <c r="AC45" s="65">
        <v>57</v>
      </c>
      <c r="AD45" s="65">
        <v>57</v>
      </c>
      <c r="AE45" s="65">
        <v>57</v>
      </c>
      <c r="AF45" s="65">
        <v>57</v>
      </c>
      <c r="AG45" s="55">
        <v>60</v>
      </c>
      <c r="AH45" s="48">
        <f t="shared" si="2"/>
        <v>60</v>
      </c>
      <c r="AI45" s="49">
        <f t="shared" si="3"/>
        <v>57</v>
      </c>
      <c r="AK45" s="50"/>
    </row>
    <row r="46" spans="1:88" ht="15.75" thickBot="1" x14ac:dyDescent="0.3">
      <c r="A46" s="66" t="s">
        <v>51</v>
      </c>
      <c r="B46" s="67">
        <v>20</v>
      </c>
      <c r="C46" s="67">
        <v>20</v>
      </c>
      <c r="D46" s="67">
        <v>20</v>
      </c>
      <c r="E46" s="67">
        <v>22</v>
      </c>
      <c r="F46" s="67">
        <v>22</v>
      </c>
      <c r="G46" s="67">
        <v>22.4</v>
      </c>
      <c r="H46" s="67">
        <v>22.4</v>
      </c>
      <c r="I46" s="67">
        <v>22.4</v>
      </c>
      <c r="J46" s="67">
        <v>22.5</v>
      </c>
      <c r="K46" s="67">
        <v>22</v>
      </c>
      <c r="L46" s="67">
        <v>22</v>
      </c>
      <c r="M46" s="67">
        <v>22</v>
      </c>
      <c r="N46" s="67">
        <v>22.4</v>
      </c>
      <c r="O46" s="67">
        <v>22.4</v>
      </c>
      <c r="P46" s="67">
        <v>22.4</v>
      </c>
      <c r="Q46" s="67">
        <v>21.5</v>
      </c>
      <c r="R46" s="67">
        <v>21.4</v>
      </c>
      <c r="S46" s="67">
        <v>21.4</v>
      </c>
      <c r="T46" s="67">
        <v>22</v>
      </c>
      <c r="U46" s="67">
        <v>22</v>
      </c>
      <c r="V46" s="67">
        <v>22</v>
      </c>
      <c r="W46" s="67">
        <v>22</v>
      </c>
      <c r="X46" s="67">
        <v>22</v>
      </c>
      <c r="Y46" s="67">
        <v>22</v>
      </c>
      <c r="Z46" s="67">
        <v>22</v>
      </c>
      <c r="AA46" s="67">
        <v>22</v>
      </c>
      <c r="AB46" s="67">
        <v>22</v>
      </c>
      <c r="AC46" s="67">
        <v>22</v>
      </c>
      <c r="AD46" s="67">
        <v>22</v>
      </c>
      <c r="AE46" s="67">
        <v>22</v>
      </c>
      <c r="AF46" s="67">
        <v>22</v>
      </c>
      <c r="AG46" s="68">
        <v>22.1</v>
      </c>
      <c r="AH46" s="48">
        <f t="shared" si="2"/>
        <v>22.5</v>
      </c>
      <c r="AI46" s="49">
        <f t="shared" si="3"/>
        <v>20</v>
      </c>
      <c r="AK46" s="50"/>
    </row>
    <row r="47" spans="1:88" ht="15.75" thickBot="1" x14ac:dyDescent="0.3">
      <c r="A47" s="69" t="s">
        <v>52</v>
      </c>
      <c r="B47" s="61">
        <f t="shared" ref="B47" si="7">SUM(B44:B46)</f>
        <v>95</v>
      </c>
      <c r="C47" s="61">
        <f t="shared" ref="C47:AG47" si="8">SUM(C44:C46)</f>
        <v>130</v>
      </c>
      <c r="D47" s="61">
        <f t="shared" si="8"/>
        <v>93</v>
      </c>
      <c r="E47" s="61">
        <f t="shared" si="8"/>
        <v>95</v>
      </c>
      <c r="F47" s="61">
        <f t="shared" si="8"/>
        <v>90</v>
      </c>
      <c r="G47" s="61">
        <f t="shared" si="8"/>
        <v>130.4</v>
      </c>
      <c r="H47" s="61">
        <f t="shared" si="8"/>
        <v>180.4</v>
      </c>
      <c r="I47" s="61">
        <f t="shared" si="8"/>
        <v>290.39999999999998</v>
      </c>
      <c r="J47" s="61">
        <f t="shared" si="8"/>
        <v>290.5</v>
      </c>
      <c r="K47" s="61">
        <f t="shared" si="8"/>
        <v>536</v>
      </c>
      <c r="L47" s="61">
        <f t="shared" si="8"/>
        <v>536</v>
      </c>
      <c r="M47" s="61">
        <f t="shared" si="8"/>
        <v>536</v>
      </c>
      <c r="N47" s="61">
        <f t="shared" si="8"/>
        <v>440.4</v>
      </c>
      <c r="O47" s="61">
        <f t="shared" si="8"/>
        <v>260.39999999999998</v>
      </c>
      <c r="P47" s="61">
        <f t="shared" si="8"/>
        <v>239.4</v>
      </c>
      <c r="Q47" s="61">
        <f t="shared" si="8"/>
        <v>128.5</v>
      </c>
      <c r="R47" s="61">
        <f t="shared" si="8"/>
        <v>108.4</v>
      </c>
      <c r="S47" s="61">
        <f t="shared" si="8"/>
        <v>118.4</v>
      </c>
      <c r="T47" s="61">
        <f t="shared" si="8"/>
        <v>139</v>
      </c>
      <c r="U47" s="61">
        <f t="shared" si="8"/>
        <v>139</v>
      </c>
      <c r="V47" s="61">
        <f t="shared" si="8"/>
        <v>399</v>
      </c>
      <c r="W47" s="61">
        <f t="shared" si="8"/>
        <v>535</v>
      </c>
      <c r="X47" s="61">
        <v>535</v>
      </c>
      <c r="Y47" s="61">
        <f t="shared" si="8"/>
        <v>535</v>
      </c>
      <c r="Z47" s="61">
        <f t="shared" si="8"/>
        <v>535</v>
      </c>
      <c r="AA47" s="61">
        <f t="shared" si="8"/>
        <v>514</v>
      </c>
      <c r="AB47" s="61">
        <f t="shared" si="8"/>
        <v>429</v>
      </c>
      <c r="AC47" s="61">
        <f t="shared" si="8"/>
        <v>399</v>
      </c>
      <c r="AD47" s="61">
        <f t="shared" si="8"/>
        <v>329</v>
      </c>
      <c r="AE47" s="61">
        <f t="shared" si="8"/>
        <v>219</v>
      </c>
      <c r="AF47" s="61">
        <f t="shared" si="8"/>
        <v>129</v>
      </c>
      <c r="AG47" s="62">
        <f t="shared" si="8"/>
        <v>538.1</v>
      </c>
      <c r="AH47" s="48">
        <f t="shared" si="2"/>
        <v>536</v>
      </c>
      <c r="AI47" s="49">
        <f t="shared" si="3"/>
        <v>90</v>
      </c>
      <c r="AK47" s="50"/>
    </row>
    <row r="48" spans="1:88" x14ac:dyDescent="0.25">
      <c r="A48" s="44" t="s">
        <v>53</v>
      </c>
      <c r="B48" s="45">
        <v>105</v>
      </c>
      <c r="C48" s="45">
        <v>100</v>
      </c>
      <c r="D48" s="45">
        <v>90</v>
      </c>
      <c r="E48" s="45">
        <v>91.2</v>
      </c>
      <c r="F48" s="45">
        <v>91.2</v>
      </c>
      <c r="G48" s="45">
        <v>91.2</v>
      </c>
      <c r="H48" s="45">
        <v>91.2</v>
      </c>
      <c r="I48" s="45">
        <v>110</v>
      </c>
      <c r="J48" s="45">
        <v>113</v>
      </c>
      <c r="K48" s="45">
        <v>141.30000000000001</v>
      </c>
      <c r="L48" s="45">
        <v>143</v>
      </c>
      <c r="M48" s="45">
        <v>143</v>
      </c>
      <c r="N48" s="45">
        <v>143</v>
      </c>
      <c r="O48" s="45">
        <v>143</v>
      </c>
      <c r="P48" s="45">
        <v>143</v>
      </c>
      <c r="Q48" s="45">
        <v>144.19999999999999</v>
      </c>
      <c r="R48" s="45">
        <v>144.19999999999999</v>
      </c>
      <c r="S48" s="45">
        <v>118.4</v>
      </c>
      <c r="T48" s="45">
        <v>136.5</v>
      </c>
      <c r="U48" s="45">
        <v>136.5</v>
      </c>
      <c r="V48" s="45">
        <v>131.30000000000001</v>
      </c>
      <c r="W48" s="45">
        <v>131.30000000000001</v>
      </c>
      <c r="X48" s="45">
        <v>143.5</v>
      </c>
      <c r="Y48" s="45">
        <v>143.5</v>
      </c>
      <c r="Z48" s="45">
        <v>143.5</v>
      </c>
      <c r="AA48" s="45">
        <v>143.30000000000001</v>
      </c>
      <c r="AB48" s="45">
        <v>143.5</v>
      </c>
      <c r="AC48" s="45">
        <v>143.5</v>
      </c>
      <c r="AD48" s="45">
        <v>143.5</v>
      </c>
      <c r="AE48" s="45">
        <v>142.6</v>
      </c>
      <c r="AF48" s="45">
        <v>142.9</v>
      </c>
      <c r="AG48" s="52">
        <v>144</v>
      </c>
      <c r="AH48" s="48">
        <f t="shared" si="2"/>
        <v>144.19999999999999</v>
      </c>
      <c r="AI48" s="49">
        <f t="shared" si="3"/>
        <v>90</v>
      </c>
      <c r="AK48" s="50"/>
    </row>
    <row r="49" spans="1:41" x14ac:dyDescent="0.25">
      <c r="A49" s="54" t="s">
        <v>54</v>
      </c>
      <c r="B49" s="65">
        <v>35.5</v>
      </c>
      <c r="C49" s="65">
        <v>35.5</v>
      </c>
      <c r="D49" s="65">
        <v>35.799999999999997</v>
      </c>
      <c r="E49" s="65">
        <v>50</v>
      </c>
      <c r="F49" s="65">
        <v>71.2</v>
      </c>
      <c r="G49" s="65">
        <v>71</v>
      </c>
      <c r="H49" s="65">
        <v>71</v>
      </c>
      <c r="I49" s="65">
        <v>71</v>
      </c>
      <c r="J49" s="65">
        <v>71</v>
      </c>
      <c r="K49" s="65">
        <v>71.3</v>
      </c>
      <c r="L49" s="65">
        <v>71</v>
      </c>
      <c r="M49" s="65">
        <v>71</v>
      </c>
      <c r="N49" s="65">
        <v>71</v>
      </c>
      <c r="O49" s="65">
        <v>71</v>
      </c>
      <c r="P49" s="65">
        <v>71</v>
      </c>
      <c r="Q49" s="45">
        <v>71.599999999999994</v>
      </c>
      <c r="R49" s="45">
        <v>71.599999999999994</v>
      </c>
      <c r="S49" s="65">
        <v>59.2</v>
      </c>
      <c r="T49" s="65">
        <v>52.5</v>
      </c>
      <c r="U49" s="65">
        <v>52.5</v>
      </c>
      <c r="V49" s="65">
        <v>50</v>
      </c>
      <c r="W49" s="65">
        <v>50</v>
      </c>
      <c r="X49" s="65">
        <v>70.900000000000006</v>
      </c>
      <c r="Y49" s="65">
        <v>70.900000000000006</v>
      </c>
      <c r="Z49" s="65">
        <v>70.900000000000006</v>
      </c>
      <c r="AA49" s="65">
        <v>70.900000000000006</v>
      </c>
      <c r="AB49" s="65">
        <v>71.3</v>
      </c>
      <c r="AC49" s="65">
        <v>71.3</v>
      </c>
      <c r="AD49" s="65">
        <v>71.3</v>
      </c>
      <c r="AE49" s="65">
        <v>33.9</v>
      </c>
      <c r="AF49" s="65">
        <v>35.1</v>
      </c>
      <c r="AG49" s="55">
        <v>70</v>
      </c>
      <c r="AH49" s="48">
        <f t="shared" si="2"/>
        <v>71.599999999999994</v>
      </c>
      <c r="AI49" s="49">
        <f t="shared" si="3"/>
        <v>33.9</v>
      </c>
      <c r="AK49" s="50"/>
    </row>
    <row r="50" spans="1:41" x14ac:dyDescent="0.25">
      <c r="A50" s="54" t="s">
        <v>55</v>
      </c>
      <c r="B50" s="65">
        <v>51.1</v>
      </c>
      <c r="C50" s="65">
        <v>60</v>
      </c>
      <c r="D50" s="65">
        <v>61.3</v>
      </c>
      <c r="E50" s="65">
        <v>69</v>
      </c>
      <c r="F50" s="65">
        <v>69</v>
      </c>
      <c r="G50" s="65">
        <v>69</v>
      </c>
      <c r="H50" s="65">
        <v>71</v>
      </c>
      <c r="I50" s="65">
        <v>61</v>
      </c>
      <c r="J50" s="65">
        <v>61.6</v>
      </c>
      <c r="K50" s="65">
        <v>61.7</v>
      </c>
      <c r="L50" s="65">
        <v>70</v>
      </c>
      <c r="M50" s="65">
        <v>70</v>
      </c>
      <c r="N50" s="65">
        <v>70</v>
      </c>
      <c r="O50" s="65">
        <v>70</v>
      </c>
      <c r="P50" s="65">
        <v>70</v>
      </c>
      <c r="Q50" s="45">
        <v>69.5</v>
      </c>
      <c r="R50" s="45">
        <v>69.5</v>
      </c>
      <c r="S50" s="65">
        <v>69.900000000000006</v>
      </c>
      <c r="T50" s="65">
        <v>69.599999999999994</v>
      </c>
      <c r="U50" s="65">
        <v>69.599999999999994</v>
      </c>
      <c r="V50" s="65">
        <v>69.599999999999994</v>
      </c>
      <c r="W50" s="65">
        <v>69.599999999999994</v>
      </c>
      <c r="X50" s="65">
        <v>69.400000000000006</v>
      </c>
      <c r="Y50" s="65">
        <v>69.400000000000006</v>
      </c>
      <c r="Z50" s="65">
        <v>69.400000000000006</v>
      </c>
      <c r="AA50" s="65">
        <v>69.400000000000006</v>
      </c>
      <c r="AB50" s="65">
        <v>70</v>
      </c>
      <c r="AC50" s="65">
        <v>70</v>
      </c>
      <c r="AD50" s="65">
        <v>70</v>
      </c>
      <c r="AE50" s="65">
        <v>70.7</v>
      </c>
      <c r="AF50" s="65">
        <v>69.599999999999994</v>
      </c>
      <c r="AG50" s="55">
        <v>69</v>
      </c>
      <c r="AH50" s="48">
        <f t="shared" si="2"/>
        <v>71</v>
      </c>
      <c r="AI50" s="49">
        <f t="shared" si="3"/>
        <v>51.1</v>
      </c>
      <c r="AK50" s="50"/>
    </row>
    <row r="51" spans="1:41" x14ac:dyDescent="0.25">
      <c r="A51" s="54" t="s">
        <v>56</v>
      </c>
      <c r="B51" s="57">
        <v>61.7</v>
      </c>
      <c r="C51" s="57">
        <v>61.7</v>
      </c>
      <c r="D51" s="57">
        <v>60.9</v>
      </c>
      <c r="E51" s="57">
        <v>60.6</v>
      </c>
      <c r="F51" s="57">
        <v>60.6</v>
      </c>
      <c r="G51" s="57">
        <v>60.9</v>
      </c>
      <c r="H51" s="57">
        <v>60.6</v>
      </c>
      <c r="I51" s="57">
        <v>60.6</v>
      </c>
      <c r="J51" s="57">
        <v>60.9</v>
      </c>
      <c r="K51" s="57">
        <v>60.9</v>
      </c>
      <c r="L51" s="57">
        <v>60.9</v>
      </c>
      <c r="M51" s="57">
        <v>60.9</v>
      </c>
      <c r="N51" s="57">
        <v>60.9</v>
      </c>
      <c r="O51" s="57">
        <v>60.9</v>
      </c>
      <c r="P51" s="57">
        <v>60.9</v>
      </c>
      <c r="Q51" s="45">
        <v>60.9</v>
      </c>
      <c r="R51" s="45">
        <v>60.9</v>
      </c>
      <c r="S51" s="45">
        <v>60.9</v>
      </c>
      <c r="T51" s="45">
        <v>60.9</v>
      </c>
      <c r="U51" s="45">
        <v>60.9</v>
      </c>
      <c r="V51" s="65">
        <v>60.9</v>
      </c>
      <c r="W51" s="65">
        <v>60.9</v>
      </c>
      <c r="X51" s="65">
        <v>60.9</v>
      </c>
      <c r="Y51" s="65">
        <v>60.9</v>
      </c>
      <c r="Z51" s="65">
        <v>60.9</v>
      </c>
      <c r="AA51" s="65">
        <v>60.9</v>
      </c>
      <c r="AB51" s="65">
        <v>60.9</v>
      </c>
      <c r="AC51" s="65">
        <v>60.9</v>
      </c>
      <c r="AD51" s="65">
        <v>60.9</v>
      </c>
      <c r="AE51" s="65">
        <v>60.9</v>
      </c>
      <c r="AF51" s="65">
        <v>60.9</v>
      </c>
      <c r="AG51" s="55">
        <v>60</v>
      </c>
      <c r="AH51" s="48">
        <f t="shared" si="2"/>
        <v>61.7</v>
      </c>
      <c r="AI51" s="49">
        <f t="shared" si="3"/>
        <v>60.6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15</v>
      </c>
      <c r="J52" s="57">
        <v>15</v>
      </c>
      <c r="K52" s="57">
        <v>28</v>
      </c>
      <c r="L52" s="57">
        <v>28</v>
      </c>
      <c r="M52" s="57">
        <v>28</v>
      </c>
      <c r="N52" s="57">
        <v>29.2</v>
      </c>
      <c r="O52" s="57">
        <v>13.7</v>
      </c>
      <c r="P52" s="57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65">
        <v>0</v>
      </c>
      <c r="W52" s="65">
        <v>0</v>
      </c>
      <c r="X52" s="65">
        <v>29.1</v>
      </c>
      <c r="Y52" s="65">
        <v>29.1</v>
      </c>
      <c r="Z52" s="65">
        <v>29.1</v>
      </c>
      <c r="AA52" s="65">
        <v>29.1</v>
      </c>
      <c r="AB52" s="65">
        <v>13.5</v>
      </c>
      <c r="AC52" s="65">
        <v>13.5</v>
      </c>
      <c r="AD52" s="65">
        <v>0</v>
      </c>
      <c r="AE52" s="65">
        <v>0</v>
      </c>
      <c r="AF52" s="65">
        <v>0</v>
      </c>
      <c r="AG52" s="55">
        <v>30</v>
      </c>
      <c r="AH52" s="48">
        <f t="shared" si="2"/>
        <v>29.2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4</v>
      </c>
      <c r="N53" s="65">
        <v>6</v>
      </c>
      <c r="O53" s="65">
        <v>6</v>
      </c>
      <c r="P53" s="65">
        <v>6</v>
      </c>
      <c r="Q53" s="65">
        <v>6</v>
      </c>
      <c r="R53" s="65">
        <v>6</v>
      </c>
      <c r="S53" s="65">
        <v>6</v>
      </c>
      <c r="T53" s="65">
        <v>6</v>
      </c>
      <c r="U53" s="65">
        <v>6</v>
      </c>
      <c r="V53" s="45">
        <v>6</v>
      </c>
      <c r="W53" s="45">
        <v>6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55">
        <v>25</v>
      </c>
      <c r="AH53" s="48">
        <f t="shared" si="2"/>
        <v>6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17.5</v>
      </c>
      <c r="C54" s="65">
        <v>17.5</v>
      </c>
      <c r="D54" s="65">
        <v>17.5</v>
      </c>
      <c r="E54" s="65">
        <v>17.3</v>
      </c>
      <c r="F54" s="65">
        <v>17.3</v>
      </c>
      <c r="G54" s="65">
        <v>17.7</v>
      </c>
      <c r="H54" s="65">
        <v>17.3</v>
      </c>
      <c r="I54" s="65">
        <v>17.3</v>
      </c>
      <c r="J54" s="65">
        <v>17.3</v>
      </c>
      <c r="K54" s="65">
        <v>17.600000000000001</v>
      </c>
      <c r="L54" s="65">
        <v>17.600000000000001</v>
      </c>
      <c r="M54" s="65">
        <v>17.600000000000001</v>
      </c>
      <c r="N54" s="65">
        <v>17.600000000000001</v>
      </c>
      <c r="O54" s="65">
        <v>17.600000000000001</v>
      </c>
      <c r="P54" s="65">
        <v>17.600000000000001</v>
      </c>
      <c r="Q54" s="65">
        <v>17.600000000000001</v>
      </c>
      <c r="R54" s="65">
        <v>17.600000000000001</v>
      </c>
      <c r="S54" s="65">
        <v>17.600000000000001</v>
      </c>
      <c r="T54" s="65">
        <v>17.600000000000001</v>
      </c>
      <c r="U54" s="65">
        <v>17.600000000000001</v>
      </c>
      <c r="V54" s="45">
        <v>17.600000000000001</v>
      </c>
      <c r="W54" s="45">
        <v>17.600000000000001</v>
      </c>
      <c r="X54" s="45">
        <v>17.600000000000001</v>
      </c>
      <c r="Y54" s="45">
        <v>17.600000000000001</v>
      </c>
      <c r="Z54" s="45">
        <v>17.600000000000001</v>
      </c>
      <c r="AA54" s="45">
        <v>17.600000000000001</v>
      </c>
      <c r="AB54" s="45">
        <v>17.600000000000001</v>
      </c>
      <c r="AC54" s="45">
        <v>17.600000000000001</v>
      </c>
      <c r="AD54" s="45">
        <v>17.600000000000001</v>
      </c>
      <c r="AE54" s="45">
        <v>17.600000000000001</v>
      </c>
      <c r="AF54" s="45">
        <v>17.600000000000001</v>
      </c>
      <c r="AG54" s="55">
        <v>24</v>
      </c>
      <c r="AH54" s="48">
        <f t="shared" si="2"/>
        <v>17.7</v>
      </c>
      <c r="AI54" s="49">
        <f t="shared" si="3"/>
        <v>17.3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</v>
      </c>
      <c r="C56" s="65">
        <v>14</v>
      </c>
      <c r="D56" s="65">
        <v>14</v>
      </c>
      <c r="E56" s="65">
        <v>14.5</v>
      </c>
      <c r="F56" s="65">
        <v>14.5</v>
      </c>
      <c r="G56" s="65">
        <v>14.2</v>
      </c>
      <c r="H56" s="65">
        <v>14</v>
      </c>
      <c r="I56" s="65">
        <v>14</v>
      </c>
      <c r="J56" s="65">
        <v>14</v>
      </c>
      <c r="K56" s="65">
        <v>14.2</v>
      </c>
      <c r="L56" s="65">
        <v>14.2</v>
      </c>
      <c r="M56" s="65">
        <v>14.2</v>
      </c>
      <c r="N56" s="65">
        <v>14.2</v>
      </c>
      <c r="O56" s="65">
        <v>14.2</v>
      </c>
      <c r="P56" s="65">
        <v>14.2</v>
      </c>
      <c r="Q56" s="65">
        <v>14.2</v>
      </c>
      <c r="R56" s="65">
        <v>14.2</v>
      </c>
      <c r="S56" s="65">
        <v>14.2</v>
      </c>
      <c r="T56" s="65">
        <v>14.2</v>
      </c>
      <c r="U56" s="65">
        <v>14.2</v>
      </c>
      <c r="V56" s="65">
        <v>14.2</v>
      </c>
      <c r="W56" s="65">
        <v>14.2</v>
      </c>
      <c r="X56" s="65">
        <v>14.2</v>
      </c>
      <c r="Y56" s="65">
        <v>14.2</v>
      </c>
      <c r="Z56" s="65">
        <v>14.2</v>
      </c>
      <c r="AA56" s="65">
        <v>14.2</v>
      </c>
      <c r="AB56" s="65">
        <v>14.2</v>
      </c>
      <c r="AC56" s="65">
        <v>14.2</v>
      </c>
      <c r="AD56" s="65">
        <v>14.2</v>
      </c>
      <c r="AE56" s="65">
        <v>14.2</v>
      </c>
      <c r="AF56" s="65">
        <v>14.2</v>
      </c>
      <c r="AG56" s="55">
        <v>14.1</v>
      </c>
      <c r="AH56" s="48">
        <f t="shared" si="2"/>
        <v>14.5</v>
      </c>
      <c r="AI56" s="49">
        <f t="shared" si="3"/>
        <v>14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9.1999999999999993</v>
      </c>
      <c r="C57" s="65">
        <v>9.1999999999999993</v>
      </c>
      <c r="D57" s="65">
        <v>9.1999999999999993</v>
      </c>
      <c r="E57" s="65">
        <v>9.1999999999999993</v>
      </c>
      <c r="F57" s="65">
        <v>9.1999999999999993</v>
      </c>
      <c r="G57" s="65">
        <v>9.3000000000000007</v>
      </c>
      <c r="H57" s="65">
        <v>9.3000000000000007</v>
      </c>
      <c r="I57" s="65">
        <v>9.3000000000000007</v>
      </c>
      <c r="J57" s="65">
        <v>9.3000000000000007</v>
      </c>
      <c r="K57" s="65">
        <v>9.3000000000000007</v>
      </c>
      <c r="L57" s="65">
        <v>9.3000000000000007</v>
      </c>
      <c r="M57" s="65">
        <v>9.3000000000000007</v>
      </c>
      <c r="N57" s="65">
        <v>9.3000000000000007</v>
      </c>
      <c r="O57" s="65">
        <v>9.3000000000000007</v>
      </c>
      <c r="P57" s="65">
        <v>9.3000000000000007</v>
      </c>
      <c r="Q57" s="65">
        <v>9.3000000000000007</v>
      </c>
      <c r="R57" s="65">
        <v>9.3000000000000007</v>
      </c>
      <c r="S57" s="65">
        <v>9.3000000000000007</v>
      </c>
      <c r="T57" s="65">
        <v>9.3000000000000007</v>
      </c>
      <c r="U57" s="65">
        <v>9.3000000000000007</v>
      </c>
      <c r="V57" s="65">
        <v>9.3000000000000007</v>
      </c>
      <c r="W57" s="65">
        <v>9.3000000000000007</v>
      </c>
      <c r="X57" s="65">
        <v>9.3000000000000007</v>
      </c>
      <c r="Y57" s="65">
        <v>9.3000000000000007</v>
      </c>
      <c r="Z57" s="65">
        <v>9.3000000000000007</v>
      </c>
      <c r="AA57" s="65">
        <v>9.3000000000000007</v>
      </c>
      <c r="AB57" s="65">
        <v>9.3000000000000007</v>
      </c>
      <c r="AC57" s="65">
        <v>9.3000000000000007</v>
      </c>
      <c r="AD57" s="65">
        <v>9.3000000000000007</v>
      </c>
      <c r="AE57" s="65">
        <v>9.3000000000000007</v>
      </c>
      <c r="AF57" s="65">
        <v>9.3000000000000007</v>
      </c>
      <c r="AG57" s="55">
        <v>14</v>
      </c>
      <c r="AH57" s="48">
        <f t="shared" si="2"/>
        <v>9.3000000000000007</v>
      </c>
      <c r="AI57" s="49">
        <f t="shared" si="3"/>
        <v>9.1999999999999993</v>
      </c>
      <c r="AK57" s="50"/>
    </row>
    <row r="58" spans="1:41" x14ac:dyDescent="0.25">
      <c r="A58" s="54" t="s">
        <v>63</v>
      </c>
      <c r="B58" s="65">
        <v>8.6</v>
      </c>
      <c r="C58" s="65">
        <v>8.6</v>
      </c>
      <c r="D58" s="65">
        <v>8.6</v>
      </c>
      <c r="E58" s="65">
        <v>8.6</v>
      </c>
      <c r="F58" s="65">
        <v>8.6</v>
      </c>
      <c r="G58" s="65">
        <v>8.6</v>
      </c>
      <c r="H58" s="65">
        <v>8.6</v>
      </c>
      <c r="I58" s="65">
        <v>8.6</v>
      </c>
      <c r="J58" s="65">
        <v>8.6</v>
      </c>
      <c r="K58" s="65">
        <v>8.6</v>
      </c>
      <c r="L58" s="65">
        <v>8.6</v>
      </c>
      <c r="M58" s="65">
        <v>8.6</v>
      </c>
      <c r="N58" s="65">
        <v>8.6</v>
      </c>
      <c r="O58" s="65">
        <v>8.6</v>
      </c>
      <c r="P58" s="65">
        <v>8.6</v>
      </c>
      <c r="Q58" s="65">
        <v>8.6</v>
      </c>
      <c r="R58" s="65">
        <v>8.6</v>
      </c>
      <c r="S58" s="65">
        <v>8.6</v>
      </c>
      <c r="T58" s="65">
        <v>8.6</v>
      </c>
      <c r="U58" s="65">
        <v>8.6</v>
      </c>
      <c r="V58" s="65">
        <v>8.6</v>
      </c>
      <c r="W58" s="65">
        <v>8.6</v>
      </c>
      <c r="X58" s="65">
        <v>8.6</v>
      </c>
      <c r="Y58" s="65">
        <v>8.6</v>
      </c>
      <c r="Z58" s="65">
        <v>8.6</v>
      </c>
      <c r="AA58" s="65">
        <v>8.6</v>
      </c>
      <c r="AB58" s="65">
        <v>8.6</v>
      </c>
      <c r="AC58" s="65">
        <v>8.6</v>
      </c>
      <c r="AD58" s="65">
        <v>8.6</v>
      </c>
      <c r="AE58" s="65">
        <v>8.6</v>
      </c>
      <c r="AF58" s="65">
        <v>8.6</v>
      </c>
      <c r="AG58" s="55">
        <v>10.050000000000001</v>
      </c>
      <c r="AH58" s="48">
        <f t="shared" si="2"/>
        <v>8.6</v>
      </c>
      <c r="AI58" s="49">
        <f t="shared" si="3"/>
        <v>8.6</v>
      </c>
      <c r="AK58" s="50"/>
    </row>
    <row r="59" spans="1:41" x14ac:dyDescent="0.25">
      <c r="A59" s="54" t="s">
        <v>64</v>
      </c>
      <c r="B59" s="65">
        <v>4.5999999999999996</v>
      </c>
      <c r="C59" s="65">
        <v>4.5999999999999996</v>
      </c>
      <c r="D59" s="65">
        <v>4.5999999999999996</v>
      </c>
      <c r="E59" s="65">
        <v>4.5999999999999996</v>
      </c>
      <c r="F59" s="65">
        <v>4.5999999999999996</v>
      </c>
      <c r="G59" s="65">
        <v>4.5999999999999996</v>
      </c>
      <c r="H59" s="65">
        <v>4.5999999999999996</v>
      </c>
      <c r="I59" s="65">
        <v>4.5999999999999996</v>
      </c>
      <c r="J59" s="65">
        <v>4.5999999999999996</v>
      </c>
      <c r="K59" s="65">
        <v>4.5999999999999996</v>
      </c>
      <c r="L59" s="65">
        <v>4.5999999999999996</v>
      </c>
      <c r="M59" s="65">
        <v>4.5999999999999996</v>
      </c>
      <c r="N59" s="65">
        <v>4.5999999999999996</v>
      </c>
      <c r="O59" s="65">
        <v>4.5999999999999996</v>
      </c>
      <c r="P59" s="65">
        <v>4.5999999999999996</v>
      </c>
      <c r="Q59" s="65">
        <v>4.5999999999999996</v>
      </c>
      <c r="R59" s="65">
        <v>4.5999999999999996</v>
      </c>
      <c r="S59" s="65">
        <v>4.5999999999999996</v>
      </c>
      <c r="T59" s="65">
        <v>4.5999999999999996</v>
      </c>
      <c r="U59" s="65">
        <v>4.5999999999999996</v>
      </c>
      <c r="V59" s="65">
        <v>4.5999999999999996</v>
      </c>
      <c r="W59" s="65">
        <v>4.5999999999999996</v>
      </c>
      <c r="X59" s="65">
        <v>4.5999999999999996</v>
      </c>
      <c r="Y59" s="65">
        <v>4.5999999999999996</v>
      </c>
      <c r="Z59" s="65">
        <v>4.5999999999999996</v>
      </c>
      <c r="AA59" s="65">
        <v>4.5999999999999996</v>
      </c>
      <c r="AB59" s="65">
        <v>4.5999999999999996</v>
      </c>
      <c r="AC59" s="65">
        <v>4.5999999999999996</v>
      </c>
      <c r="AD59" s="65">
        <v>4.5999999999999996</v>
      </c>
      <c r="AE59" s="65">
        <v>4.5999999999999996</v>
      </c>
      <c r="AF59" s="65">
        <v>4.5999999999999996</v>
      </c>
      <c r="AG59" s="55">
        <v>6.2</v>
      </c>
      <c r="AH59" s="48">
        <f t="shared" si="2"/>
        <v>4.5999999999999996</v>
      </c>
      <c r="AI59" s="49">
        <f t="shared" si="3"/>
        <v>4.5999999999999996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" si="9">SUM(B48:B60)</f>
        <v>310.74000000000007</v>
      </c>
      <c r="C61" s="61">
        <f t="shared" ref="C61:AG61" si="10">SUM(C48:C60)</f>
        <v>314.64000000000004</v>
      </c>
      <c r="D61" s="61">
        <f t="shared" si="10"/>
        <v>305.44000000000005</v>
      </c>
      <c r="E61" s="61">
        <f t="shared" si="10"/>
        <v>328.54000000000008</v>
      </c>
      <c r="F61" s="61">
        <f t="shared" si="10"/>
        <v>349.74000000000007</v>
      </c>
      <c r="G61" s="61">
        <f t="shared" si="10"/>
        <v>350.04</v>
      </c>
      <c r="H61" s="61">
        <f t="shared" si="10"/>
        <v>351.1400000000001</v>
      </c>
      <c r="I61" s="61">
        <f t="shared" si="10"/>
        <v>374.94000000000011</v>
      </c>
      <c r="J61" s="61">
        <f t="shared" si="10"/>
        <v>378.84000000000009</v>
      </c>
      <c r="K61" s="61">
        <f t="shared" si="10"/>
        <v>421.04000000000008</v>
      </c>
      <c r="L61" s="61">
        <f t="shared" si="10"/>
        <v>430.74000000000007</v>
      </c>
      <c r="M61" s="61">
        <f t="shared" si="10"/>
        <v>434.74000000000007</v>
      </c>
      <c r="N61" s="61">
        <f t="shared" si="10"/>
        <v>437.94000000000005</v>
      </c>
      <c r="O61" s="61">
        <f t="shared" si="10"/>
        <v>422.44000000000005</v>
      </c>
      <c r="P61" s="61">
        <f t="shared" si="10"/>
        <v>408.74000000000007</v>
      </c>
      <c r="Q61" s="61">
        <f t="shared" si="10"/>
        <v>410.04</v>
      </c>
      <c r="R61" s="61">
        <f t="shared" si="10"/>
        <v>410.04</v>
      </c>
      <c r="S61" s="61">
        <f t="shared" si="10"/>
        <v>372.24000000000012</v>
      </c>
      <c r="T61" s="61">
        <f t="shared" si="10"/>
        <v>383.34000000000009</v>
      </c>
      <c r="U61" s="61">
        <f t="shared" si="10"/>
        <v>383.34000000000009</v>
      </c>
      <c r="V61" s="61">
        <f t="shared" si="10"/>
        <v>375.6400000000001</v>
      </c>
      <c r="W61" s="61">
        <f t="shared" si="10"/>
        <v>375.6400000000001</v>
      </c>
      <c r="X61" s="61">
        <v>431.6400000000001</v>
      </c>
      <c r="Y61" s="61">
        <f t="shared" si="10"/>
        <v>431.6400000000001</v>
      </c>
      <c r="Z61" s="61">
        <f t="shared" si="10"/>
        <v>431.6400000000001</v>
      </c>
      <c r="AA61" s="61">
        <f t="shared" si="10"/>
        <v>431.44000000000011</v>
      </c>
      <c r="AB61" s="61">
        <f t="shared" si="10"/>
        <v>417.04000000000008</v>
      </c>
      <c r="AC61" s="61">
        <f t="shared" si="10"/>
        <v>417.04000000000008</v>
      </c>
      <c r="AD61" s="61">
        <f t="shared" si="10"/>
        <v>403.54000000000008</v>
      </c>
      <c r="AE61" s="61">
        <f t="shared" si="10"/>
        <v>365.94000000000005</v>
      </c>
      <c r="AF61" s="61">
        <f t="shared" si="10"/>
        <v>366.34000000000009</v>
      </c>
      <c r="AG61" s="62">
        <f t="shared" si="10"/>
        <v>489.91</v>
      </c>
      <c r="AH61" s="48">
        <f t="shared" si="2"/>
        <v>437.94000000000005</v>
      </c>
      <c r="AI61" s="49">
        <f t="shared" si="3"/>
        <v>305.44000000000005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14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0</v>
      </c>
      <c r="X62" s="45">
        <v>50</v>
      </c>
      <c r="Y62" s="45">
        <v>50</v>
      </c>
      <c r="Z62" s="45">
        <v>30</v>
      </c>
      <c r="AA62" s="45">
        <v>0</v>
      </c>
      <c r="AB62" s="45">
        <v>0</v>
      </c>
      <c r="AC62" s="45">
        <v>0</v>
      </c>
      <c r="AD62" s="45"/>
      <c r="AE62" s="45"/>
      <c r="AF62" s="45"/>
      <c r="AG62" s="52">
        <v>60</v>
      </c>
      <c r="AH62" s="48">
        <f t="shared" si="2"/>
        <v>50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4.5999999999999996</v>
      </c>
      <c r="K63" s="65">
        <v>0</v>
      </c>
      <c r="L63" s="65">
        <v>0</v>
      </c>
      <c r="M63" s="65">
        <v>4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27</v>
      </c>
      <c r="Y63" s="65">
        <v>27</v>
      </c>
      <c r="Z63" s="65">
        <v>15</v>
      </c>
      <c r="AA63" s="65">
        <v>5.4</v>
      </c>
      <c r="AB63" s="65">
        <v>0</v>
      </c>
      <c r="AC63" s="65">
        <v>0</v>
      </c>
      <c r="AD63" s="65"/>
      <c r="AE63" s="65"/>
      <c r="AF63" s="65"/>
      <c r="AG63" s="55">
        <v>32</v>
      </c>
      <c r="AH63" s="48">
        <f t="shared" si="2"/>
        <v>27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/>
      <c r="H64" s="67">
        <v>0</v>
      </c>
      <c r="I64" s="67">
        <v>0</v>
      </c>
      <c r="J64" s="67">
        <v>1.6</v>
      </c>
      <c r="K64" s="67">
        <v>0</v>
      </c>
      <c r="L64" s="67">
        <v>0</v>
      </c>
      <c r="M64" s="67">
        <v>0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0</v>
      </c>
      <c r="X64" s="67">
        <v>10.199999999999999</v>
      </c>
      <c r="Y64" s="67">
        <v>10.199999999999999</v>
      </c>
      <c r="Z64" s="67">
        <v>5.5</v>
      </c>
      <c r="AA64" s="67">
        <v>2</v>
      </c>
      <c r="AB64" s="67">
        <v>0</v>
      </c>
      <c r="AC64" s="67">
        <v>0</v>
      </c>
      <c r="AD64" s="67"/>
      <c r="AE64" s="67"/>
      <c r="AF64" s="67"/>
      <c r="AG64" s="68">
        <v>14</v>
      </c>
      <c r="AH64" s="48">
        <f t="shared" si="2"/>
        <v>10.199999999999999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" si="11">SUM(B62:B64)</f>
        <v>0</v>
      </c>
      <c r="C65" s="61">
        <f t="shared" ref="C65:AG65" si="12">SUM(C62:C64)</f>
        <v>0</v>
      </c>
      <c r="D65" s="61">
        <f t="shared" si="12"/>
        <v>0</v>
      </c>
      <c r="E65" s="61">
        <f t="shared" si="12"/>
        <v>0</v>
      </c>
      <c r="F65" s="61">
        <f t="shared" si="12"/>
        <v>0</v>
      </c>
      <c r="G65" s="61">
        <f t="shared" si="12"/>
        <v>0</v>
      </c>
      <c r="H65" s="61">
        <f t="shared" si="12"/>
        <v>0</v>
      </c>
      <c r="I65" s="61">
        <f t="shared" si="12"/>
        <v>0</v>
      </c>
      <c r="J65" s="61">
        <f t="shared" si="12"/>
        <v>6.1999999999999993</v>
      </c>
      <c r="K65" s="61">
        <f t="shared" si="12"/>
        <v>0</v>
      </c>
      <c r="L65" s="61">
        <f t="shared" si="12"/>
        <v>0</v>
      </c>
      <c r="M65" s="61">
        <f t="shared" si="12"/>
        <v>18</v>
      </c>
      <c r="N65" s="61">
        <f t="shared" si="12"/>
        <v>0</v>
      </c>
      <c r="O65" s="61">
        <f t="shared" si="12"/>
        <v>0</v>
      </c>
      <c r="P65" s="61">
        <f t="shared" si="12"/>
        <v>0</v>
      </c>
      <c r="Q65" s="61">
        <f t="shared" si="12"/>
        <v>0</v>
      </c>
      <c r="R65" s="61">
        <v>0</v>
      </c>
      <c r="S65" s="61">
        <f t="shared" si="12"/>
        <v>0</v>
      </c>
      <c r="T65" s="61">
        <f t="shared" si="12"/>
        <v>0</v>
      </c>
      <c r="U65" s="61">
        <f t="shared" si="12"/>
        <v>0</v>
      </c>
      <c r="V65" s="61">
        <f t="shared" si="12"/>
        <v>0</v>
      </c>
      <c r="W65" s="61">
        <f t="shared" si="12"/>
        <v>0</v>
      </c>
      <c r="X65" s="61">
        <v>42.2</v>
      </c>
      <c r="Y65" s="61">
        <f t="shared" si="12"/>
        <v>87.2</v>
      </c>
      <c r="Z65" s="61">
        <f t="shared" si="12"/>
        <v>50.5</v>
      </c>
      <c r="AA65" s="61">
        <f t="shared" si="12"/>
        <v>7.4</v>
      </c>
      <c r="AB65" s="61">
        <f t="shared" si="12"/>
        <v>0</v>
      </c>
      <c r="AC65" s="61">
        <f t="shared" si="12"/>
        <v>0</v>
      </c>
      <c r="AD65" s="61">
        <f t="shared" si="12"/>
        <v>0</v>
      </c>
      <c r="AE65" s="61">
        <f t="shared" si="12"/>
        <v>0</v>
      </c>
      <c r="AF65" s="61">
        <f t="shared" si="12"/>
        <v>0</v>
      </c>
      <c r="AG65" s="62">
        <f t="shared" si="12"/>
        <v>106</v>
      </c>
      <c r="AH65" s="48">
        <f t="shared" si="2"/>
        <v>87.2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0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/>
      <c r="AF66" s="45"/>
      <c r="AG66" s="52"/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/>
      <c r="AF67" s="65"/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-68</v>
      </c>
      <c r="C68" s="65">
        <v>-112.7</v>
      </c>
      <c r="D68" s="65">
        <v>-64.5</v>
      </c>
      <c r="E68" s="65">
        <v>-61</v>
      </c>
      <c r="F68" s="65">
        <v>-65</v>
      </c>
      <c r="G68" s="65">
        <v>-69</v>
      </c>
      <c r="H68" s="65">
        <v>-70</v>
      </c>
      <c r="I68" s="65">
        <v>-105</v>
      </c>
      <c r="J68" s="65">
        <v>-100</v>
      </c>
      <c r="K68" s="65">
        <v>-250</v>
      </c>
      <c r="L68" s="65">
        <v>-204</v>
      </c>
      <c r="M68" s="65">
        <v>-217.2</v>
      </c>
      <c r="N68" s="65">
        <v>-201</v>
      </c>
      <c r="O68" s="65">
        <v>-72.099999999999994</v>
      </c>
      <c r="P68" s="65">
        <v>-77.400000000000006</v>
      </c>
      <c r="Q68" s="65">
        <v>-18.3</v>
      </c>
      <c r="R68" s="65">
        <v>-14</v>
      </c>
      <c r="S68" s="65">
        <f>-10</f>
        <v>-10</v>
      </c>
      <c r="T68" s="65">
        <v>-8.3000000000000007</v>
      </c>
      <c r="U68" s="65">
        <v>-12.1</v>
      </c>
      <c r="V68" s="65">
        <v>-192.7</v>
      </c>
      <c r="W68" s="65">
        <v>-187</v>
      </c>
      <c r="X68" s="65">
        <v>-187</v>
      </c>
      <c r="Y68" s="65">
        <v>-270</v>
      </c>
      <c r="Z68" s="65">
        <v>-306</v>
      </c>
      <c r="AA68" s="65">
        <v>-316</v>
      </c>
      <c r="AB68" s="65">
        <v>-275</v>
      </c>
      <c r="AC68" s="65">
        <v>-285</v>
      </c>
      <c r="AD68" s="65">
        <v>-287.8</v>
      </c>
      <c r="AE68" s="65">
        <v>-206</v>
      </c>
      <c r="AF68" s="65">
        <v>-96.5</v>
      </c>
      <c r="AG68" s="75"/>
      <c r="AH68" s="48">
        <f t="shared" si="2"/>
        <v>-8.3000000000000007</v>
      </c>
      <c r="AI68" s="49">
        <f t="shared" si="3"/>
        <v>-316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/>
      <c r="AF69" s="76"/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/>
      <c r="AF70" s="45"/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/>
      <c r="AF71" s="77"/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/>
      <c r="AF72" s="77"/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/>
      <c r="AF73" s="76"/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/>
      <c r="AF74" s="76"/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/>
      <c r="AF75" s="79"/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/>
      <c r="AF76" s="79"/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" si="13">SUMIF(B66:B76,"&gt;0")</f>
        <v>0</v>
      </c>
      <c r="C77" s="61">
        <f t="shared" ref="C77:AF77" si="14">SUMIF(C66:C76,"&gt;0")</f>
        <v>0</v>
      </c>
      <c r="D77" s="61">
        <f t="shared" si="14"/>
        <v>0</v>
      </c>
      <c r="E77" s="61">
        <f t="shared" si="14"/>
        <v>0</v>
      </c>
      <c r="F77" s="61">
        <f t="shared" si="14"/>
        <v>0</v>
      </c>
      <c r="G77" s="61">
        <f t="shared" si="14"/>
        <v>0</v>
      </c>
      <c r="H77" s="61">
        <f t="shared" si="14"/>
        <v>0</v>
      </c>
      <c r="I77" s="61">
        <f t="shared" si="14"/>
        <v>0</v>
      </c>
      <c r="J77" s="61">
        <f t="shared" si="14"/>
        <v>0</v>
      </c>
      <c r="K77" s="61">
        <f t="shared" si="14"/>
        <v>0</v>
      </c>
      <c r="L77" s="61">
        <f t="shared" si="14"/>
        <v>0</v>
      </c>
      <c r="M77" s="61">
        <f t="shared" si="14"/>
        <v>0</v>
      </c>
      <c r="N77" s="61">
        <f t="shared" si="14"/>
        <v>0</v>
      </c>
      <c r="O77" s="61">
        <f t="shared" si="14"/>
        <v>0</v>
      </c>
      <c r="P77" s="61">
        <f t="shared" si="14"/>
        <v>0</v>
      </c>
      <c r="Q77" s="61">
        <f t="shared" si="14"/>
        <v>0</v>
      </c>
      <c r="R77" s="61">
        <f t="shared" si="14"/>
        <v>0</v>
      </c>
      <c r="S77" s="61">
        <f t="shared" si="14"/>
        <v>0</v>
      </c>
      <c r="T77" s="61">
        <f t="shared" si="14"/>
        <v>0</v>
      </c>
      <c r="U77" s="61">
        <f t="shared" si="14"/>
        <v>0</v>
      </c>
      <c r="V77" s="61">
        <f t="shared" si="14"/>
        <v>0</v>
      </c>
      <c r="W77" s="61">
        <f t="shared" si="14"/>
        <v>0</v>
      </c>
      <c r="X77" s="61">
        <v>0</v>
      </c>
      <c r="Y77" s="61">
        <f t="shared" si="14"/>
        <v>0</v>
      </c>
      <c r="Z77" s="61">
        <f t="shared" si="14"/>
        <v>0</v>
      </c>
      <c r="AA77" s="61">
        <f t="shared" si="14"/>
        <v>0</v>
      </c>
      <c r="AB77" s="61">
        <f t="shared" si="14"/>
        <v>0</v>
      </c>
      <c r="AC77" s="61">
        <f t="shared" si="14"/>
        <v>0</v>
      </c>
      <c r="AD77" s="61">
        <f t="shared" si="14"/>
        <v>0</v>
      </c>
      <c r="AE77" s="61">
        <f t="shared" si="14"/>
        <v>0</v>
      </c>
      <c r="AF77" s="61">
        <f t="shared" si="14"/>
        <v>0</v>
      </c>
      <c r="AG77" s="81">
        <f>SUM(AG66:AG76)</f>
        <v>0</v>
      </c>
      <c r="AH77" s="48">
        <f t="shared" si="2"/>
        <v>0</v>
      </c>
      <c r="AI77" s="49">
        <f t="shared" si="3"/>
        <v>0</v>
      </c>
      <c r="AK77" s="50"/>
    </row>
    <row r="78" spans="1:37" x14ac:dyDescent="0.25">
      <c r="A78" s="44" t="s">
        <v>83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/>
      <c r="AD78" s="76"/>
      <c r="AE78" s="76"/>
      <c r="AF78" s="76"/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/>
      <c r="AD79" s="77"/>
      <c r="AE79" s="77"/>
      <c r="AF79" s="77"/>
      <c r="AG79" s="75">
        <v>14.4</v>
      </c>
      <c r="AH79" s="48">
        <f t="shared" ref="AH79:AH112" si="15">MAX(B79:AF79)</f>
        <v>0</v>
      </c>
      <c r="AI79" s="49">
        <f t="shared" ref="AI79:AI112" si="16">MIN(B79:AF79)</f>
        <v>0</v>
      </c>
      <c r="AK79" s="50"/>
    </row>
    <row r="80" spans="1:37" ht="15.75" thickBot="1" x14ac:dyDescent="0.3">
      <c r="A80" s="78" t="s">
        <v>85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/>
      <c r="AD80" s="79"/>
      <c r="AE80" s="79"/>
      <c r="AF80" s="79"/>
      <c r="AG80" s="80">
        <v>2</v>
      </c>
      <c r="AH80" s="48">
        <f t="shared" si="15"/>
        <v>0</v>
      </c>
      <c r="AI80" s="49">
        <f t="shared" si="16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5"/>
        <v>0</v>
      </c>
      <c r="AI81" s="49">
        <f t="shared" si="16"/>
        <v>0</v>
      </c>
    </row>
    <row r="82" spans="1:37" ht="15.75" thickBot="1" x14ac:dyDescent="0.3">
      <c r="A82" s="74" t="s">
        <v>87</v>
      </c>
      <c r="B82" s="83">
        <f t="shared" ref="B82" si="17">B43+B47+B65+B61+B77+B81</f>
        <v>1021.8400000000001</v>
      </c>
      <c r="C82" s="83">
        <f t="shared" ref="C82:AF82" si="18">C43+C47+C65+C61+C77+C81</f>
        <v>1031.7400000000002</v>
      </c>
      <c r="D82" s="83">
        <f t="shared" si="18"/>
        <v>985.54000000000019</v>
      </c>
      <c r="E82" s="83">
        <f t="shared" si="18"/>
        <v>1003.8400000000001</v>
      </c>
      <c r="F82" s="83">
        <f t="shared" si="18"/>
        <v>1019.3400000000001</v>
      </c>
      <c r="G82" s="83">
        <f t="shared" si="18"/>
        <v>1067.8400000000001</v>
      </c>
      <c r="H82" s="83">
        <f t="shared" si="18"/>
        <v>1176.04</v>
      </c>
      <c r="I82" s="83">
        <f t="shared" si="18"/>
        <v>1309.8400000000001</v>
      </c>
      <c r="J82" s="83">
        <f t="shared" si="18"/>
        <v>1320.0400000000002</v>
      </c>
      <c r="K82" s="83">
        <f t="shared" si="18"/>
        <v>1601.54</v>
      </c>
      <c r="L82" s="83">
        <f t="shared" si="18"/>
        <v>1611.24</v>
      </c>
      <c r="M82" s="83">
        <f t="shared" si="18"/>
        <v>1650.24</v>
      </c>
      <c r="N82" s="83">
        <f t="shared" si="18"/>
        <v>1540.8400000000001</v>
      </c>
      <c r="O82" s="83">
        <f t="shared" si="18"/>
        <v>1344.8400000000001</v>
      </c>
      <c r="P82" s="83">
        <f t="shared" si="18"/>
        <v>1309.6400000000001</v>
      </c>
      <c r="Q82" s="83">
        <f t="shared" si="18"/>
        <v>1197.74</v>
      </c>
      <c r="R82" s="83">
        <f t="shared" si="18"/>
        <v>1177.24</v>
      </c>
      <c r="S82" s="83">
        <f t="shared" si="18"/>
        <v>1149.44</v>
      </c>
      <c r="T82" s="83">
        <f t="shared" si="18"/>
        <v>1181.1400000000001</v>
      </c>
      <c r="U82" s="83">
        <f t="shared" si="18"/>
        <v>1181.1400000000001</v>
      </c>
      <c r="V82" s="83">
        <f t="shared" si="18"/>
        <v>1433.44</v>
      </c>
      <c r="W82" s="83">
        <f t="shared" si="18"/>
        <v>1569.44</v>
      </c>
      <c r="X82" s="83">
        <v>1681.7400000000002</v>
      </c>
      <c r="Y82" s="83">
        <f t="shared" si="18"/>
        <v>1726.7400000000002</v>
      </c>
      <c r="Z82" s="83">
        <f t="shared" si="18"/>
        <v>1690.0400000000002</v>
      </c>
      <c r="AA82" s="83">
        <f t="shared" si="18"/>
        <v>1625.7400000000002</v>
      </c>
      <c r="AB82" s="83">
        <f t="shared" si="18"/>
        <v>1508.94</v>
      </c>
      <c r="AC82" s="83">
        <f t="shared" si="18"/>
        <v>1478.94</v>
      </c>
      <c r="AD82" s="83">
        <f t="shared" si="18"/>
        <v>1395.44</v>
      </c>
      <c r="AE82" s="83">
        <f t="shared" si="18"/>
        <v>1222.8400000000001</v>
      </c>
      <c r="AF82" s="83">
        <f t="shared" si="18"/>
        <v>1110.2400000000002</v>
      </c>
      <c r="AG82" s="62">
        <f>AG43+AG47+AG65+AG61+AG77+AG81</f>
        <v>1986.1900000000003</v>
      </c>
      <c r="AH82" s="48">
        <f t="shared" si="15"/>
        <v>1726.7400000000002</v>
      </c>
      <c r="AI82" s="49">
        <f t="shared" si="16"/>
        <v>985.54000000000019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15"/>
        <v>0</v>
      </c>
      <c r="AI83" s="49">
        <f t="shared" si="16"/>
        <v>0</v>
      </c>
    </row>
    <row r="84" spans="1:37" ht="15.75" thickBot="1" x14ac:dyDescent="0.3">
      <c r="A84" s="74" t="s">
        <v>89</v>
      </c>
      <c r="B84" s="83">
        <f t="shared" ref="B84" si="19">B82+B83</f>
        <v>1021.8400000000001</v>
      </c>
      <c r="C84" s="83">
        <f t="shared" ref="C84:AF84" si="20">C82+C83</f>
        <v>1031.7400000000002</v>
      </c>
      <c r="D84" s="83">
        <f t="shared" si="20"/>
        <v>985.54000000000019</v>
      </c>
      <c r="E84" s="83">
        <f t="shared" si="20"/>
        <v>1003.8400000000001</v>
      </c>
      <c r="F84" s="83">
        <f t="shared" si="20"/>
        <v>1019.3400000000001</v>
      </c>
      <c r="G84" s="83">
        <f t="shared" si="20"/>
        <v>1067.8400000000001</v>
      </c>
      <c r="H84" s="83">
        <f t="shared" si="20"/>
        <v>1176.04</v>
      </c>
      <c r="I84" s="83">
        <f t="shared" si="20"/>
        <v>1309.8400000000001</v>
      </c>
      <c r="J84" s="83">
        <f t="shared" si="20"/>
        <v>1320.0400000000002</v>
      </c>
      <c r="K84" s="83">
        <f t="shared" si="20"/>
        <v>1601.54</v>
      </c>
      <c r="L84" s="83">
        <f t="shared" si="20"/>
        <v>1611.24</v>
      </c>
      <c r="M84" s="83">
        <f t="shared" si="20"/>
        <v>1650.24</v>
      </c>
      <c r="N84" s="83">
        <f t="shared" si="20"/>
        <v>1540.8400000000001</v>
      </c>
      <c r="O84" s="83">
        <f t="shared" si="20"/>
        <v>1344.8400000000001</v>
      </c>
      <c r="P84" s="83">
        <f t="shared" si="20"/>
        <v>1309.6400000000001</v>
      </c>
      <c r="Q84" s="83">
        <f t="shared" si="20"/>
        <v>1197.74</v>
      </c>
      <c r="R84" s="83">
        <f t="shared" si="20"/>
        <v>1177.24</v>
      </c>
      <c r="S84" s="83">
        <f t="shared" si="20"/>
        <v>1149.44</v>
      </c>
      <c r="T84" s="83">
        <f t="shared" si="20"/>
        <v>1181.1400000000001</v>
      </c>
      <c r="U84" s="83">
        <f t="shared" si="20"/>
        <v>1181.1400000000001</v>
      </c>
      <c r="V84" s="83">
        <f t="shared" si="20"/>
        <v>1433.44</v>
      </c>
      <c r="W84" s="83">
        <f t="shared" si="20"/>
        <v>1569.44</v>
      </c>
      <c r="X84" s="83">
        <v>1681.7400000000002</v>
      </c>
      <c r="Y84" s="83">
        <f t="shared" si="20"/>
        <v>1726.7400000000002</v>
      </c>
      <c r="Z84" s="83">
        <f t="shared" si="20"/>
        <v>1690.0400000000002</v>
      </c>
      <c r="AA84" s="83">
        <f t="shared" si="20"/>
        <v>1625.7400000000002</v>
      </c>
      <c r="AB84" s="83">
        <f t="shared" si="20"/>
        <v>1508.94</v>
      </c>
      <c r="AC84" s="83">
        <f t="shared" si="20"/>
        <v>1478.94</v>
      </c>
      <c r="AD84" s="83">
        <f t="shared" si="20"/>
        <v>1395.44</v>
      </c>
      <c r="AE84" s="83">
        <f t="shared" si="20"/>
        <v>1222.8400000000001</v>
      </c>
      <c r="AF84" s="83">
        <f t="shared" si="20"/>
        <v>1110.2400000000002</v>
      </c>
      <c r="AG84" s="81">
        <f>AG81+AG77+AG65+AG61+AG43+AG83</f>
        <v>1448.0900000000001</v>
      </c>
      <c r="AH84" s="48">
        <f t="shared" si="15"/>
        <v>1726.7400000000002</v>
      </c>
      <c r="AI84" s="49">
        <f t="shared" si="16"/>
        <v>985.54000000000019</v>
      </c>
    </row>
    <row r="85" spans="1:37" ht="15.75" thickBot="1" x14ac:dyDescent="0.3">
      <c r="A85" s="74" t="s">
        <v>90</v>
      </c>
      <c r="B85" s="83">
        <f t="shared" ref="B85" si="21">B84-B92</f>
        <v>953.84000000000015</v>
      </c>
      <c r="C85" s="83">
        <f t="shared" ref="C85:AF85" si="22">C84-C92</f>
        <v>919.04000000000019</v>
      </c>
      <c r="D85" s="83">
        <f t="shared" si="22"/>
        <v>921.04000000000019</v>
      </c>
      <c r="E85" s="83">
        <f t="shared" si="22"/>
        <v>942.84000000000015</v>
      </c>
      <c r="F85" s="83">
        <f t="shared" si="22"/>
        <v>954.34000000000015</v>
      </c>
      <c r="G85" s="83">
        <f t="shared" si="22"/>
        <v>998.84000000000015</v>
      </c>
      <c r="H85" s="83">
        <f t="shared" si="22"/>
        <v>1106.04</v>
      </c>
      <c r="I85" s="83">
        <f t="shared" si="22"/>
        <v>1204.8400000000001</v>
      </c>
      <c r="J85" s="83">
        <f t="shared" si="22"/>
        <v>1220.0400000000002</v>
      </c>
      <c r="K85" s="83">
        <f t="shared" si="22"/>
        <v>1351.54</v>
      </c>
      <c r="L85" s="83">
        <f t="shared" si="22"/>
        <v>1407.24</v>
      </c>
      <c r="M85" s="83">
        <f t="shared" si="22"/>
        <v>1433.04</v>
      </c>
      <c r="N85" s="83">
        <f t="shared" si="22"/>
        <v>1339.8400000000001</v>
      </c>
      <c r="O85" s="83">
        <f t="shared" si="22"/>
        <v>1272.7400000000002</v>
      </c>
      <c r="P85" s="83">
        <f t="shared" si="22"/>
        <v>1232.24</v>
      </c>
      <c r="Q85" s="83">
        <f t="shared" si="22"/>
        <v>1179.44</v>
      </c>
      <c r="R85" s="83">
        <f t="shared" si="22"/>
        <v>1163.24</v>
      </c>
      <c r="S85" s="83">
        <f t="shared" si="22"/>
        <v>1139.44</v>
      </c>
      <c r="T85" s="83">
        <f t="shared" si="22"/>
        <v>1172.8400000000001</v>
      </c>
      <c r="U85" s="83">
        <f t="shared" si="22"/>
        <v>1169.0400000000002</v>
      </c>
      <c r="V85" s="83">
        <f t="shared" si="22"/>
        <v>1240.74</v>
      </c>
      <c r="W85" s="83">
        <f t="shared" si="22"/>
        <v>1382.44</v>
      </c>
      <c r="X85" s="83">
        <v>1494.7400000000002</v>
      </c>
      <c r="Y85" s="83">
        <f t="shared" si="22"/>
        <v>1456.7400000000002</v>
      </c>
      <c r="Z85" s="83">
        <f t="shared" si="22"/>
        <v>1384.0400000000002</v>
      </c>
      <c r="AA85" s="83">
        <f t="shared" si="22"/>
        <v>1309.7400000000002</v>
      </c>
      <c r="AB85" s="83">
        <f t="shared" si="22"/>
        <v>1233.94</v>
      </c>
      <c r="AC85" s="83">
        <f t="shared" si="22"/>
        <v>1193.94</v>
      </c>
      <c r="AD85" s="83">
        <f t="shared" si="22"/>
        <v>1107.6400000000001</v>
      </c>
      <c r="AE85" s="83">
        <f t="shared" si="22"/>
        <v>1016.8400000000001</v>
      </c>
      <c r="AF85" s="83">
        <f t="shared" si="22"/>
        <v>1013.7400000000002</v>
      </c>
      <c r="AG85" s="81"/>
      <c r="AH85" s="48">
        <f t="shared" si="15"/>
        <v>1494.7400000000002</v>
      </c>
      <c r="AI85" s="49">
        <f t="shared" si="16"/>
        <v>919.04000000000019</v>
      </c>
    </row>
    <row r="86" spans="1:37" x14ac:dyDescent="0.25">
      <c r="A86" s="44" t="s">
        <v>74</v>
      </c>
      <c r="B86" s="76">
        <f t="shared" ref="B86" si="23">IF(B69&lt;0,B69*-1,0)</f>
        <v>0</v>
      </c>
      <c r="C86" s="76">
        <f t="shared" ref="C86:AF86" si="24">IF(C69&lt;0,C69*-1,0)</f>
        <v>0</v>
      </c>
      <c r="D86" s="76">
        <f t="shared" si="24"/>
        <v>0</v>
      </c>
      <c r="E86" s="76">
        <f t="shared" si="24"/>
        <v>0</v>
      </c>
      <c r="F86" s="76">
        <f t="shared" si="24"/>
        <v>0</v>
      </c>
      <c r="G86" s="76">
        <f t="shared" si="24"/>
        <v>0</v>
      </c>
      <c r="H86" s="76">
        <f t="shared" si="24"/>
        <v>0</v>
      </c>
      <c r="I86" s="76">
        <f t="shared" si="24"/>
        <v>0</v>
      </c>
      <c r="J86" s="76">
        <f t="shared" si="24"/>
        <v>0</v>
      </c>
      <c r="K86" s="76">
        <f t="shared" si="24"/>
        <v>0</v>
      </c>
      <c r="L86" s="76">
        <f t="shared" si="24"/>
        <v>0</v>
      </c>
      <c r="M86" s="76">
        <f t="shared" si="24"/>
        <v>0</v>
      </c>
      <c r="N86" s="76">
        <f t="shared" si="24"/>
        <v>0</v>
      </c>
      <c r="O86" s="76">
        <f t="shared" si="24"/>
        <v>0</v>
      </c>
      <c r="P86" s="76">
        <f t="shared" si="24"/>
        <v>0</v>
      </c>
      <c r="Q86" s="76">
        <f t="shared" si="24"/>
        <v>0</v>
      </c>
      <c r="R86" s="76">
        <f t="shared" si="24"/>
        <v>0</v>
      </c>
      <c r="S86" s="76">
        <f t="shared" si="24"/>
        <v>0</v>
      </c>
      <c r="T86" s="76">
        <f t="shared" si="24"/>
        <v>0</v>
      </c>
      <c r="U86" s="76">
        <f t="shared" si="24"/>
        <v>0</v>
      </c>
      <c r="V86" s="76">
        <f t="shared" si="24"/>
        <v>0</v>
      </c>
      <c r="W86" s="76">
        <f t="shared" si="24"/>
        <v>0</v>
      </c>
      <c r="X86" s="76">
        <v>0</v>
      </c>
      <c r="Y86" s="76">
        <f t="shared" si="24"/>
        <v>0</v>
      </c>
      <c r="Z86" s="76">
        <f t="shared" si="24"/>
        <v>0</v>
      </c>
      <c r="AA86" s="76">
        <f t="shared" si="24"/>
        <v>0</v>
      </c>
      <c r="AB86" s="76">
        <f t="shared" si="24"/>
        <v>0</v>
      </c>
      <c r="AC86" s="76">
        <f t="shared" si="24"/>
        <v>0</v>
      </c>
      <c r="AD86" s="76">
        <f t="shared" si="24"/>
        <v>0</v>
      </c>
      <c r="AE86" s="76">
        <f t="shared" si="24"/>
        <v>0</v>
      </c>
      <c r="AF86" s="76">
        <f t="shared" si="24"/>
        <v>0</v>
      </c>
      <c r="AG86" s="52"/>
      <c r="AH86" s="48">
        <f t="shared" si="15"/>
        <v>0</v>
      </c>
      <c r="AI86" s="49">
        <f t="shared" si="16"/>
        <v>0</v>
      </c>
    </row>
    <row r="87" spans="1:37" x14ac:dyDescent="0.25">
      <c r="A87" s="54" t="s">
        <v>72</v>
      </c>
      <c r="B87" s="76">
        <f t="shared" ref="B87" si="25">IF(B67&lt;0,B67*-1,0)</f>
        <v>0</v>
      </c>
      <c r="C87" s="76">
        <f t="shared" ref="C87:AF87" si="26">IF(C67&lt;0,C67*-1,0)</f>
        <v>0</v>
      </c>
      <c r="D87" s="76">
        <f t="shared" si="26"/>
        <v>0</v>
      </c>
      <c r="E87" s="76">
        <f t="shared" si="26"/>
        <v>0</v>
      </c>
      <c r="F87" s="76">
        <f t="shared" si="26"/>
        <v>0</v>
      </c>
      <c r="G87" s="76">
        <f t="shared" si="26"/>
        <v>0</v>
      </c>
      <c r="H87" s="76">
        <f t="shared" si="26"/>
        <v>0</v>
      </c>
      <c r="I87" s="76">
        <f t="shared" si="26"/>
        <v>0</v>
      </c>
      <c r="J87" s="76">
        <f t="shared" si="26"/>
        <v>0</v>
      </c>
      <c r="K87" s="76">
        <f t="shared" si="26"/>
        <v>0</v>
      </c>
      <c r="L87" s="76">
        <f t="shared" si="26"/>
        <v>0</v>
      </c>
      <c r="M87" s="76">
        <f t="shared" si="26"/>
        <v>0</v>
      </c>
      <c r="N87" s="76">
        <f t="shared" si="26"/>
        <v>0</v>
      </c>
      <c r="O87" s="76">
        <f t="shared" si="26"/>
        <v>0</v>
      </c>
      <c r="P87" s="76">
        <f t="shared" si="26"/>
        <v>0</v>
      </c>
      <c r="Q87" s="76">
        <f t="shared" si="26"/>
        <v>0</v>
      </c>
      <c r="R87" s="76">
        <f t="shared" si="26"/>
        <v>0</v>
      </c>
      <c r="S87" s="76">
        <f t="shared" si="26"/>
        <v>0</v>
      </c>
      <c r="T87" s="76">
        <f t="shared" si="26"/>
        <v>0</v>
      </c>
      <c r="U87" s="76">
        <f t="shared" si="26"/>
        <v>0</v>
      </c>
      <c r="V87" s="76">
        <f t="shared" si="26"/>
        <v>0</v>
      </c>
      <c r="W87" s="76">
        <f t="shared" si="26"/>
        <v>0</v>
      </c>
      <c r="X87" s="76">
        <v>0</v>
      </c>
      <c r="Y87" s="76">
        <f t="shared" si="26"/>
        <v>0</v>
      </c>
      <c r="Z87" s="76">
        <f t="shared" si="26"/>
        <v>0</v>
      </c>
      <c r="AA87" s="76">
        <f t="shared" si="26"/>
        <v>0</v>
      </c>
      <c r="AB87" s="76">
        <f t="shared" si="26"/>
        <v>0</v>
      </c>
      <c r="AC87" s="76">
        <f t="shared" si="26"/>
        <v>0</v>
      </c>
      <c r="AD87" s="76">
        <f t="shared" si="26"/>
        <v>0</v>
      </c>
      <c r="AE87" s="76">
        <f t="shared" si="26"/>
        <v>0</v>
      </c>
      <c r="AF87" s="76">
        <f t="shared" si="26"/>
        <v>0</v>
      </c>
      <c r="AG87" s="55"/>
      <c r="AH87" s="48">
        <f t="shared" si="15"/>
        <v>0</v>
      </c>
      <c r="AI87" s="49">
        <f t="shared" si="16"/>
        <v>0</v>
      </c>
    </row>
    <row r="88" spans="1:37" x14ac:dyDescent="0.25">
      <c r="A88" s="78" t="s">
        <v>91</v>
      </c>
      <c r="B88" s="76">
        <f t="shared" ref="B88" si="27">IF(B70&lt;0,B70*-1,0)</f>
        <v>0</v>
      </c>
      <c r="C88" s="76">
        <f t="shared" ref="C88:AF88" si="28">IF(C70&lt;0,C70*-1,0)</f>
        <v>0</v>
      </c>
      <c r="D88" s="76">
        <f t="shared" si="28"/>
        <v>0</v>
      </c>
      <c r="E88" s="76">
        <f t="shared" si="28"/>
        <v>0</v>
      </c>
      <c r="F88" s="76">
        <f t="shared" si="28"/>
        <v>0</v>
      </c>
      <c r="G88" s="76">
        <f t="shared" si="28"/>
        <v>0</v>
      </c>
      <c r="H88" s="76">
        <f t="shared" si="28"/>
        <v>0</v>
      </c>
      <c r="I88" s="76">
        <f t="shared" si="28"/>
        <v>0</v>
      </c>
      <c r="J88" s="76">
        <f t="shared" si="28"/>
        <v>0</v>
      </c>
      <c r="K88" s="76">
        <f t="shared" si="28"/>
        <v>0</v>
      </c>
      <c r="L88" s="76">
        <f t="shared" si="28"/>
        <v>0</v>
      </c>
      <c r="M88" s="76">
        <f t="shared" si="28"/>
        <v>0</v>
      </c>
      <c r="N88" s="76">
        <f t="shared" si="28"/>
        <v>0</v>
      </c>
      <c r="O88" s="76">
        <f t="shared" si="28"/>
        <v>0</v>
      </c>
      <c r="P88" s="76">
        <f t="shared" si="28"/>
        <v>0</v>
      </c>
      <c r="Q88" s="76">
        <f t="shared" si="28"/>
        <v>0</v>
      </c>
      <c r="R88" s="76">
        <f t="shared" si="28"/>
        <v>0</v>
      </c>
      <c r="S88" s="76">
        <f t="shared" si="28"/>
        <v>0</v>
      </c>
      <c r="T88" s="76">
        <f t="shared" si="28"/>
        <v>0</v>
      </c>
      <c r="U88" s="76">
        <f t="shared" si="28"/>
        <v>0</v>
      </c>
      <c r="V88" s="76">
        <f t="shared" si="28"/>
        <v>0</v>
      </c>
      <c r="W88" s="76">
        <f t="shared" si="28"/>
        <v>0</v>
      </c>
      <c r="X88" s="76">
        <v>0</v>
      </c>
      <c r="Y88" s="76">
        <f t="shared" si="28"/>
        <v>0</v>
      </c>
      <c r="Z88" s="76">
        <f t="shared" si="28"/>
        <v>0</v>
      </c>
      <c r="AA88" s="76">
        <f t="shared" si="28"/>
        <v>0</v>
      </c>
      <c r="AB88" s="76">
        <f t="shared" si="28"/>
        <v>0</v>
      </c>
      <c r="AC88" s="76">
        <f t="shared" si="28"/>
        <v>0</v>
      </c>
      <c r="AD88" s="76">
        <f t="shared" si="28"/>
        <v>0</v>
      </c>
      <c r="AE88" s="76">
        <f t="shared" si="28"/>
        <v>0</v>
      </c>
      <c r="AF88" s="76">
        <f t="shared" si="28"/>
        <v>0</v>
      </c>
      <c r="AG88" s="86"/>
      <c r="AH88" s="48">
        <f t="shared" si="15"/>
        <v>0</v>
      </c>
      <c r="AI88" s="49">
        <f t="shared" si="16"/>
        <v>0</v>
      </c>
    </row>
    <row r="89" spans="1:37" x14ac:dyDescent="0.25">
      <c r="A89" s="78" t="s">
        <v>92</v>
      </c>
      <c r="B89" s="76">
        <f t="shared" ref="B89" si="29">IF(B68&lt;0,B68*-1,0)</f>
        <v>68</v>
      </c>
      <c r="C89" s="76">
        <f t="shared" ref="C89:AF89" si="30">IF(C68&lt;0,C68*-1,0)</f>
        <v>112.7</v>
      </c>
      <c r="D89" s="76">
        <f t="shared" si="30"/>
        <v>64.5</v>
      </c>
      <c r="E89" s="76">
        <f t="shared" si="30"/>
        <v>61</v>
      </c>
      <c r="F89" s="76">
        <f t="shared" si="30"/>
        <v>65</v>
      </c>
      <c r="G89" s="76">
        <f t="shared" si="30"/>
        <v>69</v>
      </c>
      <c r="H89" s="76">
        <f t="shared" si="30"/>
        <v>70</v>
      </c>
      <c r="I89" s="76">
        <f t="shared" si="30"/>
        <v>105</v>
      </c>
      <c r="J89" s="76">
        <f t="shared" si="30"/>
        <v>100</v>
      </c>
      <c r="K89" s="76">
        <f t="shared" si="30"/>
        <v>250</v>
      </c>
      <c r="L89" s="76">
        <f t="shared" si="30"/>
        <v>204</v>
      </c>
      <c r="M89" s="76">
        <f t="shared" si="30"/>
        <v>217.2</v>
      </c>
      <c r="N89" s="76">
        <f t="shared" si="30"/>
        <v>201</v>
      </c>
      <c r="O89" s="76">
        <f t="shared" si="30"/>
        <v>72.099999999999994</v>
      </c>
      <c r="P89" s="76">
        <f t="shared" si="30"/>
        <v>77.400000000000006</v>
      </c>
      <c r="Q89" s="76">
        <f t="shared" si="30"/>
        <v>18.3</v>
      </c>
      <c r="R89" s="76">
        <f t="shared" si="30"/>
        <v>14</v>
      </c>
      <c r="S89" s="76">
        <f t="shared" si="30"/>
        <v>10</v>
      </c>
      <c r="T89" s="76">
        <f t="shared" si="30"/>
        <v>8.3000000000000007</v>
      </c>
      <c r="U89" s="76">
        <f t="shared" si="30"/>
        <v>12.1</v>
      </c>
      <c r="V89" s="76">
        <f t="shared" si="30"/>
        <v>192.7</v>
      </c>
      <c r="W89" s="76">
        <f t="shared" si="30"/>
        <v>187</v>
      </c>
      <c r="X89" s="76">
        <v>187</v>
      </c>
      <c r="Y89" s="76">
        <f t="shared" si="30"/>
        <v>270</v>
      </c>
      <c r="Z89" s="76">
        <f t="shared" si="30"/>
        <v>306</v>
      </c>
      <c r="AA89" s="76">
        <f t="shared" si="30"/>
        <v>316</v>
      </c>
      <c r="AB89" s="76">
        <f t="shared" si="30"/>
        <v>275</v>
      </c>
      <c r="AC89" s="76">
        <f t="shared" si="30"/>
        <v>285</v>
      </c>
      <c r="AD89" s="76">
        <f t="shared" si="30"/>
        <v>287.8</v>
      </c>
      <c r="AE89" s="76">
        <f t="shared" si="30"/>
        <v>206</v>
      </c>
      <c r="AF89" s="76">
        <f t="shared" si="30"/>
        <v>96.5</v>
      </c>
      <c r="AG89" s="86"/>
      <c r="AH89" s="48">
        <f t="shared" si="15"/>
        <v>316</v>
      </c>
      <c r="AI89" s="49">
        <f t="shared" si="16"/>
        <v>8.3000000000000007</v>
      </c>
    </row>
    <row r="90" spans="1:37" x14ac:dyDescent="0.25">
      <c r="A90" s="78" t="s">
        <v>71</v>
      </c>
      <c r="B90" s="76">
        <f t="shared" ref="B90:AF90" si="31">IF(B66&lt;0,B66*-1,0)</f>
        <v>0</v>
      </c>
      <c r="C90" s="76">
        <f t="shared" si="31"/>
        <v>0</v>
      </c>
      <c r="D90" s="76">
        <f t="shared" si="31"/>
        <v>0</v>
      </c>
      <c r="E90" s="76">
        <f t="shared" si="31"/>
        <v>0</v>
      </c>
      <c r="F90" s="76">
        <f t="shared" si="31"/>
        <v>0</v>
      </c>
      <c r="G90" s="76">
        <f t="shared" si="31"/>
        <v>0</v>
      </c>
      <c r="H90" s="76">
        <f t="shared" si="31"/>
        <v>0</v>
      </c>
      <c r="I90" s="76">
        <f t="shared" si="31"/>
        <v>0</v>
      </c>
      <c r="J90" s="76">
        <f t="shared" si="31"/>
        <v>0</v>
      </c>
      <c r="K90" s="76">
        <f t="shared" si="31"/>
        <v>0</v>
      </c>
      <c r="L90" s="76">
        <f t="shared" si="31"/>
        <v>0</v>
      </c>
      <c r="M90" s="76">
        <f t="shared" si="31"/>
        <v>0</v>
      </c>
      <c r="N90" s="76">
        <f t="shared" si="31"/>
        <v>0</v>
      </c>
      <c r="O90" s="76">
        <f t="shared" si="31"/>
        <v>0</v>
      </c>
      <c r="P90" s="76">
        <f t="shared" si="31"/>
        <v>0</v>
      </c>
      <c r="Q90" s="76">
        <f t="shared" si="31"/>
        <v>0</v>
      </c>
      <c r="R90" s="76">
        <f t="shared" si="31"/>
        <v>0</v>
      </c>
      <c r="S90" s="76">
        <f t="shared" si="31"/>
        <v>0</v>
      </c>
      <c r="T90" s="76">
        <f t="shared" si="31"/>
        <v>0</v>
      </c>
      <c r="U90" s="76">
        <f t="shared" si="31"/>
        <v>0</v>
      </c>
      <c r="V90" s="76">
        <f t="shared" si="31"/>
        <v>0</v>
      </c>
      <c r="W90" s="76">
        <f t="shared" si="31"/>
        <v>0</v>
      </c>
      <c r="X90" s="76">
        <v>0</v>
      </c>
      <c r="Y90" s="76">
        <f t="shared" si="31"/>
        <v>0</v>
      </c>
      <c r="Z90" s="76">
        <f t="shared" si="31"/>
        <v>0</v>
      </c>
      <c r="AA90" s="76">
        <f t="shared" si="31"/>
        <v>0</v>
      </c>
      <c r="AB90" s="76">
        <f t="shared" si="31"/>
        <v>0</v>
      </c>
      <c r="AC90" s="76">
        <f t="shared" si="31"/>
        <v>0</v>
      </c>
      <c r="AD90" s="76">
        <f t="shared" si="31"/>
        <v>0</v>
      </c>
      <c r="AE90" s="76">
        <f t="shared" si="31"/>
        <v>0</v>
      </c>
      <c r="AF90" s="76">
        <f t="shared" si="31"/>
        <v>0</v>
      </c>
      <c r="AG90" s="86"/>
      <c r="AH90" s="48">
        <f t="shared" si="15"/>
        <v>0</v>
      </c>
      <c r="AI90" s="49">
        <f t="shared" si="16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>
        <v>0</v>
      </c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5"/>
        <v>0</v>
      </c>
      <c r="AI91" s="49">
        <f t="shared" si="16"/>
        <v>0</v>
      </c>
    </row>
    <row r="92" spans="1:37" ht="15.75" thickBot="1" x14ac:dyDescent="0.3">
      <c r="A92" s="87" t="s">
        <v>94</v>
      </c>
      <c r="B92" s="61">
        <f t="shared" ref="B92:AF92" si="32">SUM(B86:B91)</f>
        <v>68</v>
      </c>
      <c r="C92" s="61">
        <f t="shared" si="32"/>
        <v>112.7</v>
      </c>
      <c r="D92" s="61">
        <f t="shared" si="32"/>
        <v>64.5</v>
      </c>
      <c r="E92" s="61">
        <f t="shared" si="32"/>
        <v>61</v>
      </c>
      <c r="F92" s="61">
        <f t="shared" si="32"/>
        <v>65</v>
      </c>
      <c r="G92" s="61">
        <f t="shared" si="32"/>
        <v>69</v>
      </c>
      <c r="H92" s="61">
        <f t="shared" si="32"/>
        <v>70</v>
      </c>
      <c r="I92" s="61">
        <f t="shared" si="32"/>
        <v>105</v>
      </c>
      <c r="J92" s="61">
        <f t="shared" si="32"/>
        <v>100</v>
      </c>
      <c r="K92" s="61">
        <f t="shared" si="32"/>
        <v>250</v>
      </c>
      <c r="L92" s="61">
        <f t="shared" si="32"/>
        <v>204</v>
      </c>
      <c r="M92" s="61">
        <f t="shared" si="32"/>
        <v>217.2</v>
      </c>
      <c r="N92" s="61">
        <f t="shared" si="32"/>
        <v>201</v>
      </c>
      <c r="O92" s="61">
        <f t="shared" si="32"/>
        <v>72.099999999999994</v>
      </c>
      <c r="P92" s="61">
        <f t="shared" si="32"/>
        <v>77.400000000000006</v>
      </c>
      <c r="Q92" s="61">
        <f t="shared" si="32"/>
        <v>18.3</v>
      </c>
      <c r="R92" s="61">
        <f t="shared" si="32"/>
        <v>14</v>
      </c>
      <c r="S92" s="61">
        <f t="shared" si="32"/>
        <v>10</v>
      </c>
      <c r="T92" s="61">
        <f t="shared" si="32"/>
        <v>8.3000000000000007</v>
      </c>
      <c r="U92" s="61">
        <f t="shared" si="32"/>
        <v>12.1</v>
      </c>
      <c r="V92" s="61">
        <f t="shared" si="32"/>
        <v>192.7</v>
      </c>
      <c r="W92" s="61">
        <f t="shared" si="32"/>
        <v>187</v>
      </c>
      <c r="X92" s="61">
        <v>187</v>
      </c>
      <c r="Y92" s="61">
        <f t="shared" si="32"/>
        <v>270</v>
      </c>
      <c r="Z92" s="61">
        <f t="shared" si="32"/>
        <v>306</v>
      </c>
      <c r="AA92" s="61">
        <f t="shared" si="32"/>
        <v>316</v>
      </c>
      <c r="AB92" s="61">
        <f t="shared" si="32"/>
        <v>275</v>
      </c>
      <c r="AC92" s="61">
        <f t="shared" si="32"/>
        <v>285</v>
      </c>
      <c r="AD92" s="61">
        <f t="shared" si="32"/>
        <v>287.8</v>
      </c>
      <c r="AE92" s="61">
        <f t="shared" si="32"/>
        <v>206</v>
      </c>
      <c r="AF92" s="61">
        <f t="shared" si="32"/>
        <v>96.5</v>
      </c>
      <c r="AG92" s="81"/>
      <c r="AH92" s="48">
        <f t="shared" si="15"/>
        <v>316</v>
      </c>
      <c r="AI92" s="49">
        <f t="shared" si="16"/>
        <v>8.3000000000000007</v>
      </c>
      <c r="AK92" s="50"/>
    </row>
    <row r="93" spans="1:37" ht="15.75" thickBot="1" x14ac:dyDescent="0.3">
      <c r="A93" s="74" t="s">
        <v>95</v>
      </c>
      <c r="B93" s="61">
        <f t="shared" ref="B93:AF93" si="33">B77-B92</f>
        <v>-68</v>
      </c>
      <c r="C93" s="61">
        <f t="shared" si="33"/>
        <v>-112.7</v>
      </c>
      <c r="D93" s="61">
        <f t="shared" si="33"/>
        <v>-64.5</v>
      </c>
      <c r="E93" s="61">
        <f t="shared" si="33"/>
        <v>-61</v>
      </c>
      <c r="F93" s="61">
        <f t="shared" si="33"/>
        <v>-65</v>
      </c>
      <c r="G93" s="61">
        <f t="shared" si="33"/>
        <v>-69</v>
      </c>
      <c r="H93" s="61">
        <f t="shared" si="33"/>
        <v>-70</v>
      </c>
      <c r="I93" s="61">
        <f t="shared" si="33"/>
        <v>-105</v>
      </c>
      <c r="J93" s="61">
        <f t="shared" si="33"/>
        <v>-100</v>
      </c>
      <c r="K93" s="61">
        <f t="shared" si="33"/>
        <v>-250</v>
      </c>
      <c r="L93" s="61">
        <f t="shared" si="33"/>
        <v>-204</v>
      </c>
      <c r="M93" s="61">
        <f t="shared" si="33"/>
        <v>-217.2</v>
      </c>
      <c r="N93" s="61">
        <f t="shared" si="33"/>
        <v>-201</v>
      </c>
      <c r="O93" s="61">
        <f t="shared" si="33"/>
        <v>-72.099999999999994</v>
      </c>
      <c r="P93" s="61">
        <f t="shared" si="33"/>
        <v>-77.400000000000006</v>
      </c>
      <c r="Q93" s="61">
        <f t="shared" si="33"/>
        <v>-18.3</v>
      </c>
      <c r="R93" s="61">
        <f t="shared" si="33"/>
        <v>-14</v>
      </c>
      <c r="S93" s="61">
        <f t="shared" si="33"/>
        <v>-10</v>
      </c>
      <c r="T93" s="61">
        <f t="shared" si="33"/>
        <v>-8.3000000000000007</v>
      </c>
      <c r="U93" s="61">
        <f t="shared" si="33"/>
        <v>-12.1</v>
      </c>
      <c r="V93" s="61">
        <f t="shared" si="33"/>
        <v>-192.7</v>
      </c>
      <c r="W93" s="61">
        <f t="shared" si="33"/>
        <v>-187</v>
      </c>
      <c r="X93" s="61">
        <v>-187</v>
      </c>
      <c r="Y93" s="61">
        <f t="shared" si="33"/>
        <v>-270</v>
      </c>
      <c r="Z93" s="61">
        <f t="shared" si="33"/>
        <v>-306</v>
      </c>
      <c r="AA93" s="61">
        <f t="shared" si="33"/>
        <v>-316</v>
      </c>
      <c r="AB93" s="61">
        <f t="shared" si="33"/>
        <v>-275</v>
      </c>
      <c r="AC93" s="61">
        <f t="shared" si="33"/>
        <v>-285</v>
      </c>
      <c r="AD93" s="61">
        <f t="shared" si="33"/>
        <v>-287.8</v>
      </c>
      <c r="AE93" s="61">
        <f t="shared" si="33"/>
        <v>-206</v>
      </c>
      <c r="AF93" s="61">
        <f t="shared" si="33"/>
        <v>-96.5</v>
      </c>
      <c r="AG93" s="81"/>
      <c r="AH93" s="48">
        <f t="shared" si="15"/>
        <v>-8.3000000000000007</v>
      </c>
      <c r="AI93" s="49">
        <f t="shared" si="16"/>
        <v>-316</v>
      </c>
    </row>
    <row r="94" spans="1:37" x14ac:dyDescent="0.25">
      <c r="A94" s="88" t="s">
        <v>96</v>
      </c>
      <c r="B94" s="89">
        <v>49.935000000000002</v>
      </c>
      <c r="C94" s="89">
        <v>49.997</v>
      </c>
      <c r="D94" s="89">
        <v>50.030999999999999</v>
      </c>
      <c r="E94" s="89">
        <v>50.006500000000003</v>
      </c>
      <c r="F94" s="89">
        <v>50</v>
      </c>
      <c r="G94" s="89">
        <v>50</v>
      </c>
      <c r="H94" s="89">
        <v>49.984000000000002</v>
      </c>
      <c r="I94" s="89">
        <v>49.993000000000002</v>
      </c>
      <c r="J94" s="89">
        <v>49.917000000000002</v>
      </c>
      <c r="K94" s="89">
        <v>49.887</v>
      </c>
      <c r="L94" s="89">
        <v>49.887</v>
      </c>
      <c r="M94" s="89">
        <v>50.036999999999999</v>
      </c>
      <c r="N94" s="89">
        <v>50.029000000000003</v>
      </c>
      <c r="O94" s="89">
        <v>49.895000000000003</v>
      </c>
      <c r="P94" s="89">
        <v>49.997</v>
      </c>
      <c r="Q94" s="89">
        <v>49.987000000000002</v>
      </c>
      <c r="R94" s="89">
        <v>49.978000000000002</v>
      </c>
      <c r="S94" s="89">
        <v>49.978000000000002</v>
      </c>
      <c r="T94" s="89">
        <v>49.78</v>
      </c>
      <c r="U94" s="89">
        <v>49.8</v>
      </c>
      <c r="V94" s="89">
        <v>50.02</v>
      </c>
      <c r="W94" s="89">
        <v>49.84</v>
      </c>
      <c r="X94" s="89">
        <v>49.81</v>
      </c>
      <c r="Y94" s="89">
        <v>50.05</v>
      </c>
      <c r="Z94" s="89">
        <v>50.07</v>
      </c>
      <c r="AA94" s="89"/>
      <c r="AB94" s="89">
        <v>49.884999999999998</v>
      </c>
      <c r="AC94" s="89">
        <v>49.841999999999999</v>
      </c>
      <c r="AD94" s="89">
        <v>49.883000000000003</v>
      </c>
      <c r="AE94" s="89">
        <v>50.067</v>
      </c>
      <c r="AF94" s="89">
        <v>50.026000000000003</v>
      </c>
      <c r="AG94" s="90"/>
      <c r="AH94" s="48">
        <f t="shared" si="15"/>
        <v>50.07</v>
      </c>
      <c r="AI94" s="49">
        <f t="shared" si="16"/>
        <v>49.78</v>
      </c>
    </row>
    <row r="95" spans="1:37" x14ac:dyDescent="0.25">
      <c r="A95" s="91" t="s">
        <v>97</v>
      </c>
      <c r="B95" s="65">
        <v>127.3</v>
      </c>
      <c r="C95" s="65">
        <v>128.5</v>
      </c>
      <c r="D95" s="65">
        <v>127</v>
      </c>
      <c r="E95" s="65">
        <v>127.5</v>
      </c>
      <c r="F95" s="65">
        <v>127.3</v>
      </c>
      <c r="G95" s="65">
        <v>126.8</v>
      </c>
      <c r="H95" s="65">
        <v>125.6</v>
      </c>
      <c r="I95" s="65">
        <v>124.2</v>
      </c>
      <c r="J95" s="65">
        <v>124.3</v>
      </c>
      <c r="K95" s="65">
        <v>126.1</v>
      </c>
      <c r="L95" s="65">
        <v>126.1</v>
      </c>
      <c r="M95" s="65">
        <v>121.5</v>
      </c>
      <c r="N95" s="65">
        <v>122.5</v>
      </c>
      <c r="O95" s="65">
        <v>123.7</v>
      </c>
      <c r="P95" s="65">
        <v>125</v>
      </c>
      <c r="Q95" s="65">
        <v>124.7</v>
      </c>
      <c r="R95" s="65">
        <v>125.6</v>
      </c>
      <c r="S95" s="65">
        <v>125.6</v>
      </c>
      <c r="T95" s="65">
        <v>123.6</v>
      </c>
      <c r="U95" s="65">
        <v>123.8</v>
      </c>
      <c r="V95" s="65">
        <v>125.7</v>
      </c>
      <c r="W95" s="65">
        <v>123.3</v>
      </c>
      <c r="X95" s="65">
        <v>126.5</v>
      </c>
      <c r="Y95" s="65">
        <v>128.30000000000001</v>
      </c>
      <c r="Z95" s="65">
        <v>128.30000000000001</v>
      </c>
      <c r="AA95" s="65">
        <v>128.30000000000001</v>
      </c>
      <c r="AB95" s="65">
        <v>128</v>
      </c>
      <c r="AC95" s="65">
        <v>128</v>
      </c>
      <c r="AD95" s="65">
        <v>127.1</v>
      </c>
      <c r="AE95" s="65">
        <v>127.3</v>
      </c>
      <c r="AF95" s="65">
        <v>127.5</v>
      </c>
      <c r="AG95" s="92"/>
      <c r="AH95" s="48">
        <f t="shared" si="15"/>
        <v>128.5</v>
      </c>
      <c r="AI95" s="49">
        <f t="shared" si="16"/>
        <v>121.5</v>
      </c>
    </row>
    <row r="96" spans="1:37" x14ac:dyDescent="0.25">
      <c r="A96" s="91" t="s">
        <v>98</v>
      </c>
      <c r="B96" s="65">
        <v>131.30000000000001</v>
      </c>
      <c r="C96" s="65">
        <v>132.1</v>
      </c>
      <c r="D96" s="65">
        <v>131.19999999999999</v>
      </c>
      <c r="E96" s="65">
        <v>131.6</v>
      </c>
      <c r="F96" s="65">
        <v>131.4</v>
      </c>
      <c r="G96" s="65">
        <v>130.69999999999999</v>
      </c>
      <c r="H96" s="65">
        <v>129.6</v>
      </c>
      <c r="I96" s="65">
        <v>127.8</v>
      </c>
      <c r="J96" s="65">
        <v>127.9</v>
      </c>
      <c r="K96" s="65">
        <v>128.69999999999999</v>
      </c>
      <c r="L96" s="65">
        <v>128.69999999999999</v>
      </c>
      <c r="M96" s="65">
        <v>125.5</v>
      </c>
      <c r="N96" s="65">
        <v>125.9</v>
      </c>
      <c r="O96" s="65">
        <v>127</v>
      </c>
      <c r="P96" s="65">
        <v>127.7</v>
      </c>
      <c r="Q96" s="65">
        <v>127.8</v>
      </c>
      <c r="R96" s="65">
        <v>128.69999999999999</v>
      </c>
      <c r="S96" s="65">
        <v>128.69999999999999</v>
      </c>
      <c r="T96" s="65">
        <v>127.4</v>
      </c>
      <c r="U96" s="65">
        <v>127.8</v>
      </c>
      <c r="V96" s="65">
        <v>128.80000000000001</v>
      </c>
      <c r="W96" s="65">
        <v>126.1</v>
      </c>
      <c r="X96" s="65">
        <v>128.80000000000001</v>
      </c>
      <c r="Y96" s="65">
        <v>130.1</v>
      </c>
      <c r="Z96" s="65">
        <v>130.1</v>
      </c>
      <c r="AA96" s="65">
        <v>130.1</v>
      </c>
      <c r="AB96" s="65">
        <v>130.5</v>
      </c>
      <c r="AC96" s="65">
        <v>130.5</v>
      </c>
      <c r="AD96" s="65">
        <v>130</v>
      </c>
      <c r="AE96" s="65">
        <v>131</v>
      </c>
      <c r="AF96" s="65">
        <v>131.6</v>
      </c>
      <c r="AG96" s="92"/>
      <c r="AH96" s="48">
        <f t="shared" si="15"/>
        <v>132.1</v>
      </c>
      <c r="AI96" s="49">
        <f t="shared" si="16"/>
        <v>125.5</v>
      </c>
    </row>
    <row r="97" spans="1:35" x14ac:dyDescent="0.25">
      <c r="A97" s="91" t="s">
        <v>99</v>
      </c>
      <c r="B97" s="65">
        <v>131.69999999999999</v>
      </c>
      <c r="C97" s="65">
        <v>131.9</v>
      </c>
      <c r="D97" s="65">
        <v>131.80000000000001</v>
      </c>
      <c r="E97" s="65">
        <v>132.6</v>
      </c>
      <c r="F97" s="65">
        <v>132.6</v>
      </c>
      <c r="G97" s="65">
        <v>131</v>
      </c>
      <c r="H97" s="65">
        <v>130.1</v>
      </c>
      <c r="I97" s="65">
        <v>128.80000000000001</v>
      </c>
      <c r="J97" s="65">
        <v>128.30000000000001</v>
      </c>
      <c r="K97" s="65">
        <v>128.30000000000001</v>
      </c>
      <c r="L97" s="65">
        <v>128.30000000000001</v>
      </c>
      <c r="M97" s="65">
        <v>127.9</v>
      </c>
      <c r="N97" s="65">
        <v>130.30000000000001</v>
      </c>
      <c r="O97" s="65">
        <v>130.19999999999999</v>
      </c>
      <c r="P97" s="65">
        <v>130.4</v>
      </c>
      <c r="Q97" s="65">
        <v>131.6</v>
      </c>
      <c r="R97" s="65">
        <v>131.1</v>
      </c>
      <c r="S97" s="65">
        <v>131.1</v>
      </c>
      <c r="T97" s="65">
        <v>130.4</v>
      </c>
      <c r="U97" s="65">
        <v>129.69999999999999</v>
      </c>
      <c r="V97" s="65">
        <v>129.5</v>
      </c>
      <c r="W97" s="65">
        <v>128</v>
      </c>
      <c r="X97" s="65">
        <v>129.19999999999999</v>
      </c>
      <c r="Y97" s="65">
        <v>130</v>
      </c>
      <c r="Z97" s="65">
        <v>130</v>
      </c>
      <c r="AA97" s="65">
        <v>130</v>
      </c>
      <c r="AB97" s="65">
        <v>132.9</v>
      </c>
      <c r="AC97" s="65">
        <v>132.9</v>
      </c>
      <c r="AD97" s="65">
        <v>133.4</v>
      </c>
      <c r="AE97" s="65">
        <v>132.69999999999999</v>
      </c>
      <c r="AF97" s="65">
        <v>132.30000000000001</v>
      </c>
      <c r="AG97" s="92"/>
      <c r="AH97" s="48">
        <f t="shared" si="15"/>
        <v>133.4</v>
      </c>
      <c r="AI97" s="49">
        <f t="shared" si="16"/>
        <v>127.9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5"/>
        <v>0</v>
      </c>
      <c r="AI98" s="49">
        <f t="shared" si="16"/>
        <v>0</v>
      </c>
    </row>
    <row r="99" spans="1:35" x14ac:dyDescent="0.25">
      <c r="A99" s="93" t="s">
        <v>101</v>
      </c>
      <c r="B99" s="94">
        <v>133.9</v>
      </c>
      <c r="C99" s="94">
        <v>134.69999999999999</v>
      </c>
      <c r="D99" s="94">
        <v>135</v>
      </c>
      <c r="E99" s="94">
        <v>134.9</v>
      </c>
      <c r="F99" s="94">
        <v>134.30000000000001</v>
      </c>
      <c r="G99" s="94">
        <v>133.5</v>
      </c>
      <c r="H99" s="94">
        <v>131</v>
      </c>
      <c r="I99" s="94">
        <v>132</v>
      </c>
      <c r="J99" s="94">
        <v>131.19999999999999</v>
      </c>
      <c r="K99" s="94">
        <v>135.6</v>
      </c>
      <c r="L99" s="94">
        <v>135.6</v>
      </c>
      <c r="M99" s="94">
        <v>132.6</v>
      </c>
      <c r="N99" s="94">
        <v>133.19999999999999</v>
      </c>
      <c r="O99" s="94">
        <v>134.69999999999999</v>
      </c>
      <c r="P99" s="94">
        <v>133.80000000000001</v>
      </c>
      <c r="Q99" s="94">
        <v>134.80000000000001</v>
      </c>
      <c r="R99" s="94">
        <v>133.4</v>
      </c>
      <c r="S99" s="94">
        <v>133.4</v>
      </c>
      <c r="T99" s="94">
        <v>134</v>
      </c>
      <c r="U99" s="94">
        <v>133.6</v>
      </c>
      <c r="V99" s="94">
        <v>136.4</v>
      </c>
      <c r="W99" s="94">
        <v>132.6</v>
      </c>
      <c r="X99" s="94">
        <v>136.6</v>
      </c>
      <c r="Y99" s="94">
        <v>134.80000000000001</v>
      </c>
      <c r="Z99" s="94">
        <v>134.80000000000001</v>
      </c>
      <c r="AA99" s="94">
        <v>134.80000000000001</v>
      </c>
      <c r="AB99" s="94">
        <v>135</v>
      </c>
      <c r="AC99" s="94">
        <v>135</v>
      </c>
      <c r="AD99" s="94">
        <v>133.80000000000001</v>
      </c>
      <c r="AE99" s="94">
        <v>133.4</v>
      </c>
      <c r="AF99" s="94">
        <v>133.1</v>
      </c>
      <c r="AG99" s="95"/>
      <c r="AH99" s="48">
        <f t="shared" si="15"/>
        <v>136.6</v>
      </c>
      <c r="AI99" s="49">
        <f t="shared" si="16"/>
        <v>131</v>
      </c>
    </row>
    <row r="100" spans="1:35" x14ac:dyDescent="0.25">
      <c r="A100" s="91" t="s">
        <v>102</v>
      </c>
      <c r="B100" s="65">
        <v>133.6</v>
      </c>
      <c r="C100" s="65">
        <v>1342</v>
      </c>
      <c r="D100" s="65">
        <v>134</v>
      </c>
      <c r="E100" s="65">
        <v>134.69999999999999</v>
      </c>
      <c r="F100" s="65">
        <v>133.80000000000001</v>
      </c>
      <c r="G100" s="65">
        <v>132.9</v>
      </c>
      <c r="H100" s="65">
        <v>130</v>
      </c>
      <c r="I100" s="65">
        <v>129.69999999999999</v>
      </c>
      <c r="J100" s="65">
        <v>128</v>
      </c>
      <c r="K100" s="65">
        <v>131.9</v>
      </c>
      <c r="L100" s="65">
        <v>131.9</v>
      </c>
      <c r="M100" s="65">
        <v>125.6</v>
      </c>
      <c r="N100" s="65">
        <v>129.5</v>
      </c>
      <c r="O100" s="65">
        <v>131.80000000000001</v>
      </c>
      <c r="P100" s="65">
        <v>131</v>
      </c>
      <c r="Q100" s="65">
        <v>133.1</v>
      </c>
      <c r="R100" s="65">
        <v>133.4</v>
      </c>
      <c r="S100" s="65">
        <v>133.4</v>
      </c>
      <c r="T100" s="65">
        <v>130</v>
      </c>
      <c r="U100" s="65">
        <v>127</v>
      </c>
      <c r="V100" s="65">
        <v>134.9</v>
      </c>
      <c r="W100" s="65">
        <v>130.6</v>
      </c>
      <c r="X100" s="65">
        <v>134.80000000000001</v>
      </c>
      <c r="Y100" s="65">
        <v>132</v>
      </c>
      <c r="Z100" s="65">
        <v>132</v>
      </c>
      <c r="AA100" s="65">
        <v>132</v>
      </c>
      <c r="AB100" s="65">
        <v>135.69999999999999</v>
      </c>
      <c r="AC100" s="65">
        <v>135.69999999999999</v>
      </c>
      <c r="AD100" s="65">
        <v>133.80000000000001</v>
      </c>
      <c r="AE100" s="65">
        <v>135.30000000000001</v>
      </c>
      <c r="AF100" s="65">
        <v>130.19999999999999</v>
      </c>
      <c r="AG100" s="92"/>
      <c r="AH100" s="48">
        <f t="shared" si="15"/>
        <v>1342</v>
      </c>
      <c r="AI100" s="49">
        <f t="shared" si="16"/>
        <v>125.6</v>
      </c>
    </row>
    <row r="101" spans="1:35" ht="15.75" thickBot="1" x14ac:dyDescent="0.3">
      <c r="A101" s="91" t="s">
        <v>104</v>
      </c>
      <c r="B101" s="96">
        <v>66.099999999999994</v>
      </c>
      <c r="C101" s="96">
        <v>66.5</v>
      </c>
      <c r="D101" s="96">
        <v>66</v>
      </c>
      <c r="E101" s="96">
        <v>66.2</v>
      </c>
      <c r="F101" s="96">
        <v>66.3</v>
      </c>
      <c r="G101" s="96">
        <v>65.8</v>
      </c>
      <c r="H101" s="96">
        <v>65.099999999999994</v>
      </c>
      <c r="I101" s="96">
        <v>64.099999999999994</v>
      </c>
      <c r="J101" s="96">
        <v>64.400000000000006</v>
      </c>
      <c r="K101" s="96">
        <v>64.599999999999994</v>
      </c>
      <c r="L101" s="96">
        <v>64.599999999999994</v>
      </c>
      <c r="M101" s="96">
        <v>63.5</v>
      </c>
      <c r="N101" s="96">
        <v>63.2</v>
      </c>
      <c r="O101" s="96">
        <v>63.7</v>
      </c>
      <c r="P101" s="96">
        <v>64.099999999999994</v>
      </c>
      <c r="Q101" s="96">
        <v>64.2</v>
      </c>
      <c r="R101" s="96">
        <v>64.7</v>
      </c>
      <c r="S101" s="96">
        <v>64.7</v>
      </c>
      <c r="T101" s="96">
        <v>64.099999999999994</v>
      </c>
      <c r="U101" s="96">
        <v>64.3</v>
      </c>
      <c r="V101" s="96">
        <v>64.8</v>
      </c>
      <c r="W101" s="96">
        <v>63.6</v>
      </c>
      <c r="X101" s="96">
        <v>64.900000000000006</v>
      </c>
      <c r="Y101" s="96">
        <v>65.599999999999994</v>
      </c>
      <c r="Z101" s="96">
        <v>65.599999999999994</v>
      </c>
      <c r="AA101" s="96">
        <v>65.599999999999994</v>
      </c>
      <c r="AB101" s="96">
        <v>65.599999999999994</v>
      </c>
      <c r="AC101" s="96">
        <v>65.599999999999994</v>
      </c>
      <c r="AD101" s="96">
        <v>65.400000000000006</v>
      </c>
      <c r="AE101" s="96">
        <v>66</v>
      </c>
      <c r="AF101" s="96">
        <v>66</v>
      </c>
      <c r="AG101" s="97"/>
      <c r="AH101" s="48">
        <f t="shared" si="15"/>
        <v>66.5</v>
      </c>
      <c r="AI101" s="49">
        <f t="shared" si="16"/>
        <v>63.2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 t="s">
        <v>248</v>
      </c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5"/>
        <v>0</v>
      </c>
      <c r="AI102" s="49">
        <f t="shared" si="16"/>
        <v>0</v>
      </c>
    </row>
    <row r="103" spans="1:35" ht="15.75" thickBot="1" x14ac:dyDescent="0.3">
      <c r="A103" s="99" t="s">
        <v>105</v>
      </c>
      <c r="B103" s="100">
        <f t="shared" ref="B103:W103" si="34">SUM(B16,B22,B25:B26,B51,B53:B54,B56,B58,B104:B108,B130,B136,B142,B151,B153,B165,B172,B175:B176,B183,B185,B187,B191:B193,B195:B197,B202,B208:B209,B211:B213,B221,B226)</f>
        <v>58.000000000000021</v>
      </c>
      <c r="C103" s="100">
        <f t="shared" si="34"/>
        <v>58.240000000000009</v>
      </c>
      <c r="D103" s="100">
        <f t="shared" si="34"/>
        <v>58.839999999999989</v>
      </c>
      <c r="E103" s="100">
        <f t="shared" si="34"/>
        <v>51.040000000000006</v>
      </c>
      <c r="F103" s="100">
        <f t="shared" si="34"/>
        <v>54.240000000000009</v>
      </c>
      <c r="G103" s="100">
        <f t="shared" si="34"/>
        <v>89.640000000000029</v>
      </c>
      <c r="H103" s="100">
        <f t="shared" si="34"/>
        <v>118.53999999999999</v>
      </c>
      <c r="I103" s="100">
        <f t="shared" si="34"/>
        <v>172.14</v>
      </c>
      <c r="J103" s="100">
        <f t="shared" si="34"/>
        <v>197.83999999999997</v>
      </c>
      <c r="K103" s="100">
        <f t="shared" si="34"/>
        <v>258.44</v>
      </c>
      <c r="L103" s="100">
        <f t="shared" si="34"/>
        <v>270.94</v>
      </c>
      <c r="M103" s="100">
        <f t="shared" si="34"/>
        <v>274.94</v>
      </c>
      <c r="N103" s="100">
        <f t="shared" si="34"/>
        <v>246.93999999999997</v>
      </c>
      <c r="O103" s="100">
        <f t="shared" si="34"/>
        <v>240.53999999999996</v>
      </c>
      <c r="P103" s="100">
        <f t="shared" si="34"/>
        <v>219.73999999999998</v>
      </c>
      <c r="Q103" s="100">
        <f t="shared" si="34"/>
        <v>202.20000000000002</v>
      </c>
      <c r="R103" s="100">
        <f t="shared" si="34"/>
        <v>187.1</v>
      </c>
      <c r="S103" s="100">
        <f t="shared" si="34"/>
        <v>187.1</v>
      </c>
      <c r="T103" s="100">
        <f t="shared" si="34"/>
        <v>201.1</v>
      </c>
      <c r="U103" s="100">
        <f t="shared" si="34"/>
        <v>213.79999999999998</v>
      </c>
      <c r="V103" s="100">
        <f t="shared" si="34"/>
        <v>250.4</v>
      </c>
      <c r="W103" s="100">
        <f t="shared" si="34"/>
        <v>300.3</v>
      </c>
      <c r="X103" s="100">
        <v>363.39708333333334</v>
      </c>
      <c r="Y103" s="100">
        <f t="shared" ref="Y103:AF103" si="35">SUM(Y16,Y22,Y25:Y26,Y51,Y53:Y54,Y56,Y58,Y104:Y108,Y130,Y136,Y142,Y151,Y153,Y165,Y172,Y175:Y176,Y183,Y185,Y187,Y191:Y193,Y195:Y197,Y202,Y208:Y209,Y211:Y213,Y221,Y226)</f>
        <v>274.59999999999997</v>
      </c>
      <c r="Z103" s="100">
        <f t="shared" si="35"/>
        <v>272.7</v>
      </c>
      <c r="AA103" s="100">
        <f t="shared" si="35"/>
        <v>261.99999999999994</v>
      </c>
      <c r="AB103" s="100">
        <f t="shared" si="35"/>
        <v>234.69999999999996</v>
      </c>
      <c r="AC103" s="100">
        <f t="shared" si="35"/>
        <v>229.69999999999996</v>
      </c>
      <c r="AD103" s="100">
        <f t="shared" si="35"/>
        <v>201</v>
      </c>
      <c r="AE103" s="100">
        <f t="shared" si="35"/>
        <v>124.99999999999999</v>
      </c>
      <c r="AF103" s="100">
        <f t="shared" si="35"/>
        <v>77.600000000000023</v>
      </c>
      <c r="AG103" s="101"/>
      <c r="AH103" s="48">
        <f t="shared" si="15"/>
        <v>363.39708333333334</v>
      </c>
      <c r="AI103" s="49">
        <f t="shared" si="16"/>
        <v>51.040000000000006</v>
      </c>
    </row>
    <row r="104" spans="1:35" x14ac:dyDescent="0.25">
      <c r="A104" s="88" t="s">
        <v>106</v>
      </c>
      <c r="B104" s="102">
        <v>24.8</v>
      </c>
      <c r="C104" s="102">
        <v>24.4</v>
      </c>
      <c r="D104" s="102">
        <v>23.9</v>
      </c>
      <c r="E104" s="102">
        <v>24.4</v>
      </c>
      <c r="F104" s="102">
        <v>27.8</v>
      </c>
      <c r="G104" s="102">
        <v>29.8</v>
      </c>
      <c r="H104" s="102">
        <v>31.7</v>
      </c>
      <c r="I104" s="102">
        <v>36.1</v>
      </c>
      <c r="J104" s="102">
        <v>36</v>
      </c>
      <c r="K104" s="102">
        <v>43.7</v>
      </c>
      <c r="L104" s="102">
        <v>45.7</v>
      </c>
      <c r="M104" s="102">
        <v>46.5</v>
      </c>
      <c r="N104" s="102">
        <v>49.2</v>
      </c>
      <c r="O104" s="102">
        <v>53.6</v>
      </c>
      <c r="P104" s="102">
        <v>49.1</v>
      </c>
      <c r="Q104" s="102">
        <v>53.1</v>
      </c>
      <c r="R104" s="102">
        <v>50.2</v>
      </c>
      <c r="S104" s="102">
        <v>50.2</v>
      </c>
      <c r="T104" s="102">
        <v>46.9</v>
      </c>
      <c r="U104" s="102">
        <v>46.6</v>
      </c>
      <c r="V104" s="102">
        <v>48</v>
      </c>
      <c r="W104" s="102">
        <v>45.7</v>
      </c>
      <c r="X104" s="102">
        <v>34.5</v>
      </c>
      <c r="Y104" s="102">
        <v>41.9</v>
      </c>
      <c r="Z104" s="102">
        <v>46.8</v>
      </c>
      <c r="AA104" s="102">
        <v>52.2</v>
      </c>
      <c r="AB104" s="102">
        <v>58.2</v>
      </c>
      <c r="AC104" s="102">
        <v>58.2</v>
      </c>
      <c r="AD104" s="102">
        <v>59.3</v>
      </c>
      <c r="AE104" s="102">
        <v>46.3</v>
      </c>
      <c r="AF104" s="102">
        <v>33.700000000000003</v>
      </c>
      <c r="AG104" s="103">
        <v>75</v>
      </c>
      <c r="AH104" s="48">
        <f t="shared" si="15"/>
        <v>59.3</v>
      </c>
      <c r="AI104" s="49">
        <f t="shared" si="16"/>
        <v>23.9</v>
      </c>
    </row>
    <row r="105" spans="1:35" x14ac:dyDescent="0.25">
      <c r="A105" s="91" t="s">
        <v>107</v>
      </c>
      <c r="B105" s="104">
        <v>41.4</v>
      </c>
      <c r="C105" s="104">
        <v>40.5</v>
      </c>
      <c r="D105" s="104">
        <v>39.700000000000003</v>
      </c>
      <c r="E105" s="104">
        <v>39.9</v>
      </c>
      <c r="F105" s="104">
        <v>47.4</v>
      </c>
      <c r="G105" s="104">
        <v>49.3</v>
      </c>
      <c r="H105" s="104">
        <v>53.5</v>
      </c>
      <c r="I105" s="104">
        <v>59.5</v>
      </c>
      <c r="J105" s="104">
        <v>59.1</v>
      </c>
      <c r="K105" s="104">
        <v>67.8</v>
      </c>
      <c r="L105" s="104">
        <v>68.8</v>
      </c>
      <c r="M105" s="104">
        <v>70.400000000000006</v>
      </c>
      <c r="N105" s="104">
        <v>75</v>
      </c>
      <c r="O105" s="104">
        <v>80.8</v>
      </c>
      <c r="P105" s="104">
        <v>76.099999999999994</v>
      </c>
      <c r="Q105" s="104">
        <v>82</v>
      </c>
      <c r="R105" s="104">
        <v>79.3</v>
      </c>
      <c r="S105" s="104">
        <v>79.3</v>
      </c>
      <c r="T105" s="104">
        <v>72.599999999999994</v>
      </c>
      <c r="U105" s="104">
        <v>71.400000000000006</v>
      </c>
      <c r="V105" s="104">
        <v>66.5</v>
      </c>
      <c r="W105" s="104">
        <v>64</v>
      </c>
      <c r="X105" s="104">
        <v>48.9</v>
      </c>
      <c r="Y105" s="104">
        <v>59.4</v>
      </c>
      <c r="Z105" s="104">
        <v>66.5</v>
      </c>
      <c r="AA105" s="104">
        <v>74.599999999999994</v>
      </c>
      <c r="AB105" s="104">
        <v>85</v>
      </c>
      <c r="AC105" s="104">
        <v>85</v>
      </c>
      <c r="AD105" s="104">
        <v>86.5</v>
      </c>
      <c r="AE105" s="104">
        <v>65.5</v>
      </c>
      <c r="AF105" s="104">
        <v>53.7</v>
      </c>
      <c r="AG105" s="103">
        <v>240</v>
      </c>
      <c r="AH105" s="48">
        <f t="shared" si="15"/>
        <v>86.5</v>
      </c>
      <c r="AI105" s="49">
        <f t="shared" si="16"/>
        <v>39.700000000000003</v>
      </c>
    </row>
    <row r="106" spans="1:35" x14ac:dyDescent="0.25">
      <c r="A106" s="91" t="s">
        <v>108</v>
      </c>
      <c r="B106" s="104">
        <f>-66-71</f>
        <v>-137</v>
      </c>
      <c r="C106" s="104">
        <f>-65-69</f>
        <v>-134</v>
      </c>
      <c r="D106" s="104">
        <f>-63-68</f>
        <v>-131</v>
      </c>
      <c r="E106" s="104">
        <v>-131.6</v>
      </c>
      <c r="F106" s="104">
        <v>-138.5</v>
      </c>
      <c r="G106" s="104">
        <v>-117.3</v>
      </c>
      <c r="H106" s="104">
        <v>-110.3</v>
      </c>
      <c r="I106" s="104">
        <v>-73.3</v>
      </c>
      <c r="J106" s="104">
        <v>-53</v>
      </c>
      <c r="K106" s="104">
        <v>-16</v>
      </c>
      <c r="L106" s="104">
        <f>-5.7-8</f>
        <v>-13.7</v>
      </c>
      <c r="M106" s="104">
        <f>-5.7-9.2</f>
        <v>-14.899999999999999</v>
      </c>
      <c r="N106" s="104">
        <v>-40</v>
      </c>
      <c r="O106" s="104">
        <v>-58</v>
      </c>
      <c r="P106" s="104">
        <v>-68</v>
      </c>
      <c r="Q106" s="104">
        <f>-43.1-45.6</f>
        <v>-88.7</v>
      </c>
      <c r="R106" s="104">
        <v>-97.4</v>
      </c>
      <c r="S106" s="104">
        <v>-97.4</v>
      </c>
      <c r="T106" s="104">
        <f>-37.4-40.4</f>
        <v>-77.8</v>
      </c>
      <c r="U106" s="104">
        <f>-31.2-32.6</f>
        <v>-63.8</v>
      </c>
      <c r="V106" s="104">
        <f>-14.4-15.7</f>
        <v>-30.1</v>
      </c>
      <c r="W106" s="104">
        <f>-1.9+1.9</f>
        <v>0</v>
      </c>
      <c r="X106" s="104">
        <v>-8.5</v>
      </c>
      <c r="Y106" s="104">
        <f>-27-3</f>
        <v>-30</v>
      </c>
      <c r="Z106" s="104">
        <v>-30</v>
      </c>
      <c r="AA106" s="104">
        <f>-20.2-12.4</f>
        <v>-32.6</v>
      </c>
      <c r="AB106" s="104">
        <v>-70</v>
      </c>
      <c r="AC106" s="104">
        <v>-75</v>
      </c>
      <c r="AD106" s="104">
        <v>-97.5</v>
      </c>
      <c r="AE106" s="104">
        <v>-123.5</v>
      </c>
      <c r="AF106" s="104">
        <v>-139.1</v>
      </c>
      <c r="AG106" s="103">
        <v>240</v>
      </c>
      <c r="AH106" s="48">
        <f t="shared" si="15"/>
        <v>0</v>
      </c>
      <c r="AI106" s="49">
        <f t="shared" si="16"/>
        <v>-139.1</v>
      </c>
    </row>
    <row r="107" spans="1:35" x14ac:dyDescent="0.25">
      <c r="A107" s="91" t="s">
        <v>109</v>
      </c>
      <c r="B107" s="104">
        <v>-8.1</v>
      </c>
      <c r="C107" s="104">
        <v>-10.5</v>
      </c>
      <c r="D107" s="104">
        <v>-10.8</v>
      </c>
      <c r="E107" s="104">
        <v>-13.7</v>
      </c>
      <c r="F107" s="104">
        <v>-14.5</v>
      </c>
      <c r="G107" s="104">
        <v>-9.6</v>
      </c>
      <c r="H107" s="104">
        <v>-6.2</v>
      </c>
      <c r="I107" s="104">
        <v>0</v>
      </c>
      <c r="J107" s="104">
        <v>5.6</v>
      </c>
      <c r="K107" s="104">
        <v>12.3</v>
      </c>
      <c r="L107" s="104">
        <v>19.5</v>
      </c>
      <c r="M107" s="104">
        <v>18.3</v>
      </c>
      <c r="N107" s="104">
        <v>6.1</v>
      </c>
      <c r="O107" s="104">
        <v>7.5</v>
      </c>
      <c r="P107" s="104">
        <v>5.9</v>
      </c>
      <c r="Q107" s="104">
        <v>2.4</v>
      </c>
      <c r="R107" s="104">
        <v>2</v>
      </c>
      <c r="S107" s="104">
        <v>2</v>
      </c>
      <c r="T107" s="104">
        <v>6.4</v>
      </c>
      <c r="U107" s="104">
        <v>6.6</v>
      </c>
      <c r="V107" s="104">
        <v>13</v>
      </c>
      <c r="W107" s="104">
        <v>37.6</v>
      </c>
      <c r="X107" s="104">
        <v>59.8</v>
      </c>
      <c r="Y107" s="104">
        <v>53.9</v>
      </c>
      <c r="Z107" s="104">
        <v>40</v>
      </c>
      <c r="AA107" s="104">
        <v>18.399999999999999</v>
      </c>
      <c r="AB107" s="104">
        <v>12.1</v>
      </c>
      <c r="AC107" s="104">
        <v>12.1</v>
      </c>
      <c r="AD107" s="104">
        <v>3.3</v>
      </c>
      <c r="AE107" s="104">
        <v>-4.7</v>
      </c>
      <c r="AF107" s="104">
        <v>-7.1</v>
      </c>
      <c r="AG107" s="103">
        <v>60</v>
      </c>
      <c r="AH107" s="48">
        <f t="shared" si="15"/>
        <v>59.8</v>
      </c>
      <c r="AI107" s="49">
        <f t="shared" si="16"/>
        <v>-14.5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15"/>
        <v>0</v>
      </c>
      <c r="AI108" s="49">
        <f t="shared" si="16"/>
        <v>0</v>
      </c>
    </row>
    <row r="109" spans="1:35" x14ac:dyDescent="0.25">
      <c r="A109" s="105" t="s">
        <v>111</v>
      </c>
      <c r="B109" s="106">
        <v>-8.6</v>
      </c>
      <c r="C109" s="106">
        <v>-17.5</v>
      </c>
      <c r="D109" s="106">
        <v>6.7</v>
      </c>
      <c r="E109" s="106">
        <v>-0.4</v>
      </c>
      <c r="F109" s="106">
        <v>-9.9</v>
      </c>
      <c r="G109" s="106">
        <v>10.7</v>
      </c>
      <c r="H109" s="106">
        <v>20.100000000000001</v>
      </c>
      <c r="I109" s="106">
        <v>45.3</v>
      </c>
      <c r="J109" s="106">
        <v>38.200000000000003</v>
      </c>
      <c r="K109" s="106">
        <v>76</v>
      </c>
      <c r="L109" s="106">
        <v>94.4</v>
      </c>
      <c r="M109" s="106">
        <v>90.7</v>
      </c>
      <c r="N109" s="106">
        <v>66.900000000000006</v>
      </c>
      <c r="O109" s="106">
        <v>47.5</v>
      </c>
      <c r="P109" s="106">
        <v>35.6</v>
      </c>
      <c r="Q109" s="106">
        <v>22.3</v>
      </c>
      <c r="R109" s="106">
        <v>19.7</v>
      </c>
      <c r="S109" s="106">
        <v>19.7</v>
      </c>
      <c r="T109" s="106">
        <v>30.6</v>
      </c>
      <c r="U109" s="106">
        <v>36</v>
      </c>
      <c r="V109" s="106">
        <v>56.3</v>
      </c>
      <c r="W109" s="106">
        <v>81.5</v>
      </c>
      <c r="X109" s="106">
        <v>80.400000000000006</v>
      </c>
      <c r="Y109" s="106">
        <v>50.4</v>
      </c>
      <c r="Z109" s="106">
        <v>40</v>
      </c>
      <c r="AA109" s="106">
        <v>38.299999999999997</v>
      </c>
      <c r="AB109" s="106">
        <v>-2.6</v>
      </c>
      <c r="AC109" s="106">
        <v>2.4</v>
      </c>
      <c r="AD109" s="106">
        <v>-19.399999999999999</v>
      </c>
      <c r="AE109" s="106">
        <v>-19.600000000000001</v>
      </c>
      <c r="AF109" s="106">
        <v>-8.1</v>
      </c>
      <c r="AG109" s="107"/>
      <c r="AH109" s="48">
        <f t="shared" si="15"/>
        <v>94.4</v>
      </c>
      <c r="AI109" s="49">
        <f t="shared" si="16"/>
        <v>-19.600000000000001</v>
      </c>
    </row>
    <row r="110" spans="1:35" x14ac:dyDescent="0.25">
      <c r="A110" s="105" t="s">
        <v>112</v>
      </c>
      <c r="B110" s="106">
        <v>13.8</v>
      </c>
      <c r="C110" s="106">
        <v>5</v>
      </c>
      <c r="D110" s="106">
        <v>11.3</v>
      </c>
      <c r="E110" s="106">
        <v>18.399999999999999</v>
      </c>
      <c r="F110" s="106">
        <v>21.9</v>
      </c>
      <c r="G110" s="106">
        <v>26.3</v>
      </c>
      <c r="H110" s="106">
        <v>35.5</v>
      </c>
      <c r="I110" s="106">
        <v>34.200000000000003</v>
      </c>
      <c r="J110" s="106">
        <v>38</v>
      </c>
      <c r="K110" s="106">
        <v>25.8</v>
      </c>
      <c r="L110" s="106">
        <v>23.2</v>
      </c>
      <c r="M110" s="106">
        <v>15.9</v>
      </c>
      <c r="N110" s="106">
        <v>9.5</v>
      </c>
      <c r="O110" s="106">
        <v>5</v>
      </c>
      <c r="P110" s="106">
        <v>9</v>
      </c>
      <c r="Q110" s="106">
        <v>3.8</v>
      </c>
      <c r="R110" s="106">
        <v>8.9</v>
      </c>
      <c r="S110" s="106">
        <v>8.9</v>
      </c>
      <c r="T110" s="106">
        <v>4.9000000000000004</v>
      </c>
      <c r="U110" s="106">
        <v>7.7</v>
      </c>
      <c r="V110" s="106">
        <v>15.3</v>
      </c>
      <c r="W110" s="106">
        <v>30</v>
      </c>
      <c r="X110" s="106">
        <v>54</v>
      </c>
      <c r="Y110" s="106">
        <v>37.6</v>
      </c>
      <c r="Z110" s="106">
        <v>30</v>
      </c>
      <c r="AA110" s="106">
        <v>20.6</v>
      </c>
      <c r="AB110" s="106">
        <v>55.4</v>
      </c>
      <c r="AC110" s="106">
        <v>55.4</v>
      </c>
      <c r="AD110" s="106">
        <v>58.1</v>
      </c>
      <c r="AE110" s="106">
        <v>55.7</v>
      </c>
      <c r="AF110" s="106">
        <v>51.7</v>
      </c>
      <c r="AG110" s="108"/>
      <c r="AH110" s="48">
        <f t="shared" si="15"/>
        <v>58.1</v>
      </c>
      <c r="AI110" s="49">
        <f t="shared" si="16"/>
        <v>3.8</v>
      </c>
    </row>
    <row r="111" spans="1:35" x14ac:dyDescent="0.25">
      <c r="A111" s="109" t="s">
        <v>113</v>
      </c>
      <c r="B111" s="94">
        <v>51.4</v>
      </c>
      <c r="C111" s="94">
        <v>56.2</v>
      </c>
      <c r="D111" s="94">
        <v>57.1</v>
      </c>
      <c r="E111" s="94">
        <v>58.2</v>
      </c>
      <c r="F111" s="94">
        <v>58</v>
      </c>
      <c r="G111" s="94">
        <v>55.7</v>
      </c>
      <c r="H111" s="94">
        <v>52</v>
      </c>
      <c r="I111" s="94">
        <v>33.4</v>
      </c>
      <c r="J111" s="94">
        <v>38.200000000000003</v>
      </c>
      <c r="K111" s="94">
        <v>35</v>
      </c>
      <c r="L111" s="94">
        <v>31.4</v>
      </c>
      <c r="M111" s="94">
        <v>31.4</v>
      </c>
      <c r="N111" s="94">
        <v>37.1</v>
      </c>
      <c r="O111" s="94">
        <v>40.700000000000003</v>
      </c>
      <c r="P111" s="94">
        <v>40.700000000000003</v>
      </c>
      <c r="Q111" s="94">
        <v>45.2</v>
      </c>
      <c r="R111" s="94">
        <v>44.4</v>
      </c>
      <c r="S111" s="94">
        <v>44.4</v>
      </c>
      <c r="T111" s="94">
        <v>42.1</v>
      </c>
      <c r="U111" s="94">
        <v>37.5</v>
      </c>
      <c r="V111" s="94">
        <v>22.2</v>
      </c>
      <c r="W111" s="94">
        <v>6.7</v>
      </c>
      <c r="X111" s="94">
        <v>72.8</v>
      </c>
      <c r="Y111" s="94">
        <v>18.2</v>
      </c>
      <c r="Z111" s="94">
        <v>25</v>
      </c>
      <c r="AA111" s="94">
        <v>33.799999999999997</v>
      </c>
      <c r="AB111" s="94">
        <v>43.1</v>
      </c>
      <c r="AC111" s="94">
        <v>43.1</v>
      </c>
      <c r="AD111" s="94">
        <v>44.3</v>
      </c>
      <c r="AE111" s="94">
        <v>51.7</v>
      </c>
      <c r="AF111" s="94">
        <v>50.1</v>
      </c>
      <c r="AG111" s="108"/>
      <c r="AH111" s="48">
        <f t="shared" si="15"/>
        <v>72.8</v>
      </c>
      <c r="AI111" s="49">
        <f t="shared" si="16"/>
        <v>6.7</v>
      </c>
    </row>
    <row r="112" spans="1:35" ht="15.75" thickBot="1" x14ac:dyDescent="0.3">
      <c r="A112" s="109" t="s">
        <v>114</v>
      </c>
      <c r="B112" s="94">
        <v>93.1</v>
      </c>
      <c r="C112" s="94">
        <v>99.4</v>
      </c>
      <c r="D112" s="94">
        <v>95</v>
      </c>
      <c r="E112" s="94">
        <v>98</v>
      </c>
      <c r="F112" s="94">
        <v>99</v>
      </c>
      <c r="G112" s="94">
        <v>90</v>
      </c>
      <c r="H112" s="94">
        <v>82</v>
      </c>
      <c r="I112" s="94">
        <v>50</v>
      </c>
      <c r="J112" s="94">
        <v>34.6</v>
      </c>
      <c r="K112" s="94">
        <v>16</v>
      </c>
      <c r="L112" s="94">
        <v>20.3</v>
      </c>
      <c r="M112" s="94">
        <v>25.9</v>
      </c>
      <c r="N112" s="94">
        <v>38.200000000000003</v>
      </c>
      <c r="O112" s="94">
        <v>52.4</v>
      </c>
      <c r="P112" s="94">
        <v>53.1</v>
      </c>
      <c r="Q112" s="94">
        <v>68.3</v>
      </c>
      <c r="R112" s="94">
        <v>73</v>
      </c>
      <c r="S112" s="94">
        <v>73</v>
      </c>
      <c r="T112" s="94">
        <v>60.9</v>
      </c>
      <c r="U112" s="94">
        <v>51.2</v>
      </c>
      <c r="V112" s="94">
        <v>27.5</v>
      </c>
      <c r="W112" s="94">
        <v>0.7</v>
      </c>
      <c r="X112" s="94">
        <v>10</v>
      </c>
      <c r="Y112" s="94">
        <v>24.9</v>
      </c>
      <c r="Z112" s="94">
        <v>28</v>
      </c>
      <c r="AA112" s="94">
        <v>28.8</v>
      </c>
      <c r="AB112" s="94">
        <v>62.6</v>
      </c>
      <c r="AC112" s="94">
        <v>62.6</v>
      </c>
      <c r="AD112" s="94">
        <v>80.400000000000006</v>
      </c>
      <c r="AE112" s="94">
        <v>97</v>
      </c>
      <c r="AF112" s="94">
        <v>100</v>
      </c>
      <c r="AG112" s="108"/>
      <c r="AH112" s="48">
        <f t="shared" si="15"/>
        <v>100</v>
      </c>
      <c r="AI112" s="49">
        <f t="shared" si="16"/>
        <v>0.7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36">SUM(B114:B218)</f>
        <v>0</v>
      </c>
      <c r="C219" s="125">
        <f t="shared" si="36"/>
        <v>0</v>
      </c>
      <c r="D219" s="125">
        <f t="shared" si="36"/>
        <v>0</v>
      </c>
      <c r="E219" s="125">
        <f t="shared" si="36"/>
        <v>0</v>
      </c>
      <c r="F219" s="125">
        <f t="shared" si="36"/>
        <v>0</v>
      </c>
      <c r="G219" s="125">
        <f t="shared" si="36"/>
        <v>0</v>
      </c>
      <c r="H219" s="125">
        <f t="shared" si="36"/>
        <v>0</v>
      </c>
      <c r="I219" s="125">
        <f t="shared" si="36"/>
        <v>0</v>
      </c>
      <c r="J219" s="125">
        <f t="shared" si="36"/>
        <v>0</v>
      </c>
      <c r="K219" s="125">
        <f t="shared" si="36"/>
        <v>0</v>
      </c>
      <c r="L219" s="125">
        <f t="shared" si="36"/>
        <v>0</v>
      </c>
      <c r="M219" s="125">
        <f t="shared" si="36"/>
        <v>0</v>
      </c>
      <c r="N219" s="125">
        <f t="shared" si="36"/>
        <v>0</v>
      </c>
      <c r="O219" s="125">
        <f t="shared" si="36"/>
        <v>0</v>
      </c>
      <c r="P219" s="125">
        <f t="shared" si="36"/>
        <v>0</v>
      </c>
      <c r="Q219" s="125">
        <f t="shared" si="36"/>
        <v>0</v>
      </c>
      <c r="R219" s="125">
        <f t="shared" si="36"/>
        <v>0</v>
      </c>
      <c r="S219" s="125">
        <f t="shared" si="36"/>
        <v>0</v>
      </c>
      <c r="T219" s="125">
        <f t="shared" si="36"/>
        <v>0</v>
      </c>
      <c r="U219" s="125">
        <f t="shared" si="36"/>
        <v>0</v>
      </c>
      <c r="V219" s="125">
        <f t="shared" si="36"/>
        <v>0</v>
      </c>
      <c r="W219" s="125">
        <f t="shared" si="36"/>
        <v>0</v>
      </c>
      <c r="X219" s="125">
        <f t="shared" si="36"/>
        <v>0</v>
      </c>
      <c r="Y219" s="125">
        <f t="shared" si="36"/>
        <v>0</v>
      </c>
      <c r="Z219" s="125">
        <f t="shared" si="36"/>
        <v>0</v>
      </c>
      <c r="AA219" s="125">
        <f t="shared" si="36"/>
        <v>0</v>
      </c>
      <c r="AB219" s="125">
        <f t="shared" si="36"/>
        <v>0</v>
      </c>
      <c r="AC219" s="125">
        <f t="shared" si="36"/>
        <v>0</v>
      </c>
      <c r="AD219" s="125">
        <f t="shared" si="36"/>
        <v>0</v>
      </c>
      <c r="AE219" s="125">
        <f t="shared" si="36"/>
        <v>0</v>
      </c>
      <c r="AF219" s="126">
        <f t="shared" si="36"/>
        <v>0</v>
      </c>
      <c r="AG219" s="127">
        <f t="shared" si="36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37">AF221</f>
        <v>0</v>
      </c>
      <c r="C221" s="129">
        <v>0.3</v>
      </c>
      <c r="D221" s="129">
        <f t="shared" ref="D221:P226" si="38">C221</f>
        <v>0.3</v>
      </c>
      <c r="E221" s="129">
        <f t="shared" si="38"/>
        <v>0.3</v>
      </c>
      <c r="F221" s="129">
        <f t="shared" si="38"/>
        <v>0.3</v>
      </c>
      <c r="G221" s="129">
        <f t="shared" si="38"/>
        <v>0.3</v>
      </c>
      <c r="H221" s="129">
        <f t="shared" si="38"/>
        <v>0.3</v>
      </c>
      <c r="I221" s="129">
        <f t="shared" si="38"/>
        <v>0.3</v>
      </c>
      <c r="J221" s="129">
        <f t="shared" si="38"/>
        <v>0.3</v>
      </c>
      <c r="K221" s="129">
        <f t="shared" si="38"/>
        <v>0.3</v>
      </c>
      <c r="L221" s="129">
        <f t="shared" si="38"/>
        <v>0.3</v>
      </c>
      <c r="M221" s="129">
        <f t="shared" si="38"/>
        <v>0.3</v>
      </c>
      <c r="N221" s="129">
        <f t="shared" si="38"/>
        <v>0.3</v>
      </c>
      <c r="O221" s="129">
        <f t="shared" si="38"/>
        <v>0.3</v>
      </c>
      <c r="P221" s="129">
        <f t="shared" si="38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37"/>
        <v>0</v>
      </c>
      <c r="C222" s="117">
        <v>0.4</v>
      </c>
      <c r="D222" s="117">
        <f t="shared" si="38"/>
        <v>0.4</v>
      </c>
      <c r="E222" s="117">
        <f t="shared" si="38"/>
        <v>0.4</v>
      </c>
      <c r="F222" s="117">
        <f t="shared" si="38"/>
        <v>0.4</v>
      </c>
      <c r="G222" s="117">
        <f t="shared" si="38"/>
        <v>0.4</v>
      </c>
      <c r="H222" s="117">
        <f t="shared" si="38"/>
        <v>0.4</v>
      </c>
      <c r="I222" s="117">
        <f t="shared" si="38"/>
        <v>0.4</v>
      </c>
      <c r="J222" s="117">
        <f t="shared" si="38"/>
        <v>0.4</v>
      </c>
      <c r="K222" s="117">
        <f t="shared" si="38"/>
        <v>0.4</v>
      </c>
      <c r="L222" s="117">
        <f t="shared" si="38"/>
        <v>0.4</v>
      </c>
      <c r="M222" s="117">
        <f t="shared" si="38"/>
        <v>0.4</v>
      </c>
      <c r="N222" s="117">
        <f t="shared" si="38"/>
        <v>0.4</v>
      </c>
      <c r="O222" s="117">
        <f t="shared" si="38"/>
        <v>0.4</v>
      </c>
      <c r="P222" s="117">
        <f t="shared" si="38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37"/>
        <v>0</v>
      </c>
      <c r="C223" s="117">
        <v>1.5</v>
      </c>
      <c r="D223" s="117">
        <f t="shared" si="38"/>
        <v>1.5</v>
      </c>
      <c r="E223" s="117">
        <f t="shared" si="38"/>
        <v>1.5</v>
      </c>
      <c r="F223" s="117">
        <f t="shared" si="38"/>
        <v>1.5</v>
      </c>
      <c r="G223" s="117">
        <f t="shared" si="38"/>
        <v>1.5</v>
      </c>
      <c r="H223" s="117">
        <f t="shared" si="38"/>
        <v>1.5</v>
      </c>
      <c r="I223" s="117">
        <f t="shared" si="38"/>
        <v>1.5</v>
      </c>
      <c r="J223" s="117">
        <f t="shared" si="38"/>
        <v>1.5</v>
      </c>
      <c r="K223" s="117">
        <f t="shared" si="38"/>
        <v>1.5</v>
      </c>
      <c r="L223" s="117">
        <f t="shared" si="38"/>
        <v>1.5</v>
      </c>
      <c r="M223" s="117">
        <f t="shared" si="38"/>
        <v>1.5</v>
      </c>
      <c r="N223" s="117">
        <f t="shared" si="38"/>
        <v>1.5</v>
      </c>
      <c r="O223" s="117">
        <f t="shared" si="38"/>
        <v>1.5</v>
      </c>
      <c r="P223" s="117">
        <f t="shared" si="38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37"/>
        <v>0</v>
      </c>
      <c r="C224" s="117">
        <v>0.3</v>
      </c>
      <c r="D224" s="117">
        <f t="shared" si="38"/>
        <v>0.3</v>
      </c>
      <c r="E224" s="117">
        <f t="shared" si="38"/>
        <v>0.3</v>
      </c>
      <c r="F224" s="117">
        <f t="shared" si="38"/>
        <v>0.3</v>
      </c>
      <c r="G224" s="117">
        <f t="shared" si="38"/>
        <v>0.3</v>
      </c>
      <c r="H224" s="117">
        <f t="shared" si="38"/>
        <v>0.3</v>
      </c>
      <c r="I224" s="117">
        <f t="shared" si="38"/>
        <v>0.3</v>
      </c>
      <c r="J224" s="117">
        <f t="shared" si="38"/>
        <v>0.3</v>
      </c>
      <c r="K224" s="117">
        <f t="shared" si="38"/>
        <v>0.3</v>
      </c>
      <c r="L224" s="117">
        <f t="shared" si="38"/>
        <v>0.3</v>
      </c>
      <c r="M224" s="117">
        <f t="shared" si="38"/>
        <v>0.3</v>
      </c>
      <c r="N224" s="117">
        <f t="shared" si="38"/>
        <v>0.3</v>
      </c>
      <c r="O224" s="117">
        <f t="shared" si="38"/>
        <v>0.3</v>
      </c>
      <c r="P224" s="117">
        <f t="shared" si="38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37"/>
        <v>0</v>
      </c>
      <c r="C225" s="117">
        <v>0.4</v>
      </c>
      <c r="D225" s="117">
        <f t="shared" si="38"/>
        <v>0.4</v>
      </c>
      <c r="E225" s="117">
        <f t="shared" si="38"/>
        <v>0.4</v>
      </c>
      <c r="F225" s="117">
        <f t="shared" si="38"/>
        <v>0.4</v>
      </c>
      <c r="G225" s="117">
        <f t="shared" si="38"/>
        <v>0.4</v>
      </c>
      <c r="H225" s="117">
        <f t="shared" si="38"/>
        <v>0.4</v>
      </c>
      <c r="I225" s="117">
        <f t="shared" si="38"/>
        <v>0.4</v>
      </c>
      <c r="J225" s="117">
        <f t="shared" si="38"/>
        <v>0.4</v>
      </c>
      <c r="K225" s="117">
        <f t="shared" si="38"/>
        <v>0.4</v>
      </c>
      <c r="L225" s="117">
        <f t="shared" si="38"/>
        <v>0.4</v>
      </c>
      <c r="M225" s="117">
        <f t="shared" si="38"/>
        <v>0.4</v>
      </c>
      <c r="N225" s="117">
        <f t="shared" si="38"/>
        <v>0.4</v>
      </c>
      <c r="O225" s="117">
        <f t="shared" si="38"/>
        <v>0.4</v>
      </c>
      <c r="P225" s="117">
        <f t="shared" si="38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37"/>
        <v>0</v>
      </c>
      <c r="C226" s="121">
        <v>0.64</v>
      </c>
      <c r="D226" s="121">
        <f t="shared" si="38"/>
        <v>0.64</v>
      </c>
      <c r="E226" s="121">
        <f t="shared" si="38"/>
        <v>0.64</v>
      </c>
      <c r="F226" s="121">
        <f t="shared" si="38"/>
        <v>0.64</v>
      </c>
      <c r="G226" s="121">
        <f t="shared" si="38"/>
        <v>0.64</v>
      </c>
      <c r="H226" s="121">
        <f t="shared" si="38"/>
        <v>0.64</v>
      </c>
      <c r="I226" s="121">
        <f t="shared" si="38"/>
        <v>0.64</v>
      </c>
      <c r="J226" s="121">
        <f t="shared" si="38"/>
        <v>0.64</v>
      </c>
      <c r="K226" s="121">
        <f t="shared" si="38"/>
        <v>0.64</v>
      </c>
      <c r="L226" s="121">
        <f t="shared" si="38"/>
        <v>0.64</v>
      </c>
      <c r="M226" s="121">
        <f t="shared" si="38"/>
        <v>0.64</v>
      </c>
      <c r="N226" s="121">
        <f t="shared" si="38"/>
        <v>0.64</v>
      </c>
      <c r="O226" s="121">
        <f t="shared" si="38"/>
        <v>0.64</v>
      </c>
      <c r="P226" s="121">
        <f t="shared" si="38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39">SUM(B221:B226)</f>
        <v>0</v>
      </c>
      <c r="C227" s="125">
        <f t="shared" si="39"/>
        <v>3.54</v>
      </c>
      <c r="D227" s="125">
        <f t="shared" si="39"/>
        <v>3.54</v>
      </c>
      <c r="E227" s="125">
        <f t="shared" si="39"/>
        <v>3.54</v>
      </c>
      <c r="F227" s="125">
        <f t="shared" si="39"/>
        <v>3.54</v>
      </c>
      <c r="G227" s="125">
        <f t="shared" si="39"/>
        <v>3.54</v>
      </c>
      <c r="H227" s="125">
        <f t="shared" si="39"/>
        <v>3.54</v>
      </c>
      <c r="I227" s="125">
        <f t="shared" si="39"/>
        <v>3.54</v>
      </c>
      <c r="J227" s="125">
        <f t="shared" si="39"/>
        <v>3.54</v>
      </c>
      <c r="K227" s="125">
        <f t="shared" si="39"/>
        <v>3.54</v>
      </c>
      <c r="L227" s="125">
        <f t="shared" si="39"/>
        <v>3.54</v>
      </c>
      <c r="M227" s="125">
        <f t="shared" si="39"/>
        <v>3.54</v>
      </c>
      <c r="N227" s="125">
        <f t="shared" si="39"/>
        <v>3.54</v>
      </c>
      <c r="O227" s="125">
        <f t="shared" si="39"/>
        <v>3.54</v>
      </c>
      <c r="P227" s="125">
        <f t="shared" si="39"/>
        <v>3.54</v>
      </c>
      <c r="Q227" s="125">
        <f t="shared" si="39"/>
        <v>0</v>
      </c>
      <c r="R227" s="125">
        <f t="shared" si="39"/>
        <v>0</v>
      </c>
      <c r="S227" s="125">
        <f t="shared" si="39"/>
        <v>0</v>
      </c>
      <c r="T227" s="125">
        <f t="shared" si="39"/>
        <v>0</v>
      </c>
      <c r="U227" s="125">
        <f t="shared" si="39"/>
        <v>0</v>
      </c>
      <c r="V227" s="125">
        <f t="shared" si="39"/>
        <v>0</v>
      </c>
      <c r="W227" s="125">
        <f t="shared" si="39"/>
        <v>0</v>
      </c>
      <c r="X227" s="125">
        <f t="shared" si="39"/>
        <v>0</v>
      </c>
      <c r="Y227" s="125">
        <f t="shared" si="39"/>
        <v>0</v>
      </c>
      <c r="Z227" s="125">
        <f t="shared" si="39"/>
        <v>0</v>
      </c>
      <c r="AA227" s="125">
        <f t="shared" si="39"/>
        <v>0</v>
      </c>
      <c r="AB227" s="125">
        <f t="shared" si="39"/>
        <v>0</v>
      </c>
      <c r="AC227" s="125">
        <f t="shared" si="39"/>
        <v>0</v>
      </c>
      <c r="AD227" s="125">
        <f t="shared" si="39"/>
        <v>0</v>
      </c>
      <c r="AE227" s="125">
        <f t="shared" si="39"/>
        <v>0</v>
      </c>
      <c r="AF227" s="125">
        <f t="shared" si="39"/>
        <v>0</v>
      </c>
      <c r="AG227" s="134">
        <f t="shared" si="39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1650.24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13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2079/08/13)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2079/08/13)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40">B84</f>
        <v>1021.8400000000001</v>
      </c>
      <c r="U241" s="159">
        <f t="shared" si="40"/>
        <v>1031.7400000000002</v>
      </c>
      <c r="V241" s="159">
        <f t="shared" si="40"/>
        <v>985.54000000000019</v>
      </c>
      <c r="W241" s="159">
        <f t="shared" si="40"/>
        <v>1003.8400000000001</v>
      </c>
      <c r="X241" s="159">
        <f t="shared" si="40"/>
        <v>1019.3400000000001</v>
      </c>
      <c r="Y241" s="159">
        <f t="shared" si="40"/>
        <v>1067.8400000000001</v>
      </c>
      <c r="Z241" s="159">
        <f t="shared" si="40"/>
        <v>1176.04</v>
      </c>
      <c r="AA241" s="159">
        <f t="shared" si="40"/>
        <v>1309.8400000000001</v>
      </c>
      <c r="AB241" s="159">
        <f t="shared" si="40"/>
        <v>1320.0400000000002</v>
      </c>
      <c r="AC241" s="159">
        <f t="shared" si="40"/>
        <v>1601.54</v>
      </c>
      <c r="AD241" s="159">
        <f t="shared" si="40"/>
        <v>1611.24</v>
      </c>
      <c r="AE241" s="159">
        <f t="shared" si="40"/>
        <v>1650.24</v>
      </c>
      <c r="AF241" s="159">
        <f t="shared" si="40"/>
        <v>1540.8400000000001</v>
      </c>
      <c r="AG241" s="159">
        <f t="shared" si="40"/>
        <v>1344.8400000000001</v>
      </c>
      <c r="AH241" s="159">
        <f t="shared" si="40"/>
        <v>1309.6400000000001</v>
      </c>
      <c r="AI241" s="159">
        <f t="shared" si="40"/>
        <v>1197.74</v>
      </c>
      <c r="AJ241" s="159">
        <f t="shared" si="40"/>
        <v>1177.24</v>
      </c>
      <c r="AK241" s="159">
        <f t="shared" si="40"/>
        <v>1149.44</v>
      </c>
      <c r="AL241" s="159">
        <f t="shared" si="40"/>
        <v>1181.1400000000001</v>
      </c>
      <c r="AM241" s="159">
        <f t="shared" si="40"/>
        <v>1181.1400000000001</v>
      </c>
      <c r="AN241" s="159">
        <f t="shared" si="40"/>
        <v>1433.44</v>
      </c>
      <c r="AO241" s="159">
        <f t="shared" si="40"/>
        <v>1569.44</v>
      </c>
      <c r="AP241" s="159">
        <f t="shared" si="40"/>
        <v>1681.7400000000002</v>
      </c>
      <c r="AQ241" s="159">
        <f t="shared" si="40"/>
        <v>1726.7400000000002</v>
      </c>
      <c r="AR241" s="159">
        <f t="shared" si="40"/>
        <v>1690.0400000000002</v>
      </c>
      <c r="AS241" s="159">
        <f t="shared" si="40"/>
        <v>1625.7400000000002</v>
      </c>
      <c r="AT241" s="159">
        <f t="shared" si="40"/>
        <v>1508.94</v>
      </c>
      <c r="AU241" s="159">
        <f t="shared" si="40"/>
        <v>1478.94</v>
      </c>
      <c r="AV241" s="159">
        <f t="shared" si="40"/>
        <v>1395.44</v>
      </c>
      <c r="AW241" s="159">
        <f t="shared" si="40"/>
        <v>1222.8400000000001</v>
      </c>
      <c r="AX241" s="159">
        <f t="shared" si="40"/>
        <v>1110.2400000000002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41">C226</f>
        <v>0.64</v>
      </c>
      <c r="C262" s="162">
        <f t="shared" si="41"/>
        <v>0.64</v>
      </c>
      <c r="D262" s="162">
        <f t="shared" si="41"/>
        <v>0.64</v>
      </c>
      <c r="E262" s="162">
        <f t="shared" si="41"/>
        <v>0.64</v>
      </c>
      <c r="F262" s="162">
        <f t="shared" si="41"/>
        <v>0.64</v>
      </c>
      <c r="G262" s="162">
        <f t="shared" si="41"/>
        <v>0.64</v>
      </c>
      <c r="H262" s="162">
        <f t="shared" si="41"/>
        <v>0.64</v>
      </c>
      <c r="I262" s="162">
        <f t="shared" si="41"/>
        <v>0.64</v>
      </c>
      <c r="J262" s="162">
        <f t="shared" si="41"/>
        <v>0.64</v>
      </c>
      <c r="K262" s="162">
        <f t="shared" si="41"/>
        <v>0.64</v>
      </c>
      <c r="L262" s="162">
        <f t="shared" si="41"/>
        <v>0.64</v>
      </c>
      <c r="M262" s="162">
        <f t="shared" si="41"/>
        <v>0.64</v>
      </c>
      <c r="N262" s="162">
        <f t="shared" si="41"/>
        <v>0.64</v>
      </c>
      <c r="O262" s="162">
        <f t="shared" si="41"/>
        <v>0.64</v>
      </c>
      <c r="P262" s="162">
        <f t="shared" si="41"/>
        <v>0</v>
      </c>
      <c r="Q262" s="162">
        <f t="shared" si="41"/>
        <v>0</v>
      </c>
      <c r="R262" s="162">
        <f t="shared" si="41"/>
        <v>0</v>
      </c>
      <c r="S262" s="162">
        <f t="shared" si="41"/>
        <v>0</v>
      </c>
      <c r="T262" s="162">
        <f t="shared" si="41"/>
        <v>0</v>
      </c>
      <c r="U262" s="162">
        <f t="shared" si="41"/>
        <v>0</v>
      </c>
      <c r="V262" s="162">
        <f t="shared" si="41"/>
        <v>0</v>
      </c>
      <c r="W262" s="162">
        <f t="shared" si="41"/>
        <v>0</v>
      </c>
      <c r="X262" s="162">
        <f t="shared" si="41"/>
        <v>0</v>
      </c>
      <c r="Y262" s="162">
        <f t="shared" si="41"/>
        <v>0</v>
      </c>
      <c r="Z262" s="162">
        <f t="shared" si="41"/>
        <v>0</v>
      </c>
      <c r="AA262" s="162">
        <f t="shared" si="41"/>
        <v>0</v>
      </c>
      <c r="AB262" s="162">
        <f t="shared" si="41"/>
        <v>0</v>
      </c>
      <c r="AC262" s="162">
        <f t="shared" si="41"/>
        <v>0</v>
      </c>
      <c r="AD262" s="162">
        <f t="shared" si="41"/>
        <v>0</v>
      </c>
      <c r="AE262" s="162">
        <f t="shared" si="41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42">IF(B230&lt;100,"",B230-520)</f>
        <v/>
      </c>
      <c r="C263" s="163" t="str">
        <f t="shared" si="42"/>
        <v/>
      </c>
      <c r="D263" s="163" t="str">
        <f t="shared" si="42"/>
        <v/>
      </c>
      <c r="E263" s="163" t="str">
        <f t="shared" si="42"/>
        <v/>
      </c>
      <c r="F263" s="163" t="str">
        <f t="shared" si="42"/>
        <v/>
      </c>
      <c r="G263" s="163" t="str">
        <f t="shared" si="42"/>
        <v/>
      </c>
      <c r="H263" s="163" t="str">
        <f t="shared" si="42"/>
        <v/>
      </c>
      <c r="I263" s="163" t="str">
        <f t="shared" si="42"/>
        <v/>
      </c>
      <c r="J263" s="163" t="str">
        <f t="shared" si="42"/>
        <v/>
      </c>
      <c r="K263" s="163" t="str">
        <f t="shared" si="42"/>
        <v/>
      </c>
      <c r="L263" s="163" t="str">
        <f t="shared" si="42"/>
        <v/>
      </c>
      <c r="M263" s="163" t="str">
        <f t="shared" si="42"/>
        <v/>
      </c>
      <c r="N263" s="163" t="str">
        <f t="shared" si="42"/>
        <v/>
      </c>
      <c r="O263" s="163" t="str">
        <f t="shared" si="42"/>
        <v/>
      </c>
      <c r="P263" s="163" t="str">
        <f t="shared" si="42"/>
        <v/>
      </c>
      <c r="Q263" s="163" t="str">
        <f t="shared" si="42"/>
        <v/>
      </c>
      <c r="R263" s="163" t="str">
        <f t="shared" si="42"/>
        <v/>
      </c>
      <c r="S263" s="163" t="str">
        <f t="shared" si="42"/>
        <v/>
      </c>
      <c r="T263" s="163" t="str">
        <f t="shared" si="42"/>
        <v/>
      </c>
      <c r="U263" s="163" t="str">
        <f t="shared" si="42"/>
        <v/>
      </c>
      <c r="V263" s="163" t="str">
        <f t="shared" si="42"/>
        <v/>
      </c>
      <c r="W263" s="163" t="str">
        <f t="shared" si="42"/>
        <v/>
      </c>
      <c r="X263" s="163" t="str">
        <f t="shared" si="42"/>
        <v/>
      </c>
      <c r="Y263" s="163" t="str">
        <f t="shared" si="42"/>
        <v/>
      </c>
      <c r="Z263" s="163" t="str">
        <f t="shared" si="42"/>
        <v/>
      </c>
      <c r="AA263" s="163" t="str">
        <f t="shared" si="42"/>
        <v/>
      </c>
      <c r="AB263" s="163" t="str">
        <f t="shared" si="42"/>
        <v/>
      </c>
      <c r="AC263" s="163" t="str">
        <f t="shared" si="42"/>
        <v/>
      </c>
      <c r="AD263" s="163" t="str">
        <f t="shared" si="42"/>
        <v/>
      </c>
      <c r="AE263" s="163" t="str">
        <f t="shared" si="42"/>
        <v/>
      </c>
      <c r="AF263" s="163" t="str">
        <f t="shared" si="42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43">IF(B231&lt;100,"",B231-620)</f>
        <v/>
      </c>
      <c r="C264" s="163" t="str">
        <f t="shared" si="43"/>
        <v/>
      </c>
      <c r="D264" s="163" t="str">
        <f t="shared" si="43"/>
        <v/>
      </c>
      <c r="E264" s="163" t="str">
        <f t="shared" si="43"/>
        <v/>
      </c>
      <c r="F264" s="163" t="str">
        <f t="shared" si="43"/>
        <v/>
      </c>
      <c r="G264" s="163" t="str">
        <f t="shared" si="43"/>
        <v/>
      </c>
      <c r="H264" s="163" t="str">
        <f t="shared" si="43"/>
        <v/>
      </c>
      <c r="I264" s="163" t="str">
        <f t="shared" si="43"/>
        <v/>
      </c>
      <c r="J264" s="163" t="str">
        <f t="shared" si="43"/>
        <v/>
      </c>
      <c r="K264" s="163" t="str">
        <f t="shared" si="43"/>
        <v/>
      </c>
      <c r="L264" s="163" t="str">
        <f t="shared" si="43"/>
        <v/>
      </c>
      <c r="M264" s="163" t="str">
        <f t="shared" si="43"/>
        <v/>
      </c>
      <c r="N264" s="163" t="str">
        <f t="shared" si="43"/>
        <v/>
      </c>
      <c r="O264" s="163" t="str">
        <f t="shared" si="43"/>
        <v/>
      </c>
      <c r="P264" s="163" t="str">
        <f t="shared" si="43"/>
        <v/>
      </c>
      <c r="Q264" s="163" t="str">
        <f t="shared" si="43"/>
        <v/>
      </c>
      <c r="R264" s="163" t="str">
        <f t="shared" si="43"/>
        <v/>
      </c>
      <c r="S264" s="163" t="str">
        <f t="shared" si="43"/>
        <v/>
      </c>
      <c r="T264" s="163" t="str">
        <f t="shared" si="43"/>
        <v/>
      </c>
      <c r="U264" s="163" t="str">
        <f t="shared" si="43"/>
        <v/>
      </c>
      <c r="V264" s="163" t="str">
        <f t="shared" si="43"/>
        <v/>
      </c>
      <c r="W264" s="163" t="str">
        <f t="shared" si="43"/>
        <v/>
      </c>
      <c r="X264" s="163" t="str">
        <f t="shared" si="43"/>
        <v/>
      </c>
      <c r="Y264" s="163" t="str">
        <f t="shared" si="43"/>
        <v/>
      </c>
      <c r="Z264" s="163" t="str">
        <f t="shared" si="43"/>
        <v/>
      </c>
      <c r="AA264" s="163" t="str">
        <f t="shared" si="43"/>
        <v/>
      </c>
      <c r="AB264" s="163" t="str">
        <f t="shared" si="43"/>
        <v/>
      </c>
      <c r="AC264" s="163" t="str">
        <f t="shared" si="43"/>
        <v/>
      </c>
      <c r="AD264" s="163" t="str">
        <f t="shared" si="43"/>
        <v/>
      </c>
      <c r="AE264" s="163" t="str">
        <f t="shared" si="43"/>
        <v/>
      </c>
      <c r="AF264" s="163" t="str">
        <f t="shared" si="43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44">IF(B232&lt;100,"",B232-330)</f>
        <v/>
      </c>
      <c r="C265" s="163" t="str">
        <f t="shared" si="44"/>
        <v/>
      </c>
      <c r="D265" s="163" t="str">
        <f t="shared" si="44"/>
        <v/>
      </c>
      <c r="E265" s="163" t="str">
        <f t="shared" si="44"/>
        <v/>
      </c>
      <c r="F265" s="163" t="str">
        <f t="shared" si="44"/>
        <v/>
      </c>
      <c r="G265" s="163" t="str">
        <f t="shared" si="44"/>
        <v/>
      </c>
      <c r="H265" s="163" t="str">
        <f t="shared" si="44"/>
        <v/>
      </c>
      <c r="I265" s="163" t="str">
        <f t="shared" si="44"/>
        <v/>
      </c>
      <c r="J265" s="163" t="str">
        <f t="shared" si="44"/>
        <v/>
      </c>
      <c r="K265" s="163" t="str">
        <f t="shared" si="44"/>
        <v/>
      </c>
      <c r="L265" s="163" t="str">
        <f t="shared" si="44"/>
        <v/>
      </c>
      <c r="M265" s="163" t="str">
        <f t="shared" si="44"/>
        <v/>
      </c>
      <c r="N265" s="163" t="str">
        <f t="shared" si="44"/>
        <v/>
      </c>
      <c r="O265" s="163" t="str">
        <f t="shared" si="44"/>
        <v/>
      </c>
      <c r="P265" s="163" t="str">
        <f t="shared" si="44"/>
        <v/>
      </c>
      <c r="Q265" s="163" t="str">
        <f t="shared" si="44"/>
        <v/>
      </c>
      <c r="R265" s="163" t="str">
        <f t="shared" si="44"/>
        <v/>
      </c>
      <c r="S265" s="163" t="str">
        <f t="shared" si="44"/>
        <v/>
      </c>
      <c r="T265" s="163" t="str">
        <f t="shared" si="44"/>
        <v/>
      </c>
      <c r="U265" s="163" t="str">
        <f t="shared" si="44"/>
        <v/>
      </c>
      <c r="V265" s="163" t="str">
        <f t="shared" si="44"/>
        <v/>
      </c>
      <c r="W265" s="163" t="str">
        <f t="shared" si="44"/>
        <v/>
      </c>
      <c r="X265" s="163" t="str">
        <f t="shared" si="44"/>
        <v/>
      </c>
      <c r="Y265" s="163" t="str">
        <f t="shared" si="44"/>
        <v/>
      </c>
      <c r="Z265" s="163" t="str">
        <f t="shared" si="44"/>
        <v/>
      </c>
      <c r="AA265" s="163" t="str">
        <f t="shared" si="44"/>
        <v/>
      </c>
      <c r="AB265" s="163" t="str">
        <f t="shared" si="44"/>
        <v/>
      </c>
      <c r="AC265" s="163" t="str">
        <f t="shared" si="44"/>
        <v/>
      </c>
      <c r="AD265" s="163" t="str">
        <f t="shared" si="44"/>
        <v/>
      </c>
      <c r="AE265" s="163" t="str">
        <f t="shared" si="44"/>
        <v/>
      </c>
      <c r="AF265" s="163" t="str">
        <f t="shared" si="44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45">IF(B233&lt;100,"",B233-1500)</f>
        <v/>
      </c>
      <c r="C266" s="163" t="str">
        <f t="shared" si="45"/>
        <v/>
      </c>
      <c r="D266" s="163" t="str">
        <f t="shared" si="45"/>
        <v/>
      </c>
      <c r="E266" s="163" t="str">
        <f t="shared" si="45"/>
        <v/>
      </c>
      <c r="F266" s="163" t="str">
        <f t="shared" si="45"/>
        <v/>
      </c>
      <c r="G266" s="163" t="str">
        <f t="shared" si="45"/>
        <v/>
      </c>
      <c r="H266" s="163" t="str">
        <f t="shared" si="45"/>
        <v/>
      </c>
      <c r="I266" s="163" t="str">
        <f t="shared" si="45"/>
        <v/>
      </c>
      <c r="J266" s="163" t="str">
        <f t="shared" si="45"/>
        <v/>
      </c>
      <c r="K266" s="163" t="str">
        <f t="shared" si="45"/>
        <v/>
      </c>
      <c r="L266" s="163" t="str">
        <f t="shared" si="45"/>
        <v/>
      </c>
      <c r="M266" s="163" t="str">
        <f t="shared" si="45"/>
        <v/>
      </c>
      <c r="N266" s="163" t="str">
        <f t="shared" si="45"/>
        <v/>
      </c>
      <c r="O266" s="163" t="str">
        <f t="shared" si="45"/>
        <v/>
      </c>
      <c r="P266" s="163" t="str">
        <f t="shared" si="45"/>
        <v/>
      </c>
      <c r="Q266" s="163" t="str">
        <f t="shared" si="45"/>
        <v/>
      </c>
      <c r="R266" s="163" t="str">
        <f t="shared" si="45"/>
        <v/>
      </c>
      <c r="S266" s="163" t="str">
        <f t="shared" si="45"/>
        <v/>
      </c>
      <c r="T266" s="163" t="str">
        <f t="shared" si="45"/>
        <v/>
      </c>
      <c r="U266" s="163" t="str">
        <f t="shared" si="45"/>
        <v/>
      </c>
      <c r="V266" s="163" t="str">
        <f t="shared" si="45"/>
        <v/>
      </c>
      <c r="W266" s="163" t="str">
        <f t="shared" si="45"/>
        <v/>
      </c>
      <c r="X266" s="163" t="str">
        <f t="shared" si="45"/>
        <v/>
      </c>
      <c r="Y266" s="163" t="str">
        <f t="shared" si="45"/>
        <v/>
      </c>
      <c r="Z266" s="163" t="str">
        <f t="shared" si="45"/>
        <v/>
      </c>
      <c r="AA266" s="163" t="str">
        <f t="shared" si="45"/>
        <v/>
      </c>
      <c r="AB266" s="163" t="str">
        <f t="shared" si="45"/>
        <v/>
      </c>
      <c r="AC266" s="163" t="str">
        <f t="shared" si="45"/>
        <v/>
      </c>
      <c r="AD266" s="163" t="str">
        <f t="shared" si="45"/>
        <v/>
      </c>
      <c r="AE266" s="163" t="str">
        <f t="shared" si="45"/>
        <v/>
      </c>
      <c r="AF266" s="163" t="str">
        <f t="shared" si="45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 B17:AF18 B15:AF15 B22:AF26 X11:AF11">
    <cfRule type="expression" dxfId="6141" priority="239">
      <formula>B$9&gt;=20/24</formula>
    </cfRule>
    <cfRule type="expression" dxfId="6140" priority="240">
      <formula>AND(B$9&gt;=14/24,B$9&lt;20/24)</formula>
    </cfRule>
    <cfRule type="expression" dxfId="6139" priority="241">
      <formula>AND(B$9&gt;=8/24,B$9&lt;14/24)</formula>
    </cfRule>
    <cfRule type="expression" dxfId="6138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X42:AF42">
    <cfRule type="expression" dxfId="6137" priority="234">
      <formula>X$9&gt;=20/24</formula>
    </cfRule>
    <cfRule type="expression" dxfId="6136" priority="235">
      <formula>AND(X$9&gt;=14/24,X$9&lt;20/24)</formula>
    </cfRule>
    <cfRule type="expression" dxfId="6135" priority="236">
      <formula>AND(X$9&gt;=8/24,X$9&lt;14/24)</formula>
    </cfRule>
    <cfRule type="expression" dxfId="6134" priority="237">
      <formula>X$9&lt;8/24</formula>
    </cfRule>
  </conditionalFormatting>
  <conditionalFormatting sqref="AG60 B12:W18 X42:AF42 B20:AF20 B22:AF26 B40:AF40 X11:AF18">
    <cfRule type="expression" dxfId="6133" priority="233">
      <formula>B11&gt;$AG11</formula>
    </cfRule>
  </conditionalFormatting>
  <conditionalFormatting sqref="A94:A104 A54:A81 A90:A92 A197:A227 A41:A52 A113:A184 A37:A38 A86:A88 A83:A84 A106:A108 A34:A35 A20:A32 A17:A18 A11:A15">
    <cfRule type="expression" dxfId="6132" priority="232">
      <formula>$AH11=0</formula>
    </cfRule>
  </conditionalFormatting>
  <conditionalFormatting sqref="A109">
    <cfRule type="expression" dxfId="6131" priority="231">
      <formula>$AH109=0</formula>
    </cfRule>
  </conditionalFormatting>
  <conditionalFormatting sqref="AL38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6130" priority="229">
      <formula>$AH40=0</formula>
    </cfRule>
  </conditionalFormatting>
  <conditionalFormatting sqref="A93">
    <cfRule type="expression" dxfId="6129" priority="228">
      <formula>$AH93=0</formula>
    </cfRule>
  </conditionalFormatting>
  <conditionalFormatting sqref="A16">
    <cfRule type="expression" dxfId="6128" priority="227">
      <formula>$AH16=0</formula>
    </cfRule>
  </conditionalFormatting>
  <conditionalFormatting sqref="A191:A196">
    <cfRule type="expression" dxfId="6127" priority="226">
      <formula>$AH191=0</formula>
    </cfRule>
  </conditionalFormatting>
  <conditionalFormatting sqref="A185:A190">
    <cfRule type="expression" dxfId="6126" priority="225">
      <formula>$AH185=0</formula>
    </cfRule>
  </conditionalFormatting>
  <conditionalFormatting sqref="A53">
    <cfRule type="expression" dxfId="6125" priority="224">
      <formula>$AH53=0</formula>
    </cfRule>
  </conditionalFormatting>
  <conditionalFormatting sqref="A89">
    <cfRule type="expression" dxfId="6124" priority="223">
      <formula>$AH89=0</formula>
    </cfRule>
  </conditionalFormatting>
  <conditionalFormatting sqref="C94:AF94">
    <cfRule type="expression" dxfId="6123" priority="219">
      <formula>C$9&gt;=20/24</formula>
    </cfRule>
    <cfRule type="expression" dxfId="6122" priority="220">
      <formula>AND(C$9&gt;=14/24,C$9&lt;20/24)</formula>
    </cfRule>
    <cfRule type="expression" dxfId="6121" priority="221">
      <formula>AND(C$9&gt;=8/24,C$9&lt;14/24)</formula>
    </cfRule>
    <cfRule type="expression" dxfId="6120" priority="222">
      <formula>C$9&lt;8/24</formula>
    </cfRule>
  </conditionalFormatting>
  <conditionalFormatting sqref="AL39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119" priority="245">
      <formula>C$9&gt;=20/24</formula>
    </cfRule>
    <cfRule type="expression" dxfId="6118" priority="246">
      <formula>AND(C$9&gt;=14/24,C$9&lt;20/24)</formula>
    </cfRule>
    <cfRule type="expression" dxfId="6117" priority="247">
      <formula>AND(C$9&gt;=8/24,C$9&lt;14/24)</formula>
    </cfRule>
    <cfRule type="expression" dxfId="6116" priority="248">
      <formula>C$9&lt;8/24</formula>
    </cfRule>
  </conditionalFormatting>
  <conditionalFormatting sqref="A228">
    <cfRule type="expression" dxfId="6115" priority="249">
      <formula>$AH228=0</formula>
    </cfRule>
  </conditionalFormatting>
  <conditionalFormatting sqref="AG240">
    <cfRule type="expression" dxfId="6114" priority="250">
      <formula>B$9&gt;=20/24</formula>
    </cfRule>
    <cfRule type="expression" dxfId="6113" priority="251">
      <formula>AND(B$9&gt;=14/24,B$9&lt;20/24)</formula>
    </cfRule>
    <cfRule type="expression" dxfId="6112" priority="252">
      <formula>AND(B$9&gt;=8/24,B$9&lt;14/24)</formula>
    </cfRule>
    <cfRule type="expression" dxfId="6111" priority="253">
      <formula>B$9&lt;8/24</formula>
    </cfRule>
  </conditionalFormatting>
  <conditionalFormatting sqref="S8">
    <cfRule type="expression" dxfId="6110" priority="214">
      <formula>U$9&gt;=20/24</formula>
    </cfRule>
    <cfRule type="expression" dxfId="6109" priority="215">
      <formula>AND(U$9&gt;=14/24,U$9&lt;20/24)</formula>
    </cfRule>
    <cfRule type="expression" dxfId="6108" priority="216">
      <formula>AND(U$9&gt;=8/24,U$9&lt;14/24)</formula>
    </cfRule>
    <cfRule type="expression" dxfId="6107" priority="217">
      <formula>U$9&lt;8/24</formula>
    </cfRule>
  </conditionalFormatting>
  <conditionalFormatting sqref="AB8">
    <cfRule type="expression" dxfId="6106" priority="210">
      <formula>AD$9&gt;=20/24</formula>
    </cfRule>
    <cfRule type="expression" dxfId="6105" priority="211">
      <formula>AND(AD$9&gt;=14/24,AD$9&lt;20/24)</formula>
    </cfRule>
    <cfRule type="expression" dxfId="6104" priority="212">
      <formula>AND(AD$9&gt;=8/24,AD$9&lt;14/24)</formula>
    </cfRule>
    <cfRule type="expression" dxfId="6103" priority="213">
      <formula>AD$9&lt;8/24</formula>
    </cfRule>
  </conditionalFormatting>
  <conditionalFormatting sqref="AH240:AX240">
    <cfRule type="expression" dxfId="6102" priority="254">
      <formula>AG$9&gt;=20/24</formula>
    </cfRule>
    <cfRule type="expression" dxfId="6101" priority="255">
      <formula>AND(AG$9&gt;=14/24,AG$9&lt;20/24)</formula>
    </cfRule>
    <cfRule type="expression" dxfId="6100" priority="256">
      <formula>AND(AG$9&gt;=8/24,AG$9&lt;14/24)</formula>
    </cfRule>
    <cfRule type="expression" dxfId="6099" priority="257">
      <formula>AG$9&lt;8/24</formula>
    </cfRule>
  </conditionalFormatting>
  <conditionalFormatting sqref="T240">
    <cfRule type="expression" dxfId="6098" priority="258">
      <formula>AX$9&gt;=20/24</formula>
    </cfRule>
    <cfRule type="expression" dxfId="6097" priority="259">
      <formula>AND(AX$9&gt;=14/24,AX$9&lt;20/24)</formula>
    </cfRule>
    <cfRule type="expression" dxfId="6096" priority="260">
      <formula>AND(AX$9&gt;=8/24,AX$9&lt;14/24)</formula>
    </cfRule>
    <cfRule type="expression" dxfId="6095" priority="261">
      <formula>AX$9&lt;8/24</formula>
    </cfRule>
  </conditionalFormatting>
  <conditionalFormatting sqref="A110:A111">
    <cfRule type="expression" dxfId="6094" priority="209">
      <formula>$AH110=0</formula>
    </cfRule>
  </conditionalFormatting>
  <conditionalFormatting sqref="E49:P50 S49:W50 AB49:AF50 E66:AF66">
    <cfRule type="expression" dxfId="6093" priority="205">
      <formula>E$9&gt;=20/24</formula>
    </cfRule>
    <cfRule type="expression" dxfId="6092" priority="206">
      <formula>AND(E$9&gt;=14/24,E$9&lt;20/24)</formula>
    </cfRule>
    <cfRule type="expression" dxfId="6091" priority="207">
      <formula>AND(E$9&gt;=8/24,E$9&lt;14/24)</formula>
    </cfRule>
    <cfRule type="expression" dxfId="6090" priority="208">
      <formula>E$9&lt;8/24</formula>
    </cfRule>
  </conditionalFormatting>
  <conditionalFormatting sqref="E48:P48 S48:W48 AB48:AF48">
    <cfRule type="expression" dxfId="6089" priority="201">
      <formula>E$9&gt;=20/24</formula>
    </cfRule>
    <cfRule type="expression" dxfId="6088" priority="202">
      <formula>AND(E$9&gt;=14/24,E$9&lt;20/24)</formula>
    </cfRule>
    <cfRule type="expression" dxfId="6087" priority="203">
      <formula>AND(E$9&gt;=8/24,E$9&lt;14/24)</formula>
    </cfRule>
    <cfRule type="expression" dxfId="6086" priority="204">
      <formula>E$9&lt;8/24</formula>
    </cfRule>
  </conditionalFormatting>
  <conditionalFormatting sqref="E48:P50 S48:W50 AB48:AF50">
    <cfRule type="expression" dxfId="6085" priority="200">
      <formula>E48&gt;$AG48</formula>
    </cfRule>
  </conditionalFormatting>
  <conditionalFormatting sqref="C91:AF91 E67:T68 L42:W42 T62:AF64 D95:AF101 U67:AF76 X28:AF30 X32:AF32 X20:AF20 X34:AF37 X12:AF14 C78:AF81">
    <cfRule type="expression" dxfId="6084" priority="196">
      <formula>C$9&gt;=20/24</formula>
    </cfRule>
    <cfRule type="expression" dxfId="6083" priority="197">
      <formula>AND(C$9&gt;=14/24,C$9&lt;20/24)</formula>
    </cfRule>
    <cfRule type="expression" dxfId="6082" priority="198">
      <formula>AND(C$9&gt;=8/24,C$9&lt;14/24)</formula>
    </cfRule>
    <cfRule type="expression" dxfId="6081" priority="199">
      <formula>C$9&lt;8/24</formula>
    </cfRule>
  </conditionalFormatting>
  <conditionalFormatting sqref="X38:AF38">
    <cfRule type="expression" dxfId="6080" priority="192">
      <formula>X$9&gt;=20/24</formula>
    </cfRule>
    <cfRule type="expression" dxfId="6079" priority="193">
      <formula>AND(X$9&gt;=14/24,X$9&lt;20/24)</formula>
    </cfRule>
    <cfRule type="expression" dxfId="6078" priority="194">
      <formula>AND(X$9&gt;=8/24,X$9&lt;14/24)</formula>
    </cfRule>
    <cfRule type="expression" dxfId="6077" priority="195">
      <formula>X$9&lt;8/24</formula>
    </cfRule>
  </conditionalFormatting>
  <conditionalFormatting sqref="C60:AF60 E51:P51 L42:W42 T62:AF64 X28:AF32 X34:AF38">
    <cfRule type="expression" dxfId="6076" priority="191">
      <formula>C28&gt;$AG28</formula>
    </cfRule>
  </conditionalFormatting>
  <conditionalFormatting sqref="X40:AF40">
    <cfRule type="expression" dxfId="6075" priority="187">
      <formula>X$9&gt;=20/24</formula>
    </cfRule>
    <cfRule type="expression" dxfId="6074" priority="188">
      <formula>AND(X$9&gt;=14/24,X$9&lt;20/24)</formula>
    </cfRule>
    <cfRule type="expression" dxfId="6073" priority="189">
      <formula>AND(X$9&gt;=8/24,X$9&lt;14/24)</formula>
    </cfRule>
    <cfRule type="expression" dxfId="6072" priority="190">
      <formula>X$9&lt;8/24</formula>
    </cfRule>
  </conditionalFormatting>
  <conditionalFormatting sqref="X16:AF16">
    <cfRule type="expression" dxfId="6071" priority="183">
      <formula>X$9&gt;=20/24</formula>
    </cfRule>
    <cfRule type="expression" dxfId="6070" priority="184">
      <formula>AND(X$9&gt;=14/24,X$9&lt;20/24)</formula>
    </cfRule>
    <cfRule type="expression" dxfId="6069" priority="185">
      <formula>AND(X$9&gt;=8/24,X$9&lt;14/24)</formula>
    </cfRule>
    <cfRule type="expression" dxfId="6068" priority="186">
      <formula>X$9&lt;8/24</formula>
    </cfRule>
  </conditionalFormatting>
  <conditionalFormatting sqref="X39:AF39">
    <cfRule type="expression" dxfId="6067" priority="179">
      <formula>X$9&gt;=20/24</formula>
    </cfRule>
    <cfRule type="expression" dxfId="6066" priority="180">
      <formula>AND(X$9&gt;=14/24,X$9&lt;20/24)</formula>
    </cfRule>
    <cfRule type="expression" dxfId="6065" priority="181">
      <formula>AND(X$9&gt;=8/24,X$9&lt;14/24)</formula>
    </cfRule>
    <cfRule type="expression" dxfId="6064" priority="182">
      <formula>X$9&lt;8/24</formula>
    </cfRule>
  </conditionalFormatting>
  <conditionalFormatting sqref="X39:AF39">
    <cfRule type="expression" dxfId="6063" priority="178">
      <formula>X39&gt;$AG39</formula>
    </cfRule>
  </conditionalFormatting>
  <conditionalFormatting sqref="V51:AF52">
    <cfRule type="expression" dxfId="6062" priority="174">
      <formula>V$9&gt;=20/24</formula>
    </cfRule>
    <cfRule type="expression" dxfId="6061" priority="175">
      <formula>AND(V$9&gt;=14/24,V$9&lt;20/24)</formula>
    </cfRule>
    <cfRule type="expression" dxfId="6060" priority="176">
      <formula>AND(V$9&gt;=8/24,V$9&lt;14/24)</formula>
    </cfRule>
    <cfRule type="expression" dxfId="6059" priority="177">
      <formula>V$9&lt;8/24</formula>
    </cfRule>
  </conditionalFormatting>
  <conditionalFormatting sqref="V51:AF52">
    <cfRule type="expression" dxfId="6058" priority="173">
      <formula>V51&gt;$AG51</formula>
    </cfRule>
  </conditionalFormatting>
  <conditionalFormatting sqref="Q48:R52 S51:U52 V53:AF54">
    <cfRule type="expression" dxfId="6057" priority="169">
      <formula>Q$9&gt;=20/24</formula>
    </cfRule>
    <cfRule type="expression" dxfId="6056" priority="170">
      <formula>AND(Q$9&gt;=14/24,Q$9&lt;20/24)</formula>
    </cfRule>
    <cfRule type="expression" dxfId="6055" priority="171">
      <formula>AND(Q$9&gt;=8/24,Q$9&lt;14/24)</formula>
    </cfRule>
    <cfRule type="expression" dxfId="6054" priority="172">
      <formula>Q$9&lt;8/24</formula>
    </cfRule>
  </conditionalFormatting>
  <conditionalFormatting sqref="Q48:R52 S51:U52 V53:AF54">
    <cfRule type="expression" dxfId="6053" priority="168">
      <formula>Q48&gt;$AG48</formula>
    </cfRule>
  </conditionalFormatting>
  <conditionalFormatting sqref="X31:AF31">
    <cfRule type="expression" dxfId="6052" priority="164">
      <formula>X$9&gt;=20/24</formula>
    </cfRule>
    <cfRule type="expression" dxfId="6051" priority="165">
      <formula>AND(X$9&gt;=14/24,X$9&lt;20/24)</formula>
    </cfRule>
    <cfRule type="expression" dxfId="6050" priority="166">
      <formula>AND(X$9&gt;=8/24,X$9&lt;14/24)</formula>
    </cfRule>
    <cfRule type="expression" dxfId="6049" priority="167">
      <formula>X$9&lt;8/24</formula>
    </cfRule>
  </conditionalFormatting>
  <conditionalFormatting sqref="E34:W34 X21:AF21 X27:AF27">
    <cfRule type="expression" dxfId="6048" priority="160">
      <formula>E$9&gt;=20/24</formula>
    </cfRule>
    <cfRule type="expression" dxfId="6047" priority="161">
      <formula>AND(E$9&gt;=14/24,E$9&lt;20/24)</formula>
    </cfRule>
    <cfRule type="expression" dxfId="6046" priority="162">
      <formula>AND(E$9&gt;=8/24,E$9&lt;14/24)</formula>
    </cfRule>
    <cfRule type="expression" dxfId="6045" priority="163">
      <formula>E$9&lt;8/24</formula>
    </cfRule>
  </conditionalFormatting>
  <conditionalFormatting sqref="E34:W34 X21:AF21 X27:AF27">
    <cfRule type="expression" dxfId="6044" priority="159">
      <formula>E21&gt;$AG21</formula>
    </cfRule>
  </conditionalFormatting>
  <conditionalFormatting sqref="D48">
    <cfRule type="expression" dxfId="6043" priority="155">
      <formula>D$9&gt;=20/24</formula>
    </cfRule>
    <cfRule type="expression" dxfId="6042" priority="156">
      <formula>AND(D$9&gt;=14/24,D$9&lt;20/24)</formula>
    </cfRule>
    <cfRule type="expression" dxfId="6041" priority="157">
      <formula>AND(D$9&gt;=8/24,D$9&lt;14/24)</formula>
    </cfRule>
    <cfRule type="expression" dxfId="6040" priority="158">
      <formula>D$9&lt;8/24</formula>
    </cfRule>
  </conditionalFormatting>
  <conditionalFormatting sqref="D48">
    <cfRule type="expression" dxfId="6039" priority="154">
      <formula>D48&gt;$AG48</formula>
    </cfRule>
  </conditionalFormatting>
  <conditionalFormatting sqref="X49:AA50">
    <cfRule type="expression" dxfId="6038" priority="150">
      <formula>X$9&gt;=20/24</formula>
    </cfRule>
    <cfRule type="expression" dxfId="6037" priority="151">
      <formula>AND(X$9&gt;=14/24,X$9&lt;20/24)</formula>
    </cfRule>
    <cfRule type="expression" dxfId="6036" priority="152">
      <formula>AND(X$9&gt;=8/24,X$9&lt;14/24)</formula>
    </cfRule>
    <cfRule type="expression" dxfId="6035" priority="153">
      <formula>X$9&lt;8/24</formula>
    </cfRule>
  </conditionalFormatting>
  <conditionalFormatting sqref="X48:AA48">
    <cfRule type="expression" dxfId="6034" priority="146">
      <formula>X$9&gt;=20/24</formula>
    </cfRule>
    <cfRule type="expression" dxfId="6033" priority="147">
      <formula>AND(X$9&gt;=14/24,X$9&lt;20/24)</formula>
    </cfRule>
    <cfRule type="expression" dxfId="6032" priority="148">
      <formula>AND(X$9&gt;=8/24,X$9&lt;14/24)</formula>
    </cfRule>
    <cfRule type="expression" dxfId="6031" priority="149">
      <formula>X$9&lt;8/24</formula>
    </cfRule>
  </conditionalFormatting>
  <conditionalFormatting sqref="X48:AA50">
    <cfRule type="expression" dxfId="6030" priority="145">
      <formula>X48&gt;$AG48</formula>
    </cfRule>
  </conditionalFormatting>
  <conditionalFormatting sqref="B104 B83:AF83 B92:AF92 B106:B111 B11:W11">
    <cfRule type="expression" dxfId="6029" priority="141">
      <formula>B$9&gt;=20/24</formula>
    </cfRule>
    <cfRule type="expression" dxfId="6028" priority="142">
      <formula>AND(B$9&gt;=14/24,B$9&lt;20/24)</formula>
    </cfRule>
    <cfRule type="expression" dxfId="6027" priority="143">
      <formula>AND(B$9&gt;=8/24,B$9&lt;14/24)</formula>
    </cfRule>
    <cfRule type="expression" dxfId="6026" priority="144">
      <formula>B$9&lt;8/24</formula>
    </cfRule>
  </conditionalFormatting>
  <conditionalFormatting sqref="B42:K42">
    <cfRule type="expression" dxfId="6025" priority="137">
      <formula>B$9&gt;=20/24</formula>
    </cfRule>
    <cfRule type="expression" dxfId="6024" priority="138">
      <formula>AND(B$9&gt;=14/24,B$9&lt;20/24)</formula>
    </cfRule>
    <cfRule type="expression" dxfId="6023" priority="139">
      <formula>AND(B$9&gt;=8/24,B$9&lt;14/24)</formula>
    </cfRule>
    <cfRule type="expression" dxfId="6022" priority="140">
      <formula>B$9&lt;8/24</formula>
    </cfRule>
  </conditionalFormatting>
  <conditionalFormatting sqref="B42:K42 B11:W11">
    <cfRule type="expression" dxfId="6021" priority="136">
      <formula>B11&gt;$AG11</formula>
    </cfRule>
  </conditionalFormatting>
  <conditionalFormatting sqref="B94">
    <cfRule type="expression" dxfId="6020" priority="132">
      <formula>B$9&gt;=20/24</formula>
    </cfRule>
    <cfRule type="expression" dxfId="6019" priority="133">
      <formula>AND(B$9&gt;=14/24,B$9&lt;20/24)</formula>
    </cfRule>
    <cfRule type="expression" dxfId="6018" priority="134">
      <formula>AND(B$9&gt;=8/24,B$9&lt;14/24)</formula>
    </cfRule>
    <cfRule type="expression" dxfId="6017" priority="135">
      <formula>B$9&lt;8/24</formula>
    </cfRule>
  </conditionalFormatting>
  <conditionalFormatting sqref="B49:D50 B66:D66 B41:AF41">
    <cfRule type="expression" dxfId="6016" priority="128">
      <formula>B$9&gt;=20/24</formula>
    </cfRule>
    <cfRule type="expression" dxfId="6015" priority="129">
      <formula>AND(B$9&gt;=14/24,B$9&lt;20/24)</formula>
    </cfRule>
    <cfRule type="expression" dxfId="6014" priority="130">
      <formula>AND(B$9&gt;=8/24,B$9&lt;14/24)</formula>
    </cfRule>
    <cfRule type="expression" dxfId="6013" priority="131">
      <formula>B$9&lt;8/24</formula>
    </cfRule>
  </conditionalFormatting>
  <conditionalFormatting sqref="B48:C48">
    <cfRule type="expression" dxfId="6012" priority="124">
      <formula>B$9&gt;=20/24</formula>
    </cfRule>
    <cfRule type="expression" dxfId="6011" priority="125">
      <formula>AND(B$9&gt;=14/24,B$9&lt;20/24)</formula>
    </cfRule>
    <cfRule type="expression" dxfId="6010" priority="126">
      <formula>AND(B$9&gt;=8/24,B$9&lt;14/24)</formula>
    </cfRule>
    <cfRule type="expression" dxfId="6009" priority="127">
      <formula>B$9&lt;8/24</formula>
    </cfRule>
  </conditionalFormatting>
  <conditionalFormatting sqref="D49:D50 B48:C50 B41:AF41">
    <cfRule type="expression" dxfId="6008" priority="123">
      <formula>B41&gt;$AG41</formula>
    </cfRule>
  </conditionalFormatting>
  <conditionalFormatting sqref="B62:B65 B78:B82 B84:AF84 B91 C65:AG65 C82:AG82 B93:AF93 B95:C101 B67:D76 B34:D37 C62:S64 E69:T76 B20:W20 B28:W30 B32:W32 B12:W14 E35:W37">
    <cfRule type="expression" dxfId="6007" priority="119">
      <formula>B$9&gt;=20/24</formula>
    </cfRule>
    <cfRule type="expression" dxfId="6006" priority="120">
      <formula>AND(B$9&gt;=14/24,B$9&lt;20/24)</formula>
    </cfRule>
    <cfRule type="expression" dxfId="6005" priority="121">
      <formula>AND(B$9&gt;=8/24,B$9&lt;14/24)</formula>
    </cfRule>
    <cfRule type="expression" dxfId="6004" priority="122">
      <formula>B$9&lt;8/24</formula>
    </cfRule>
  </conditionalFormatting>
  <conditionalFormatting sqref="B38:W38">
    <cfRule type="expression" dxfId="6003" priority="115">
      <formula>B$9&gt;=20/24</formula>
    </cfRule>
    <cfRule type="expression" dxfId="6002" priority="116">
      <formula>AND(B$9&gt;=14/24,B$9&lt;20/24)</formula>
    </cfRule>
    <cfRule type="expression" dxfId="6001" priority="117">
      <formula>AND(B$9&gt;=8/24,B$9&lt;14/24)</formula>
    </cfRule>
    <cfRule type="expression" dxfId="6000" priority="118">
      <formula>B$9&lt;8/24</formula>
    </cfRule>
  </conditionalFormatting>
  <conditionalFormatting sqref="B60:B65 B43:AG43 C61:AG61 C65:AG65 B51:D52 B34:D38 E52:P52 C62:S64 B28:W32 E35:W38">
    <cfRule type="expression" dxfId="5999" priority="114">
      <formula>B28&gt;$AG28</formula>
    </cfRule>
  </conditionalFormatting>
  <conditionalFormatting sqref="B40:W40">
    <cfRule type="expression" dxfId="5998" priority="110">
      <formula>B$9&gt;=20/24</formula>
    </cfRule>
    <cfRule type="expression" dxfId="5997" priority="111">
      <formula>AND(B$9&gt;=14/24,B$9&lt;20/24)</formula>
    </cfRule>
    <cfRule type="expression" dxfId="5996" priority="112">
      <formula>AND(B$9&gt;=8/24,B$9&lt;14/24)</formula>
    </cfRule>
    <cfRule type="expression" dxfId="5995" priority="113">
      <formula>B$9&lt;8/24</formula>
    </cfRule>
  </conditionalFormatting>
  <conditionalFormatting sqref="B16:W16">
    <cfRule type="expression" dxfId="5994" priority="106">
      <formula>B$9&gt;=20/24</formula>
    </cfRule>
    <cfRule type="expression" dxfId="5993" priority="107">
      <formula>AND(B$9&gt;=14/24,B$9&lt;20/24)</formula>
    </cfRule>
    <cfRule type="expression" dxfId="5992" priority="108">
      <formula>AND(B$9&gt;=8/24,B$9&lt;14/24)</formula>
    </cfRule>
    <cfRule type="expression" dxfId="5991" priority="109">
      <formula>B$9&lt;8/24</formula>
    </cfRule>
  </conditionalFormatting>
  <conditionalFormatting sqref="B39:W39">
    <cfRule type="expression" dxfId="5990" priority="102">
      <formula>B$9&gt;=20/24</formula>
    </cfRule>
    <cfRule type="expression" dxfId="5989" priority="103">
      <formula>AND(B$9&gt;=14/24,B$9&lt;20/24)</formula>
    </cfRule>
    <cfRule type="expression" dxfId="5988" priority="104">
      <formula>AND(B$9&gt;=8/24,B$9&lt;14/24)</formula>
    </cfRule>
    <cfRule type="expression" dxfId="5987" priority="105">
      <formula>B$9&lt;8/24</formula>
    </cfRule>
  </conditionalFormatting>
  <conditionalFormatting sqref="B39:W39">
    <cfRule type="expression" dxfId="5986" priority="101">
      <formula>B39&gt;$AG39</formula>
    </cfRule>
  </conditionalFormatting>
  <conditionalFormatting sqref="B53:U59 V57:W59">
    <cfRule type="expression" dxfId="5985" priority="97">
      <formula>B$9&gt;=20/24</formula>
    </cfRule>
    <cfRule type="expression" dxfId="5984" priority="98">
      <formula>AND(B$9&gt;=14/24,B$9&lt;20/24)</formula>
    </cfRule>
    <cfRule type="expression" dxfId="5983" priority="99">
      <formula>AND(B$9&gt;=8/24,B$9&lt;14/24)</formula>
    </cfRule>
    <cfRule type="expression" dxfId="5982" priority="100">
      <formula>B$9&lt;8/24</formula>
    </cfRule>
  </conditionalFormatting>
  <conditionalFormatting sqref="B53:U59 V57:W59">
    <cfRule type="expression" dxfId="5981" priority="96">
      <formula>B53&gt;$AG53</formula>
    </cfRule>
  </conditionalFormatting>
  <conditionalFormatting sqref="B31:W31">
    <cfRule type="expression" dxfId="5980" priority="92">
      <formula>B$9&gt;=20/24</formula>
    </cfRule>
    <cfRule type="expression" dxfId="5979" priority="93">
      <formula>AND(B$9&gt;=14/24,B$9&lt;20/24)</formula>
    </cfRule>
    <cfRule type="expression" dxfId="5978" priority="94">
      <formula>AND(B$9&gt;=8/24,B$9&lt;14/24)</formula>
    </cfRule>
    <cfRule type="expression" dxfId="5977" priority="95">
      <formula>B$9&lt;8/24</formula>
    </cfRule>
  </conditionalFormatting>
  <conditionalFormatting sqref="B21:W21 B27:W27">
    <cfRule type="expression" dxfId="5976" priority="88">
      <formula>B$9&gt;=20/24</formula>
    </cfRule>
    <cfRule type="expression" dxfId="5975" priority="89">
      <formula>AND(B$9&gt;=14/24,B$9&lt;20/24)</formula>
    </cfRule>
    <cfRule type="expression" dxfId="5974" priority="90">
      <formula>AND(B$9&gt;=8/24,B$9&lt;14/24)</formula>
    </cfRule>
    <cfRule type="expression" dxfId="5973" priority="91">
      <formula>B$9&lt;8/24</formula>
    </cfRule>
  </conditionalFormatting>
  <conditionalFormatting sqref="B21:W21 B27:W27">
    <cfRule type="expression" dxfId="5972" priority="87">
      <formula>B21&gt;$AG21</formula>
    </cfRule>
  </conditionalFormatting>
  <conditionalFormatting sqref="A39">
    <cfRule type="expression" dxfId="5971" priority="86">
      <formula>$AH39=0</formula>
    </cfRule>
  </conditionalFormatting>
  <conditionalFormatting sqref="B77:AF77">
    <cfRule type="expression" dxfId="5970" priority="82">
      <formula>B$9&gt;=20/24</formula>
    </cfRule>
    <cfRule type="expression" dxfId="5969" priority="83">
      <formula>AND(B$9&gt;=14/24,B$9&lt;20/24)</formula>
    </cfRule>
    <cfRule type="expression" dxfId="5968" priority="84">
      <formula>AND(B$9&gt;=8/24,B$9&lt;14/24)</formula>
    </cfRule>
    <cfRule type="expression" dxfId="5967" priority="85">
      <formula>B$9&lt;8/24</formula>
    </cfRule>
  </conditionalFormatting>
  <conditionalFormatting sqref="B86:AF90">
    <cfRule type="expression" dxfId="5966" priority="78">
      <formula>B$9&gt;=20/24</formula>
    </cfRule>
    <cfRule type="expression" dxfId="5965" priority="79">
      <formula>AND(B$9&gt;=14/24,B$9&lt;20/24)</formula>
    </cfRule>
    <cfRule type="expression" dxfId="5964" priority="80">
      <formula>AND(B$9&gt;=8/24,B$9&lt;14/24)</formula>
    </cfRule>
    <cfRule type="expression" dxfId="5963" priority="81">
      <formula>B$9&lt;8/24</formula>
    </cfRule>
  </conditionalFormatting>
  <conditionalFormatting sqref="AL40 AL37 AL20:AL32 AL34:AL35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5962" priority="74">
      <formula>C$9&gt;=20/24</formula>
    </cfRule>
    <cfRule type="expression" dxfId="5961" priority="75">
      <formula>AND(C$9&gt;=14/24,C$9&lt;20/24)</formula>
    </cfRule>
    <cfRule type="expression" dxfId="5960" priority="76">
      <formula>AND(C$9&gt;=8/24,C$9&lt;14/24)</formula>
    </cfRule>
    <cfRule type="expression" dxfId="5959" priority="77">
      <formula>C$9&lt;8/24</formula>
    </cfRule>
  </conditionalFormatting>
  <conditionalFormatting sqref="C44:AF46">
    <cfRule type="expression" dxfId="5958" priority="73">
      <formula>C44&gt;$AG44</formula>
    </cfRule>
  </conditionalFormatting>
  <conditionalFormatting sqref="B44:B47 C47:AG47">
    <cfRule type="expression" dxfId="5957" priority="69">
      <formula>B$9&gt;=20/24</formula>
    </cfRule>
    <cfRule type="expression" dxfId="5956" priority="70">
      <formula>AND(B$9&gt;=14/24,B$9&lt;20/24)</formula>
    </cfRule>
    <cfRule type="expression" dxfId="5955" priority="71">
      <formula>AND(B$9&gt;=8/24,B$9&lt;14/24)</formula>
    </cfRule>
    <cfRule type="expression" dxfId="5954" priority="72">
      <formula>B$9&lt;8/24</formula>
    </cfRule>
  </conditionalFormatting>
  <conditionalFormatting sqref="B44:B47 C47:AG47">
    <cfRule type="expression" dxfId="5953" priority="68">
      <formula>B44&gt;$AG44</formula>
    </cfRule>
  </conditionalFormatting>
  <conditionalFormatting sqref="C102:AF102">
    <cfRule type="expression" dxfId="5952" priority="64">
      <formula>C$9&gt;=20/24</formula>
    </cfRule>
    <cfRule type="expression" dxfId="5951" priority="65">
      <formula>AND(C$9&gt;=14/24,C$9&lt;20/24)</formula>
    </cfRule>
    <cfRule type="expression" dxfId="5950" priority="66">
      <formula>AND(C$9&gt;=8/24,C$9&lt;14/24)</formula>
    </cfRule>
    <cfRule type="expression" dxfId="5949" priority="67">
      <formula>C$9&lt;8/24</formula>
    </cfRule>
  </conditionalFormatting>
  <conditionalFormatting sqref="B102">
    <cfRule type="expression" dxfId="5948" priority="60">
      <formula>B$9&gt;=20/24</formula>
    </cfRule>
    <cfRule type="expression" dxfId="5947" priority="61">
      <formula>AND(B$9&gt;=14/24,B$9&lt;20/24)</formula>
    </cfRule>
    <cfRule type="expression" dxfId="5946" priority="62">
      <formula>AND(B$9&gt;=8/24,B$9&lt;14/24)</formula>
    </cfRule>
    <cfRule type="expression" dxfId="5945" priority="63">
      <formula>B$9&lt;8/24</formula>
    </cfRule>
  </conditionalFormatting>
  <conditionalFormatting sqref="AL36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5944" priority="54">
      <formula>$AH36=0</formula>
    </cfRule>
  </conditionalFormatting>
  <conditionalFormatting sqref="A85">
    <cfRule type="expression" dxfId="5943" priority="52">
      <formula>$AH85=0</formula>
    </cfRule>
  </conditionalFormatting>
  <conditionalFormatting sqref="A82">
    <cfRule type="expression" dxfId="5942" priority="53">
      <formula>$AH82=0</formula>
    </cfRule>
  </conditionalFormatting>
  <conditionalFormatting sqref="A112">
    <cfRule type="expression" dxfId="5941" priority="43">
      <formula>$AH112=0</formula>
    </cfRule>
  </conditionalFormatting>
  <conditionalFormatting sqref="C105:AF105">
    <cfRule type="expression" dxfId="5940" priority="39">
      <formula>C$9&gt;=20/24</formula>
    </cfRule>
    <cfRule type="expression" dxfId="5939" priority="40">
      <formula>AND(C$9&gt;=14/24,C$9&lt;20/24)</formula>
    </cfRule>
    <cfRule type="expression" dxfId="5938" priority="41">
      <formula>AND(C$9&gt;=8/24,C$9&lt;14/24)</formula>
    </cfRule>
    <cfRule type="expression" dxfId="5937" priority="42">
      <formula>C$9&lt;8/24</formula>
    </cfRule>
  </conditionalFormatting>
  <conditionalFormatting sqref="A105">
    <cfRule type="expression" dxfId="5936" priority="38">
      <formula>$AH105=0</formula>
    </cfRule>
  </conditionalFormatting>
  <conditionalFormatting sqref="B105">
    <cfRule type="expression" dxfId="5935" priority="34">
      <formula>B$9&gt;=20/24</formula>
    </cfRule>
    <cfRule type="expression" dxfId="5934" priority="35">
      <formula>AND(B$9&gt;=14/24,B$9&lt;20/24)</formula>
    </cfRule>
    <cfRule type="expression" dxfId="5933" priority="36">
      <formula>AND(B$9&gt;=8/24,B$9&lt;14/24)</formula>
    </cfRule>
    <cfRule type="expression" dxfId="5932" priority="37">
      <formula>B$9&lt;8/24</formula>
    </cfRule>
  </conditionalFormatting>
  <conditionalFormatting sqref="V55:W56 X55:AF59">
    <cfRule type="expression" dxfId="5931" priority="30">
      <formula>V$9&gt;=20/24</formula>
    </cfRule>
    <cfRule type="expression" dxfId="5930" priority="31">
      <formula>AND(V$9&gt;=14/24,V$9&lt;20/24)</formula>
    </cfRule>
    <cfRule type="expression" dxfId="5929" priority="32">
      <formula>AND(V$9&gt;=8/24,V$9&lt;14/24)</formula>
    </cfRule>
    <cfRule type="expression" dxfId="5928" priority="33">
      <formula>V$9&lt;8/24</formula>
    </cfRule>
  </conditionalFormatting>
  <conditionalFormatting sqref="V55:W56 X55:AF59">
    <cfRule type="expression" dxfId="5927" priority="29">
      <formula>V55&gt;$AG55</formula>
    </cfRule>
  </conditionalFormatting>
  <conditionalFormatting sqref="B19:AF19">
    <cfRule type="expression" dxfId="5926" priority="27">
      <formula>B19&gt;$AG19</formula>
    </cfRule>
  </conditionalFormatting>
  <conditionalFormatting sqref="A19">
    <cfRule type="expression" dxfId="5925" priority="26">
      <formula>$AH19=0</formula>
    </cfRule>
  </conditionalFormatting>
  <conditionalFormatting sqref="X19:AF19">
    <cfRule type="expression" dxfId="5924" priority="22">
      <formula>X$9&gt;=20/24</formula>
    </cfRule>
    <cfRule type="expression" dxfId="5923" priority="23">
      <formula>AND(X$9&gt;=14/24,X$9&lt;20/24)</formula>
    </cfRule>
    <cfRule type="expression" dxfId="5922" priority="24">
      <formula>AND(X$9&gt;=8/24,X$9&lt;14/24)</formula>
    </cfRule>
    <cfRule type="expression" dxfId="5921" priority="25">
      <formula>X$9&lt;8/24</formula>
    </cfRule>
  </conditionalFormatting>
  <conditionalFormatting sqref="B19:W19">
    <cfRule type="expression" dxfId="5920" priority="18">
      <formula>B$9&gt;=20/24</formula>
    </cfRule>
    <cfRule type="expression" dxfId="5919" priority="19">
      <formula>AND(B$9&gt;=14/24,B$9&lt;20/24)</formula>
    </cfRule>
    <cfRule type="expression" dxfId="5918" priority="20">
      <formula>AND(B$9&gt;=8/24,B$9&lt;14/24)</formula>
    </cfRule>
    <cfRule type="expression" dxfId="5917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916" priority="16">
      <formula>$AH33=0</formula>
    </cfRule>
  </conditionalFormatting>
  <conditionalFormatting sqref="X33:AF33">
    <cfRule type="expression" dxfId="5915" priority="12">
      <formula>X$9&gt;=20/24</formula>
    </cfRule>
    <cfRule type="expression" dxfId="5914" priority="13">
      <formula>AND(X$9&gt;=14/24,X$9&lt;20/24)</formula>
    </cfRule>
    <cfRule type="expression" dxfId="5913" priority="14">
      <formula>AND(X$9&gt;=8/24,X$9&lt;14/24)</formula>
    </cfRule>
    <cfRule type="expression" dxfId="5912" priority="15">
      <formula>X$9&lt;8/24</formula>
    </cfRule>
  </conditionalFormatting>
  <conditionalFormatting sqref="X33:AF33">
    <cfRule type="expression" dxfId="5911" priority="11">
      <formula>X33&gt;$AG33</formula>
    </cfRule>
  </conditionalFormatting>
  <conditionalFormatting sqref="E33:W33">
    <cfRule type="expression" dxfId="5910" priority="7">
      <formula>E$9&gt;=20/24</formula>
    </cfRule>
    <cfRule type="expression" dxfId="5909" priority="8">
      <formula>AND(E$9&gt;=14/24,E$9&lt;20/24)</formula>
    </cfRule>
    <cfRule type="expression" dxfId="5908" priority="9">
      <formula>AND(E$9&gt;=8/24,E$9&lt;14/24)</formula>
    </cfRule>
    <cfRule type="expression" dxfId="5907" priority="10">
      <formula>E$9&lt;8/24</formula>
    </cfRule>
  </conditionalFormatting>
  <conditionalFormatting sqref="E33:W33">
    <cfRule type="expression" dxfId="5906" priority="6">
      <formula>E33&gt;$AG33</formula>
    </cfRule>
  </conditionalFormatting>
  <conditionalFormatting sqref="B33:D33">
    <cfRule type="expression" dxfId="5905" priority="2">
      <formula>B$9&gt;=20/24</formula>
    </cfRule>
    <cfRule type="expression" dxfId="5904" priority="3">
      <formula>AND(B$9&gt;=14/24,B$9&lt;20/24)</formula>
    </cfRule>
    <cfRule type="expression" dxfId="5903" priority="4">
      <formula>AND(B$9&gt;=8/24,B$9&lt;14/24)</formula>
    </cfRule>
    <cfRule type="expression" dxfId="5902" priority="5">
      <formula>B$9&lt;8/24</formula>
    </cfRule>
  </conditionalFormatting>
  <conditionalFormatting sqref="B33:D33">
    <cfRule type="expression" dxfId="5901" priority="1">
      <formula>B33&gt;$AG33</formula>
    </cfRule>
  </conditionalFormatting>
  <conditionalFormatting sqref="AL33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45F62D03-6888-47D9-91E2-0998DFD2B11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47DD9FDF-D3F9-445B-826D-DB9B50689C0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B9E541AF-AF89-4757-9AAB-4E8B01DD86E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FC2AB49A-16C3-4B99-B558-F9F61BF256E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B85:AF85</xm:sqref>
        </x14:conditionalFormatting>
        <x14:conditionalFormatting xmlns:xm="http://schemas.microsoft.com/office/excel/2006/main">
          <x14:cfRule type="expression" priority="48" id="{C8D390F8-5225-44D0-9261-156D175A0F8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0B1CE3E3-FEE3-468C-B1A0-5AECC75EF51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369E73B5-0E31-4E06-B663-8CB6F8747FA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A232A38A-12E6-45A9-B24B-5594F1FF391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44" id="{DCF4B739-2608-427A-8F82-AE95B5AB797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A3A02095-B8DB-4DB5-B8C8-9C529E3912E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9D52E0E9-FBE7-44EA-82DB-39F6AC14C68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045F9792-51D6-4688-B844-3A5204EF9A1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J273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L109" sqref="L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2079/08/14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9.8000000000000007</v>
      </c>
      <c r="P5" s="30">
        <f t="shared" si="0"/>
        <v>0</v>
      </c>
      <c r="Q5" s="30">
        <f t="shared" si="0"/>
        <v>0</v>
      </c>
      <c r="R5" s="30">
        <f t="shared" si="0"/>
        <v>35</v>
      </c>
      <c r="S5" s="30">
        <f t="shared" si="0"/>
        <v>18</v>
      </c>
      <c r="T5" s="30">
        <f t="shared" si="0"/>
        <v>41.1</v>
      </c>
      <c r="U5" s="30">
        <f t="shared" si="0"/>
        <v>98.7</v>
      </c>
      <c r="V5" s="30">
        <f t="shared" si="0"/>
        <v>0</v>
      </c>
      <c r="W5" s="30">
        <f t="shared" si="0"/>
        <v>30.3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1692MW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Load=998</v>
      </c>
      <c r="B7" s="35">
        <f t="shared" ref="B7:AF7" si="1">B84</f>
        <v>1076.2400000000002</v>
      </c>
      <c r="C7" s="35">
        <f t="shared" si="1"/>
        <v>1061.0400000000002</v>
      </c>
      <c r="D7" s="35">
        <f t="shared" si="1"/>
        <v>1022.8400000000001</v>
      </c>
      <c r="E7" s="35">
        <f t="shared" si="1"/>
        <v>998.44000000000017</v>
      </c>
      <c r="F7" s="35">
        <f t="shared" si="1"/>
        <v>1019.74</v>
      </c>
      <c r="G7" s="35">
        <f t="shared" si="1"/>
        <v>1073.1400000000001</v>
      </c>
      <c r="H7" s="35">
        <f t="shared" si="1"/>
        <v>1160.44</v>
      </c>
      <c r="I7" s="35">
        <f t="shared" si="1"/>
        <v>1280.8400000000001</v>
      </c>
      <c r="J7" s="35">
        <f t="shared" si="1"/>
        <v>1415.0400000000002</v>
      </c>
      <c r="K7" s="35">
        <f t="shared" si="1"/>
        <v>1611.0400000000002</v>
      </c>
      <c r="L7" s="35">
        <f t="shared" si="1"/>
        <v>1671.0400000000002</v>
      </c>
      <c r="M7" s="35">
        <f t="shared" si="1"/>
        <v>1692.14</v>
      </c>
      <c r="N7" s="35">
        <f t="shared" si="1"/>
        <v>1588.14</v>
      </c>
      <c r="O7" s="35">
        <f t="shared" si="1"/>
        <v>1422.54</v>
      </c>
      <c r="P7" s="35">
        <f t="shared" si="1"/>
        <v>1282.3399999999999</v>
      </c>
      <c r="Q7" s="35">
        <f t="shared" si="1"/>
        <v>1242.1399999999999</v>
      </c>
      <c r="R7" s="35">
        <f t="shared" si="1"/>
        <v>1189.8400000000001</v>
      </c>
      <c r="S7" s="35">
        <f t="shared" si="1"/>
        <v>1204.8400000000001</v>
      </c>
      <c r="T7" s="35">
        <f t="shared" si="1"/>
        <v>1197.8400000000001</v>
      </c>
      <c r="U7" s="35">
        <f t="shared" si="1"/>
        <v>1200.94</v>
      </c>
      <c r="V7" s="35">
        <f t="shared" si="1"/>
        <v>1494.24</v>
      </c>
      <c r="W7" s="35">
        <f t="shared" si="1"/>
        <v>1704.6400000000003</v>
      </c>
      <c r="X7" s="35">
        <f t="shared" si="1"/>
        <v>1731.8400000000001</v>
      </c>
      <c r="Y7" s="35">
        <f t="shared" si="1"/>
        <v>1645.5400000000002</v>
      </c>
      <c r="Z7" s="35">
        <f t="shared" si="1"/>
        <v>1575.5400000000002</v>
      </c>
      <c r="AA7" s="35">
        <f t="shared" si="1"/>
        <v>1515.5400000000002</v>
      </c>
      <c r="AB7" s="35">
        <f t="shared" si="1"/>
        <v>1465.44</v>
      </c>
      <c r="AC7" s="35">
        <f t="shared" si="1"/>
        <v>1465.44</v>
      </c>
      <c r="AD7" s="35">
        <f t="shared" si="1"/>
        <v>1392.94</v>
      </c>
      <c r="AE7" s="35">
        <f t="shared" si="1"/>
        <v>1232.2400000000002</v>
      </c>
      <c r="AF7" s="35">
        <f t="shared" si="1"/>
        <v>1078.44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32.299999999999997</v>
      </c>
      <c r="C11" s="46">
        <v>32.299999999999997</v>
      </c>
      <c r="D11" s="46">
        <v>32.299999999999997</v>
      </c>
      <c r="E11" s="45">
        <v>31.8</v>
      </c>
      <c r="F11" s="45">
        <v>31.8</v>
      </c>
      <c r="G11" s="45">
        <v>31.8</v>
      </c>
      <c r="H11" s="45">
        <v>31.8</v>
      </c>
      <c r="I11" s="45">
        <v>31.8</v>
      </c>
      <c r="J11" s="45">
        <v>31.8</v>
      </c>
      <c r="K11" s="45">
        <v>31.8</v>
      </c>
      <c r="L11" s="45">
        <v>31.8</v>
      </c>
      <c r="M11" s="45">
        <v>31.8</v>
      </c>
      <c r="N11" s="45">
        <v>31.8</v>
      </c>
      <c r="O11" s="45">
        <v>31.8</v>
      </c>
      <c r="P11" s="45">
        <v>31.8</v>
      </c>
      <c r="Q11" s="45">
        <v>31.8</v>
      </c>
      <c r="R11" s="45">
        <v>31.8</v>
      </c>
      <c r="S11" s="45">
        <v>31.8</v>
      </c>
      <c r="T11" s="45">
        <v>31.8</v>
      </c>
      <c r="U11" s="45">
        <v>31.8</v>
      </c>
      <c r="V11" s="45">
        <v>31.8</v>
      </c>
      <c r="W11" s="45">
        <v>31.8</v>
      </c>
      <c r="X11" s="46">
        <v>30</v>
      </c>
      <c r="Y11" s="46">
        <v>30</v>
      </c>
      <c r="Z11" s="46">
        <v>30</v>
      </c>
      <c r="AA11" s="46">
        <v>30</v>
      </c>
      <c r="AB11" s="46">
        <v>34.299999999999997</v>
      </c>
      <c r="AC11" s="46">
        <v>34.299999999999997</v>
      </c>
      <c r="AD11" s="46">
        <v>31</v>
      </c>
      <c r="AE11" s="46">
        <v>31</v>
      </c>
      <c r="AF11" s="46">
        <v>31</v>
      </c>
      <c r="AG11" s="47">
        <v>52.4</v>
      </c>
      <c r="AH11" s="48">
        <f>MAX(B11:AF11)</f>
        <v>34.299999999999997</v>
      </c>
      <c r="AI11" s="49">
        <f>MIN(B11:AF11)</f>
        <v>30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8" si="2">MAX(B12:AF12)</f>
        <v>50.3</v>
      </c>
      <c r="AI12" s="49">
        <f t="shared" ref="AI12:AI78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27.3</v>
      </c>
      <c r="C13" s="45">
        <v>27.3</v>
      </c>
      <c r="D13" s="45">
        <v>27.3</v>
      </c>
      <c r="E13" s="45">
        <v>28.8</v>
      </c>
      <c r="F13" s="45">
        <v>28.8</v>
      </c>
      <c r="G13" s="45">
        <v>28.8</v>
      </c>
      <c r="H13" s="45">
        <v>28.8</v>
      </c>
      <c r="I13" s="45">
        <v>28.8</v>
      </c>
      <c r="J13" s="45">
        <v>28.8</v>
      </c>
      <c r="K13" s="45">
        <v>28.8</v>
      </c>
      <c r="L13" s="45">
        <v>28.8</v>
      </c>
      <c r="M13" s="45">
        <v>28.8</v>
      </c>
      <c r="N13" s="45">
        <v>28.8</v>
      </c>
      <c r="O13" s="45">
        <v>28.8</v>
      </c>
      <c r="P13" s="45">
        <v>28.8</v>
      </c>
      <c r="Q13" s="45">
        <v>28.8</v>
      </c>
      <c r="R13" s="45">
        <v>28.8</v>
      </c>
      <c r="S13" s="45">
        <v>28.8</v>
      </c>
      <c r="T13" s="45">
        <v>28.8</v>
      </c>
      <c r="U13" s="45">
        <v>28.8</v>
      </c>
      <c r="V13" s="45">
        <v>28.8</v>
      </c>
      <c r="W13" s="45">
        <v>28.8</v>
      </c>
      <c r="X13" s="45">
        <v>29.5</v>
      </c>
      <c r="Y13" s="45">
        <v>29.5</v>
      </c>
      <c r="Z13" s="45">
        <v>29.5</v>
      </c>
      <c r="AA13" s="45">
        <v>29.5</v>
      </c>
      <c r="AB13" s="45">
        <v>28.9</v>
      </c>
      <c r="AC13" s="45">
        <v>28.9</v>
      </c>
      <c r="AD13" s="45">
        <v>28.9</v>
      </c>
      <c r="AE13" s="45">
        <v>28.9</v>
      </c>
      <c r="AF13" s="45">
        <v>28.9</v>
      </c>
      <c r="AG13" s="51">
        <v>45</v>
      </c>
      <c r="AH13" s="48">
        <f t="shared" si="2"/>
        <v>29.5</v>
      </c>
      <c r="AI13" s="49">
        <f t="shared" si="3"/>
        <v>27.3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18.899999999999999</v>
      </c>
      <c r="C14" s="45">
        <v>18.899999999999999</v>
      </c>
      <c r="D14" s="45">
        <v>18.899999999999999</v>
      </c>
      <c r="E14" s="45">
        <v>18.899999999999999</v>
      </c>
      <c r="F14" s="45">
        <v>18.899999999999999</v>
      </c>
      <c r="G14" s="45">
        <v>18.899999999999999</v>
      </c>
      <c r="H14" s="45">
        <v>18.899999999999999</v>
      </c>
      <c r="I14" s="45">
        <v>18.899999999999999</v>
      </c>
      <c r="J14" s="45">
        <v>18.899999999999999</v>
      </c>
      <c r="K14" s="45">
        <v>18.899999999999999</v>
      </c>
      <c r="L14" s="45">
        <v>18.899999999999999</v>
      </c>
      <c r="M14" s="45">
        <v>18.899999999999999</v>
      </c>
      <c r="N14" s="45">
        <v>18.899999999999999</v>
      </c>
      <c r="O14" s="45">
        <v>18.899999999999999</v>
      </c>
      <c r="P14" s="45">
        <v>18.899999999999999</v>
      </c>
      <c r="Q14" s="45">
        <v>18.899999999999999</v>
      </c>
      <c r="R14" s="45">
        <v>18.899999999999999</v>
      </c>
      <c r="S14" s="45">
        <v>18.899999999999999</v>
      </c>
      <c r="T14" s="45">
        <v>18.899999999999999</v>
      </c>
      <c r="U14" s="45">
        <v>18.899999999999999</v>
      </c>
      <c r="V14" s="45">
        <v>18.899999999999999</v>
      </c>
      <c r="W14" s="45">
        <v>18.899999999999999</v>
      </c>
      <c r="X14" s="45">
        <v>18.899999999999999</v>
      </c>
      <c r="Y14" s="45">
        <v>18.899999999999999</v>
      </c>
      <c r="Z14" s="45">
        <v>18.899999999999999</v>
      </c>
      <c r="AA14" s="45">
        <v>18.899999999999999</v>
      </c>
      <c r="AB14" s="45">
        <v>18.899999999999999</v>
      </c>
      <c r="AC14" s="45">
        <v>18.899999999999999</v>
      </c>
      <c r="AD14" s="45">
        <v>18.899999999999999</v>
      </c>
      <c r="AE14" s="45">
        <v>18.899999999999999</v>
      </c>
      <c r="AF14" s="45">
        <v>18.899999999999999</v>
      </c>
      <c r="AG14" s="51">
        <v>42</v>
      </c>
      <c r="AH14" s="48">
        <f t="shared" si="2"/>
        <v>18.899999999999999</v>
      </c>
      <c r="AI14" s="49">
        <f t="shared" si="3"/>
        <v>18.899999999999999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24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0</v>
      </c>
      <c r="C16" s="45">
        <v>0</v>
      </c>
      <c r="D16" s="45">
        <v>0</v>
      </c>
      <c r="E16" s="45">
        <v>0</v>
      </c>
      <c r="F16" s="45">
        <v>14.6</v>
      </c>
      <c r="G16" s="45">
        <v>14.6</v>
      </c>
      <c r="H16" s="45">
        <v>17.8</v>
      </c>
      <c r="I16" s="45">
        <v>17.8</v>
      </c>
      <c r="J16" s="45">
        <v>17.8</v>
      </c>
      <c r="K16" s="45">
        <v>17.8</v>
      </c>
      <c r="L16" s="45">
        <v>17.8</v>
      </c>
      <c r="M16" s="45">
        <v>17.8</v>
      </c>
      <c r="N16" s="45">
        <v>17.8</v>
      </c>
      <c r="O16" s="45">
        <v>17.8</v>
      </c>
      <c r="P16" s="45">
        <v>17.8</v>
      </c>
      <c r="Q16" s="45">
        <v>17.8</v>
      </c>
      <c r="R16" s="45">
        <v>17.8</v>
      </c>
      <c r="S16" s="45">
        <v>17.8</v>
      </c>
      <c r="T16" s="45">
        <v>17.8</v>
      </c>
      <c r="U16" s="45">
        <v>17.8</v>
      </c>
      <c r="V16" s="45">
        <v>17.8</v>
      </c>
      <c r="W16" s="45">
        <v>17.8</v>
      </c>
      <c r="X16" s="45">
        <v>16.399999999999999</v>
      </c>
      <c r="Y16" s="45">
        <v>16.399999999999999</v>
      </c>
      <c r="Z16" s="45">
        <v>16.399999999999999</v>
      </c>
      <c r="AA16" s="45">
        <v>16.399999999999999</v>
      </c>
      <c r="AB16" s="45">
        <v>17.8</v>
      </c>
      <c r="AC16" s="45">
        <v>17.8</v>
      </c>
      <c r="AD16" s="45">
        <v>17.8</v>
      </c>
      <c r="AE16" s="45">
        <v>17.8</v>
      </c>
      <c r="AF16" s="45">
        <v>17.8</v>
      </c>
      <c r="AG16" s="52">
        <v>30</v>
      </c>
      <c r="AH16" s="48">
        <f t="shared" si="2"/>
        <v>17.8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15.4</v>
      </c>
      <c r="C17" s="45">
        <v>15.4</v>
      </c>
      <c r="D17" s="45">
        <v>15.4</v>
      </c>
      <c r="E17" s="45">
        <v>15.4</v>
      </c>
      <c r="F17" s="45">
        <v>15.4</v>
      </c>
      <c r="G17" s="45">
        <v>15.4</v>
      </c>
      <c r="H17" s="45">
        <v>15.4</v>
      </c>
      <c r="I17" s="45">
        <v>15.4</v>
      </c>
      <c r="J17" s="45">
        <v>15.4</v>
      </c>
      <c r="K17" s="45">
        <v>15.4</v>
      </c>
      <c r="L17" s="45">
        <v>15.4</v>
      </c>
      <c r="M17" s="45">
        <v>15.4</v>
      </c>
      <c r="N17" s="45">
        <v>15.4</v>
      </c>
      <c r="O17" s="45">
        <v>15.4</v>
      </c>
      <c r="P17" s="45">
        <v>15.4</v>
      </c>
      <c r="Q17" s="45">
        <v>15.4</v>
      </c>
      <c r="R17" s="45">
        <v>15.4</v>
      </c>
      <c r="S17" s="45">
        <v>15.4</v>
      </c>
      <c r="T17" s="45">
        <v>15.4</v>
      </c>
      <c r="U17" s="45">
        <v>15.4</v>
      </c>
      <c r="V17" s="45">
        <v>15.4</v>
      </c>
      <c r="W17" s="45">
        <v>15.4</v>
      </c>
      <c r="X17" s="45">
        <v>15.4</v>
      </c>
      <c r="Y17" s="45">
        <v>15.4</v>
      </c>
      <c r="Z17" s="45">
        <v>15.4</v>
      </c>
      <c r="AA17" s="45">
        <v>15.4</v>
      </c>
      <c r="AB17" s="45">
        <v>15.4</v>
      </c>
      <c r="AC17" s="45">
        <v>15.4</v>
      </c>
      <c r="AD17" s="45">
        <v>15.4</v>
      </c>
      <c r="AE17" s="45">
        <v>15.4</v>
      </c>
      <c r="AF17" s="45">
        <v>15.4</v>
      </c>
      <c r="AG17" s="51">
        <v>24.2</v>
      </c>
      <c r="AH17" s="48">
        <f t="shared" si="2"/>
        <v>15.4</v>
      </c>
      <c r="AI17" s="49">
        <f t="shared" si="3"/>
        <v>15.4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18</v>
      </c>
      <c r="C18" s="45">
        <v>18</v>
      </c>
      <c r="D18" s="45">
        <v>18</v>
      </c>
      <c r="E18" s="45">
        <v>18</v>
      </c>
      <c r="F18" s="45">
        <v>18</v>
      </c>
      <c r="G18" s="45">
        <v>18</v>
      </c>
      <c r="H18" s="45">
        <v>18</v>
      </c>
      <c r="I18" s="45">
        <v>18</v>
      </c>
      <c r="J18" s="45">
        <v>18</v>
      </c>
      <c r="K18" s="45">
        <v>18</v>
      </c>
      <c r="L18" s="45">
        <v>18</v>
      </c>
      <c r="M18" s="45">
        <v>18</v>
      </c>
      <c r="N18" s="45">
        <v>18</v>
      </c>
      <c r="O18" s="45">
        <v>18</v>
      </c>
      <c r="P18" s="45">
        <v>18</v>
      </c>
      <c r="Q18" s="45">
        <v>18</v>
      </c>
      <c r="R18" s="45">
        <v>18</v>
      </c>
      <c r="S18" s="45">
        <v>18</v>
      </c>
      <c r="T18" s="45">
        <v>18</v>
      </c>
      <c r="U18" s="45">
        <v>18</v>
      </c>
      <c r="V18" s="45">
        <v>18</v>
      </c>
      <c r="W18" s="45">
        <v>18</v>
      </c>
      <c r="X18" s="45">
        <v>18</v>
      </c>
      <c r="Y18" s="45">
        <v>18</v>
      </c>
      <c r="Z18" s="45">
        <v>18</v>
      </c>
      <c r="AA18" s="45">
        <v>18</v>
      </c>
      <c r="AB18" s="45">
        <v>18</v>
      </c>
      <c r="AC18" s="45">
        <v>18</v>
      </c>
      <c r="AD18" s="45">
        <v>18</v>
      </c>
      <c r="AE18" s="45">
        <v>18</v>
      </c>
      <c r="AF18" s="45">
        <v>18</v>
      </c>
      <c r="AG18" s="51">
        <v>28</v>
      </c>
      <c r="AH18" s="48">
        <f t="shared" si="2"/>
        <v>18</v>
      </c>
      <c r="AI18" s="49">
        <f t="shared" si="3"/>
        <v>18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19</v>
      </c>
      <c r="AE19" s="45">
        <v>22</v>
      </c>
      <c r="AF19" s="45">
        <v>22</v>
      </c>
      <c r="AG19" s="52">
        <v>30</v>
      </c>
      <c r="AH19" s="48">
        <f t="shared" si="2"/>
        <v>22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16.8</v>
      </c>
      <c r="C20" s="45">
        <v>16.8</v>
      </c>
      <c r="D20" s="45">
        <v>16.8</v>
      </c>
      <c r="E20" s="45">
        <v>16.8</v>
      </c>
      <c r="F20" s="45">
        <v>16.8</v>
      </c>
      <c r="G20" s="45">
        <v>16.8</v>
      </c>
      <c r="H20" s="45">
        <v>16.8</v>
      </c>
      <c r="I20" s="45">
        <v>16.8</v>
      </c>
      <c r="J20" s="45">
        <v>16.8</v>
      </c>
      <c r="K20" s="45">
        <v>16.8</v>
      </c>
      <c r="L20" s="45">
        <v>16.8</v>
      </c>
      <c r="M20" s="45">
        <v>16.8</v>
      </c>
      <c r="N20" s="45">
        <v>16.8</v>
      </c>
      <c r="O20" s="45">
        <v>16.8</v>
      </c>
      <c r="P20" s="45">
        <v>16.8</v>
      </c>
      <c r="Q20" s="45">
        <v>16.8</v>
      </c>
      <c r="R20" s="45">
        <v>16.8</v>
      </c>
      <c r="S20" s="45">
        <v>16.8</v>
      </c>
      <c r="T20" s="45">
        <v>16.8</v>
      </c>
      <c r="U20" s="45">
        <v>16.8</v>
      </c>
      <c r="V20" s="45">
        <v>16.8</v>
      </c>
      <c r="W20" s="45">
        <v>16.8</v>
      </c>
      <c r="X20" s="45">
        <v>16.8</v>
      </c>
      <c r="Y20" s="45">
        <v>16.8</v>
      </c>
      <c r="Z20" s="45">
        <v>16.8</v>
      </c>
      <c r="AA20" s="45">
        <v>16.8</v>
      </c>
      <c r="AB20" s="45">
        <v>16.8</v>
      </c>
      <c r="AC20" s="45">
        <v>16.8</v>
      </c>
      <c r="AD20" s="45">
        <v>16.8</v>
      </c>
      <c r="AE20" s="45">
        <v>16.8</v>
      </c>
      <c r="AF20" s="45">
        <v>16.8</v>
      </c>
      <c r="AG20" s="51">
        <v>25</v>
      </c>
      <c r="AH20" s="48">
        <f t="shared" si="2"/>
        <v>16.8</v>
      </c>
      <c r="AI20" s="49">
        <f t="shared" si="3"/>
        <v>16.8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16</v>
      </c>
      <c r="C23" s="45">
        <v>16</v>
      </c>
      <c r="D23" s="45">
        <v>16</v>
      </c>
      <c r="E23" s="45">
        <v>16</v>
      </c>
      <c r="F23" s="45">
        <v>16</v>
      </c>
      <c r="G23" s="45">
        <v>16</v>
      </c>
      <c r="H23" s="45">
        <v>16</v>
      </c>
      <c r="I23" s="45">
        <v>16</v>
      </c>
      <c r="J23" s="45">
        <v>16</v>
      </c>
      <c r="K23" s="45">
        <v>16</v>
      </c>
      <c r="L23" s="45">
        <v>16</v>
      </c>
      <c r="M23" s="45">
        <v>15</v>
      </c>
      <c r="N23" s="45">
        <v>15</v>
      </c>
      <c r="O23" s="45">
        <v>15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16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14.2</v>
      </c>
      <c r="C24" s="45">
        <v>14.2</v>
      </c>
      <c r="D24" s="45">
        <v>14.2</v>
      </c>
      <c r="E24" s="45">
        <v>14.2</v>
      </c>
      <c r="F24" s="45">
        <v>14.2</v>
      </c>
      <c r="G24" s="45">
        <v>14.2</v>
      </c>
      <c r="H24" s="45">
        <v>14.2</v>
      </c>
      <c r="I24" s="45">
        <v>14.2</v>
      </c>
      <c r="J24" s="45">
        <v>14.2</v>
      </c>
      <c r="K24" s="45">
        <v>14.2</v>
      </c>
      <c r="L24" s="45">
        <v>14.2</v>
      </c>
      <c r="M24" s="45">
        <v>14.2</v>
      </c>
      <c r="N24" s="45">
        <v>14.2</v>
      </c>
      <c r="O24" s="45">
        <v>13.2</v>
      </c>
      <c r="P24" s="45">
        <v>13.2</v>
      </c>
      <c r="Q24" s="45">
        <v>13.2</v>
      </c>
      <c r="R24" s="45">
        <v>13.2</v>
      </c>
      <c r="S24" s="45">
        <v>13.2</v>
      </c>
      <c r="T24" s="45">
        <v>13.2</v>
      </c>
      <c r="U24" s="45">
        <v>13.2</v>
      </c>
      <c r="V24" s="45">
        <v>13.2</v>
      </c>
      <c r="W24" s="45">
        <v>13.2</v>
      </c>
      <c r="X24" s="45">
        <v>14.5</v>
      </c>
      <c r="Y24" s="45">
        <v>14.5</v>
      </c>
      <c r="Z24" s="45">
        <v>14.5</v>
      </c>
      <c r="AA24" s="45">
        <v>14.5</v>
      </c>
      <c r="AB24" s="45">
        <v>14.5</v>
      </c>
      <c r="AC24" s="45">
        <v>14.5</v>
      </c>
      <c r="AD24" s="45">
        <v>14.5</v>
      </c>
      <c r="AE24" s="45">
        <v>14.5</v>
      </c>
      <c r="AF24" s="45">
        <v>14.5</v>
      </c>
      <c r="AG24" s="51">
        <v>23.5</v>
      </c>
      <c r="AH24" s="48">
        <f t="shared" si="2"/>
        <v>14.5</v>
      </c>
      <c r="AI24" s="49">
        <f t="shared" si="3"/>
        <v>13.2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0</v>
      </c>
      <c r="C29" s="45">
        <v>0</v>
      </c>
      <c r="D29" s="45">
        <v>0</v>
      </c>
      <c r="E29" s="45">
        <v>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0</v>
      </c>
      <c r="C33" s="45">
        <v>0</v>
      </c>
      <c r="D33" s="45">
        <v>0</v>
      </c>
      <c r="E33" s="45">
        <v>0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1">
        <v>12</v>
      </c>
      <c r="AH33" s="48">
        <f t="shared" si="2"/>
        <v>8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3</v>
      </c>
      <c r="C35" s="45">
        <v>3</v>
      </c>
      <c r="D35" s="45">
        <v>3</v>
      </c>
      <c r="E35" s="45">
        <v>3</v>
      </c>
      <c r="F35" s="45">
        <v>3</v>
      </c>
      <c r="G35" s="45">
        <v>3</v>
      </c>
      <c r="H35" s="45">
        <v>3</v>
      </c>
      <c r="I35" s="45">
        <v>3</v>
      </c>
      <c r="J35" s="45">
        <v>3</v>
      </c>
      <c r="K35" s="45">
        <v>3</v>
      </c>
      <c r="L35" s="45">
        <v>3</v>
      </c>
      <c r="M35" s="45">
        <v>3</v>
      </c>
      <c r="N35" s="45">
        <v>3</v>
      </c>
      <c r="O35" s="45">
        <v>3</v>
      </c>
      <c r="P35" s="45">
        <v>3</v>
      </c>
      <c r="Q35" s="45">
        <v>3</v>
      </c>
      <c r="R35" s="45">
        <v>3</v>
      </c>
      <c r="S35" s="45">
        <v>3</v>
      </c>
      <c r="T35" s="45">
        <v>3</v>
      </c>
      <c r="U35" s="45">
        <v>3</v>
      </c>
      <c r="V35" s="45">
        <v>3</v>
      </c>
      <c r="W35" s="45">
        <v>3</v>
      </c>
      <c r="X35" s="45">
        <v>3</v>
      </c>
      <c r="Y35" s="45">
        <v>3</v>
      </c>
      <c r="Z35" s="45">
        <v>3</v>
      </c>
      <c r="AA35" s="45">
        <v>3</v>
      </c>
      <c r="AB35" s="45">
        <v>3</v>
      </c>
      <c r="AC35" s="45">
        <v>3</v>
      </c>
      <c r="AD35" s="45">
        <v>3</v>
      </c>
      <c r="AE35" s="45">
        <v>3</v>
      </c>
      <c r="AF35" s="45">
        <v>3</v>
      </c>
      <c r="AG35" s="51">
        <v>12</v>
      </c>
      <c r="AH35" s="48">
        <f t="shared" si="2"/>
        <v>3</v>
      </c>
      <c r="AI35" s="49">
        <f t="shared" si="3"/>
        <v>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5">
        <v>10</v>
      </c>
      <c r="AH39" s="48">
        <f t="shared" si="2"/>
        <v>7</v>
      </c>
      <c r="AI39" s="49">
        <f t="shared" si="3"/>
        <v>7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250</v>
      </c>
      <c r="C41" s="57">
        <v>250</v>
      </c>
      <c r="D41" s="57">
        <v>250</v>
      </c>
      <c r="E41" s="57">
        <v>250</v>
      </c>
      <c r="F41" s="57">
        <v>250</v>
      </c>
      <c r="G41" s="57">
        <v>250</v>
      </c>
      <c r="H41" s="57">
        <v>250</v>
      </c>
      <c r="I41" s="57">
        <v>250</v>
      </c>
      <c r="J41" s="57">
        <v>250</v>
      </c>
      <c r="K41" s="57">
        <v>250</v>
      </c>
      <c r="L41" s="57">
        <v>250</v>
      </c>
      <c r="M41" s="57">
        <v>250</v>
      </c>
      <c r="N41" s="57">
        <v>250</v>
      </c>
      <c r="O41" s="57">
        <v>250</v>
      </c>
      <c r="P41" s="57">
        <v>250</v>
      </c>
      <c r="Q41" s="57">
        <v>250</v>
      </c>
      <c r="R41" s="57">
        <v>250</v>
      </c>
      <c r="S41" s="57">
        <v>250</v>
      </c>
      <c r="T41" s="57">
        <v>250</v>
      </c>
      <c r="U41" s="57">
        <v>250</v>
      </c>
      <c r="V41" s="57">
        <v>250</v>
      </c>
      <c r="W41" s="57">
        <v>250</v>
      </c>
      <c r="X41" s="57">
        <v>250</v>
      </c>
      <c r="Y41" s="57">
        <v>250</v>
      </c>
      <c r="Z41" s="57">
        <v>250</v>
      </c>
      <c r="AA41" s="57">
        <v>250</v>
      </c>
      <c r="AB41" s="57">
        <v>250</v>
      </c>
      <c r="AC41" s="57">
        <v>250</v>
      </c>
      <c r="AD41" s="57">
        <v>250</v>
      </c>
      <c r="AE41" s="57">
        <v>250</v>
      </c>
      <c r="AF41" s="57">
        <v>250</v>
      </c>
      <c r="AG41" s="55">
        <v>85</v>
      </c>
      <c r="AH41" s="48">
        <f t="shared" si="2"/>
        <v>250</v>
      </c>
      <c r="AI41" s="49">
        <f t="shared" si="3"/>
        <v>250</v>
      </c>
      <c r="AK41" s="50"/>
    </row>
    <row r="42" spans="1:88" ht="15.75" thickBot="1" x14ac:dyDescent="0.3">
      <c r="A42" s="58" t="s">
        <v>47</v>
      </c>
      <c r="B42" s="59">
        <v>83.1</v>
      </c>
      <c r="C42" s="59">
        <v>85.6</v>
      </c>
      <c r="D42" s="59">
        <v>84.5</v>
      </c>
      <c r="E42" s="59">
        <v>83.5</v>
      </c>
      <c r="F42" s="59">
        <v>82</v>
      </c>
      <c r="G42" s="59">
        <v>82</v>
      </c>
      <c r="H42" s="59">
        <v>82</v>
      </c>
      <c r="I42" s="59">
        <v>82</v>
      </c>
      <c r="J42" s="59">
        <v>82</v>
      </c>
      <c r="K42" s="59">
        <v>82</v>
      </c>
      <c r="L42" s="59">
        <v>82</v>
      </c>
      <c r="M42" s="57">
        <f>35.3+48.5</f>
        <v>83.8</v>
      </c>
      <c r="N42" s="57">
        <f>42.8+49</f>
        <v>91.8</v>
      </c>
      <c r="O42" s="57">
        <f>38.4+49.3</f>
        <v>87.699999999999989</v>
      </c>
      <c r="P42" s="57">
        <f>38.8+46.2</f>
        <v>85</v>
      </c>
      <c r="Q42" s="57">
        <f>37.5+50.2</f>
        <v>87.7</v>
      </c>
      <c r="R42" s="57">
        <f>35.5+49.2</f>
        <v>84.7</v>
      </c>
      <c r="S42" s="59">
        <f>36.1+48.6</f>
        <v>84.7</v>
      </c>
      <c r="T42" s="59">
        <f>35.8+47.3</f>
        <v>83.1</v>
      </c>
      <c r="U42" s="59">
        <f>35.6+44.9</f>
        <v>80.5</v>
      </c>
      <c r="V42" s="59">
        <f>36.8+47.8</f>
        <v>84.6</v>
      </c>
      <c r="W42" s="59">
        <f>37.5+45</f>
        <v>82.5</v>
      </c>
      <c r="X42" s="59">
        <v>80</v>
      </c>
      <c r="Y42" s="59">
        <f>35.2+42.6</f>
        <v>77.800000000000011</v>
      </c>
      <c r="Z42" s="59">
        <f>34.8+42.2</f>
        <v>77</v>
      </c>
      <c r="AA42" s="59">
        <f>34.8+43</f>
        <v>77.8</v>
      </c>
      <c r="AB42" s="59">
        <v>76</v>
      </c>
      <c r="AC42" s="59">
        <v>76</v>
      </c>
      <c r="AD42" s="59">
        <v>76</v>
      </c>
      <c r="AE42" s="59">
        <v>76</v>
      </c>
      <c r="AF42" s="59">
        <v>82</v>
      </c>
      <c r="AG42" s="55">
        <v>240</v>
      </c>
      <c r="AH42" s="48">
        <f t="shared" si="2"/>
        <v>91.8</v>
      </c>
      <c r="AI42" s="49">
        <f t="shared" si="3"/>
        <v>76</v>
      </c>
      <c r="AK42" s="50"/>
    </row>
    <row r="43" spans="1:88" ht="15.75" thickBot="1" x14ac:dyDescent="0.3">
      <c r="A43" s="60" t="s">
        <v>48</v>
      </c>
      <c r="B43" s="61">
        <f t="shared" ref="B43:AG43" si="4">SUM(B11:B41)</f>
        <v>607.90000000000009</v>
      </c>
      <c r="C43" s="61">
        <f t="shared" si="4"/>
        <v>607.90000000000009</v>
      </c>
      <c r="D43" s="61">
        <f t="shared" si="4"/>
        <v>607.90000000000009</v>
      </c>
      <c r="E43" s="61">
        <f t="shared" si="4"/>
        <v>608.90000000000009</v>
      </c>
      <c r="F43" s="61">
        <f t="shared" si="4"/>
        <v>641.5</v>
      </c>
      <c r="G43" s="61">
        <f t="shared" si="4"/>
        <v>641.5</v>
      </c>
      <c r="H43" s="61">
        <f t="shared" si="4"/>
        <v>644.70000000000005</v>
      </c>
      <c r="I43" s="61">
        <f t="shared" si="4"/>
        <v>644.70000000000005</v>
      </c>
      <c r="J43" s="61">
        <f t="shared" si="4"/>
        <v>644.70000000000005</v>
      </c>
      <c r="K43" s="61">
        <f t="shared" si="4"/>
        <v>644.70000000000005</v>
      </c>
      <c r="L43" s="61">
        <f t="shared" si="4"/>
        <v>644.70000000000005</v>
      </c>
      <c r="M43" s="61">
        <f t="shared" si="4"/>
        <v>645.70000000000005</v>
      </c>
      <c r="N43" s="61">
        <f t="shared" si="4"/>
        <v>645.70000000000005</v>
      </c>
      <c r="O43" s="61">
        <f t="shared" si="4"/>
        <v>644.70000000000005</v>
      </c>
      <c r="P43" s="61">
        <f t="shared" si="4"/>
        <v>642.70000000000005</v>
      </c>
      <c r="Q43" s="61">
        <f t="shared" si="4"/>
        <v>642.70000000000005</v>
      </c>
      <c r="R43" s="61">
        <f t="shared" si="4"/>
        <v>642.70000000000005</v>
      </c>
      <c r="S43" s="61">
        <f t="shared" si="4"/>
        <v>642.70000000000005</v>
      </c>
      <c r="T43" s="61">
        <f t="shared" si="4"/>
        <v>642.70000000000005</v>
      </c>
      <c r="U43" s="61">
        <f t="shared" si="4"/>
        <v>642.70000000000005</v>
      </c>
      <c r="V43" s="61">
        <f t="shared" si="4"/>
        <v>642.70000000000005</v>
      </c>
      <c r="W43" s="61">
        <f t="shared" si="4"/>
        <v>642.70000000000005</v>
      </c>
      <c r="X43" s="61">
        <f t="shared" si="4"/>
        <v>639.5</v>
      </c>
      <c r="Y43" s="61">
        <f t="shared" si="4"/>
        <v>639.5</v>
      </c>
      <c r="Z43" s="61">
        <f t="shared" si="4"/>
        <v>639.5</v>
      </c>
      <c r="AA43" s="61">
        <f t="shared" si="4"/>
        <v>639.5</v>
      </c>
      <c r="AB43" s="61">
        <f t="shared" si="4"/>
        <v>644.60000000000014</v>
      </c>
      <c r="AC43" s="61">
        <f t="shared" si="4"/>
        <v>644.60000000000014</v>
      </c>
      <c r="AD43" s="61">
        <f t="shared" si="4"/>
        <v>660.30000000000007</v>
      </c>
      <c r="AE43" s="61">
        <f t="shared" si="4"/>
        <v>663.30000000000007</v>
      </c>
      <c r="AF43" s="61">
        <f t="shared" si="4"/>
        <v>663.30000000000007</v>
      </c>
      <c r="AG43" s="62">
        <f t="shared" si="4"/>
        <v>796.78000000000009</v>
      </c>
      <c r="AH43" s="48">
        <f t="shared" si="2"/>
        <v>663.30000000000007</v>
      </c>
      <c r="AI43" s="49">
        <f t="shared" si="3"/>
        <v>607.90000000000009</v>
      </c>
      <c r="AK43" s="50"/>
    </row>
    <row r="44" spans="1:88" x14ac:dyDescent="0.25">
      <c r="A44" s="63" t="s">
        <v>49</v>
      </c>
      <c r="B44" s="45">
        <v>50</v>
      </c>
      <c r="C44" s="45">
        <v>60</v>
      </c>
      <c r="D44" s="45">
        <v>30</v>
      </c>
      <c r="E44" s="45">
        <v>15</v>
      </c>
      <c r="F44" s="45">
        <v>15</v>
      </c>
      <c r="G44" s="45">
        <v>35</v>
      </c>
      <c r="H44" s="45">
        <v>75</v>
      </c>
      <c r="I44" s="45">
        <v>140</v>
      </c>
      <c r="J44" s="45">
        <v>260</v>
      </c>
      <c r="K44" s="45">
        <v>456</v>
      </c>
      <c r="L44" s="45">
        <v>456</v>
      </c>
      <c r="M44" s="45">
        <v>456</v>
      </c>
      <c r="N44" s="45">
        <v>400</v>
      </c>
      <c r="O44" s="45">
        <v>270</v>
      </c>
      <c r="P44" s="45">
        <v>140</v>
      </c>
      <c r="Q44" s="45">
        <v>110</v>
      </c>
      <c r="R44" s="45">
        <v>60</v>
      </c>
      <c r="S44" s="45">
        <v>40</v>
      </c>
      <c r="T44" s="45">
        <v>50</v>
      </c>
      <c r="U44" s="45">
        <v>30</v>
      </c>
      <c r="V44" s="45">
        <v>228</v>
      </c>
      <c r="W44" s="45">
        <v>456</v>
      </c>
      <c r="X44" s="45">
        <v>456</v>
      </c>
      <c r="Y44" s="45">
        <v>400</v>
      </c>
      <c r="Z44" s="45">
        <v>330</v>
      </c>
      <c r="AA44" s="45">
        <v>270</v>
      </c>
      <c r="AB44" s="45">
        <v>230</v>
      </c>
      <c r="AC44" s="45">
        <v>230</v>
      </c>
      <c r="AD44" s="45">
        <v>210</v>
      </c>
      <c r="AE44" s="45">
        <v>150</v>
      </c>
      <c r="AF44" s="45">
        <v>80</v>
      </c>
      <c r="AG44" s="52">
        <v>456</v>
      </c>
      <c r="AH44" s="48">
        <f t="shared" si="2"/>
        <v>456</v>
      </c>
      <c r="AI44" s="49">
        <f t="shared" si="3"/>
        <v>15</v>
      </c>
      <c r="AK44" s="50"/>
    </row>
    <row r="45" spans="1:88" x14ac:dyDescent="0.25">
      <c r="A45" s="64" t="s">
        <v>50</v>
      </c>
      <c r="B45" s="65">
        <v>57</v>
      </c>
      <c r="C45" s="65">
        <v>57</v>
      </c>
      <c r="D45" s="65">
        <v>57</v>
      </c>
      <c r="E45" s="65">
        <v>57</v>
      </c>
      <c r="F45" s="65">
        <v>57</v>
      </c>
      <c r="G45" s="65">
        <v>57</v>
      </c>
      <c r="H45" s="65">
        <v>57</v>
      </c>
      <c r="I45" s="65">
        <v>57</v>
      </c>
      <c r="J45" s="65">
        <v>57</v>
      </c>
      <c r="K45" s="65">
        <v>57</v>
      </c>
      <c r="L45" s="65">
        <v>57</v>
      </c>
      <c r="M45" s="65">
        <v>58</v>
      </c>
      <c r="N45" s="65">
        <v>57</v>
      </c>
      <c r="O45" s="65">
        <v>57</v>
      </c>
      <c r="P45" s="65">
        <v>57</v>
      </c>
      <c r="Q45" s="65">
        <v>57</v>
      </c>
      <c r="R45" s="65">
        <v>57</v>
      </c>
      <c r="S45" s="65">
        <v>57</v>
      </c>
      <c r="T45" s="65">
        <v>57</v>
      </c>
      <c r="U45" s="65">
        <v>57</v>
      </c>
      <c r="V45" s="65">
        <v>57</v>
      </c>
      <c r="W45" s="65">
        <v>57</v>
      </c>
      <c r="X45" s="65">
        <v>57</v>
      </c>
      <c r="Y45" s="65">
        <v>57</v>
      </c>
      <c r="Z45" s="65">
        <v>57</v>
      </c>
      <c r="AA45" s="65">
        <v>57</v>
      </c>
      <c r="AB45" s="65">
        <v>57</v>
      </c>
      <c r="AC45" s="65">
        <v>57</v>
      </c>
      <c r="AD45" s="65">
        <v>57</v>
      </c>
      <c r="AE45" s="65">
        <v>57</v>
      </c>
      <c r="AF45" s="65">
        <v>57</v>
      </c>
      <c r="AG45" s="55">
        <v>60</v>
      </c>
      <c r="AH45" s="48">
        <f t="shared" si="2"/>
        <v>58</v>
      </c>
      <c r="AI45" s="49">
        <f t="shared" si="3"/>
        <v>57</v>
      </c>
      <c r="AK45" s="50"/>
    </row>
    <row r="46" spans="1:88" ht="15.75" thickBot="1" x14ac:dyDescent="0.3">
      <c r="A46" s="66" t="s">
        <v>51</v>
      </c>
      <c r="B46" s="67">
        <v>22</v>
      </c>
      <c r="C46" s="67">
        <v>22</v>
      </c>
      <c r="D46" s="67">
        <v>22</v>
      </c>
      <c r="E46" s="67">
        <v>22</v>
      </c>
      <c r="F46" s="67">
        <v>22</v>
      </c>
      <c r="G46" s="67">
        <v>22</v>
      </c>
      <c r="H46" s="67">
        <v>22</v>
      </c>
      <c r="I46" s="67">
        <v>22</v>
      </c>
      <c r="J46" s="67">
        <v>22</v>
      </c>
      <c r="K46" s="67">
        <v>22</v>
      </c>
      <c r="L46" s="67">
        <v>22</v>
      </c>
      <c r="M46" s="67">
        <v>21.9</v>
      </c>
      <c r="N46" s="67">
        <v>21.9</v>
      </c>
      <c r="O46" s="67">
        <v>21.9</v>
      </c>
      <c r="P46" s="67">
        <v>21.9</v>
      </c>
      <c r="Q46" s="67">
        <v>20.8</v>
      </c>
      <c r="R46" s="67">
        <v>20.8</v>
      </c>
      <c r="S46" s="67">
        <v>20.8</v>
      </c>
      <c r="T46" s="67">
        <v>20.8</v>
      </c>
      <c r="U46" s="67">
        <v>20.8</v>
      </c>
      <c r="V46" s="67">
        <v>20.7</v>
      </c>
      <c r="W46" s="67">
        <v>20.7</v>
      </c>
      <c r="X46" s="67">
        <v>22</v>
      </c>
      <c r="Y46" s="67">
        <v>22</v>
      </c>
      <c r="Z46" s="67">
        <v>22</v>
      </c>
      <c r="AA46" s="67">
        <v>22</v>
      </c>
      <c r="AB46" s="67">
        <v>22</v>
      </c>
      <c r="AC46" s="67">
        <v>22</v>
      </c>
      <c r="AD46" s="67">
        <v>22</v>
      </c>
      <c r="AE46" s="67">
        <v>22</v>
      </c>
      <c r="AF46" s="67">
        <v>22</v>
      </c>
      <c r="AG46" s="68">
        <v>22.1</v>
      </c>
      <c r="AH46" s="48">
        <f t="shared" si="2"/>
        <v>22</v>
      </c>
      <c r="AI46" s="49">
        <f t="shared" si="3"/>
        <v>20.7</v>
      </c>
      <c r="AK46" s="50"/>
    </row>
    <row r="47" spans="1:88" ht="15.75" thickBot="1" x14ac:dyDescent="0.3">
      <c r="A47" s="69" t="s">
        <v>52</v>
      </c>
      <c r="B47" s="61">
        <f t="shared" ref="B47" si="5">SUM(B44:B46)</f>
        <v>129</v>
      </c>
      <c r="C47" s="61">
        <f t="shared" ref="C47:AG47" si="6">SUM(C44:C46)</f>
        <v>139</v>
      </c>
      <c r="D47" s="61">
        <f t="shared" si="6"/>
        <v>109</v>
      </c>
      <c r="E47" s="61">
        <f t="shared" si="6"/>
        <v>94</v>
      </c>
      <c r="F47" s="61">
        <f t="shared" si="6"/>
        <v>94</v>
      </c>
      <c r="G47" s="61">
        <f t="shared" si="6"/>
        <v>114</v>
      </c>
      <c r="H47" s="61">
        <f t="shared" si="6"/>
        <v>154</v>
      </c>
      <c r="I47" s="61">
        <f t="shared" si="6"/>
        <v>219</v>
      </c>
      <c r="J47" s="61">
        <f t="shared" si="6"/>
        <v>339</v>
      </c>
      <c r="K47" s="61">
        <f t="shared" si="6"/>
        <v>535</v>
      </c>
      <c r="L47" s="61">
        <f t="shared" si="6"/>
        <v>535</v>
      </c>
      <c r="M47" s="61">
        <f t="shared" si="6"/>
        <v>535.9</v>
      </c>
      <c r="N47" s="61">
        <f t="shared" si="6"/>
        <v>478.9</v>
      </c>
      <c r="O47" s="61">
        <f t="shared" si="6"/>
        <v>348.9</v>
      </c>
      <c r="P47" s="61">
        <f t="shared" si="6"/>
        <v>218.9</v>
      </c>
      <c r="Q47" s="61">
        <f t="shared" si="6"/>
        <v>187.8</v>
      </c>
      <c r="R47" s="61">
        <f t="shared" si="6"/>
        <v>137.80000000000001</v>
      </c>
      <c r="S47" s="61">
        <f t="shared" si="6"/>
        <v>117.8</v>
      </c>
      <c r="T47" s="61">
        <f t="shared" si="6"/>
        <v>127.8</v>
      </c>
      <c r="U47" s="61">
        <f t="shared" si="6"/>
        <v>107.8</v>
      </c>
      <c r="V47" s="61">
        <f t="shared" si="6"/>
        <v>305.7</v>
      </c>
      <c r="W47" s="61">
        <f t="shared" si="6"/>
        <v>533.70000000000005</v>
      </c>
      <c r="X47" s="61">
        <f t="shared" si="6"/>
        <v>535</v>
      </c>
      <c r="Y47" s="61">
        <f t="shared" si="6"/>
        <v>479</v>
      </c>
      <c r="Z47" s="61">
        <f t="shared" si="6"/>
        <v>409</v>
      </c>
      <c r="AA47" s="61">
        <f t="shared" si="6"/>
        <v>349</v>
      </c>
      <c r="AB47" s="61">
        <f t="shared" si="6"/>
        <v>309</v>
      </c>
      <c r="AC47" s="61">
        <f t="shared" si="6"/>
        <v>309</v>
      </c>
      <c r="AD47" s="61">
        <f t="shared" si="6"/>
        <v>289</v>
      </c>
      <c r="AE47" s="61">
        <f t="shared" si="6"/>
        <v>229</v>
      </c>
      <c r="AF47" s="61">
        <f t="shared" si="6"/>
        <v>159</v>
      </c>
      <c r="AG47" s="62">
        <f t="shared" si="6"/>
        <v>538.1</v>
      </c>
      <c r="AH47" s="48">
        <f t="shared" si="2"/>
        <v>535.9</v>
      </c>
      <c r="AI47" s="49">
        <f t="shared" si="3"/>
        <v>94</v>
      </c>
      <c r="AK47" s="50"/>
    </row>
    <row r="48" spans="1:88" x14ac:dyDescent="0.25">
      <c r="A48" s="44" t="s">
        <v>53</v>
      </c>
      <c r="B48" s="45">
        <v>115.9</v>
      </c>
      <c r="C48" s="45">
        <v>101.3</v>
      </c>
      <c r="D48" s="45">
        <v>91.2</v>
      </c>
      <c r="E48" s="45">
        <v>81.3</v>
      </c>
      <c r="F48" s="45">
        <v>66.599999999999994</v>
      </c>
      <c r="G48" s="45">
        <v>78.2</v>
      </c>
      <c r="H48" s="45">
        <v>101.5</v>
      </c>
      <c r="I48" s="45">
        <v>143.6</v>
      </c>
      <c r="J48" s="45">
        <v>143.6</v>
      </c>
      <c r="K48" s="45">
        <v>143.80000000000001</v>
      </c>
      <c r="L48" s="45">
        <v>143.80000000000001</v>
      </c>
      <c r="M48" s="45">
        <v>143.80000000000001</v>
      </c>
      <c r="N48" s="45">
        <v>143.5</v>
      </c>
      <c r="O48" s="45">
        <v>143.5</v>
      </c>
      <c r="P48" s="45">
        <v>143.5</v>
      </c>
      <c r="Q48" s="45">
        <v>143.19999999999999</v>
      </c>
      <c r="R48" s="45">
        <v>143.19999999999999</v>
      </c>
      <c r="S48" s="45">
        <v>143.19999999999999</v>
      </c>
      <c r="T48" s="45">
        <v>143.19999999999999</v>
      </c>
      <c r="U48" s="45">
        <v>143.19999999999999</v>
      </c>
      <c r="V48" s="45">
        <v>143.19999999999999</v>
      </c>
      <c r="W48" s="45">
        <v>143.19999999999999</v>
      </c>
      <c r="X48" s="45">
        <v>143.19999999999999</v>
      </c>
      <c r="Y48" s="45">
        <v>143.19999999999999</v>
      </c>
      <c r="Z48" s="45">
        <v>143.19999999999999</v>
      </c>
      <c r="AA48" s="45">
        <v>143.19999999999999</v>
      </c>
      <c r="AB48" s="45">
        <v>140.5</v>
      </c>
      <c r="AC48" s="45">
        <v>140.5</v>
      </c>
      <c r="AD48" s="45">
        <v>140.5</v>
      </c>
      <c r="AE48" s="45">
        <v>80</v>
      </c>
      <c r="AF48" s="45">
        <v>60</v>
      </c>
      <c r="AG48" s="52">
        <v>144</v>
      </c>
      <c r="AH48" s="48">
        <f t="shared" si="2"/>
        <v>143.80000000000001</v>
      </c>
      <c r="AI48" s="49">
        <f t="shared" si="3"/>
        <v>60</v>
      </c>
      <c r="AK48" s="50"/>
    </row>
    <row r="49" spans="1:41" x14ac:dyDescent="0.25">
      <c r="A49" s="54" t="s">
        <v>54</v>
      </c>
      <c r="B49" s="65">
        <v>35.1</v>
      </c>
      <c r="C49" s="65">
        <v>35.4</v>
      </c>
      <c r="D49" s="65">
        <v>25.5</v>
      </c>
      <c r="E49" s="65">
        <v>26</v>
      </c>
      <c r="F49" s="65">
        <v>46.9</v>
      </c>
      <c r="G49" s="65">
        <v>51</v>
      </c>
      <c r="H49" s="65">
        <v>71</v>
      </c>
      <c r="I49" s="65">
        <v>70.3</v>
      </c>
      <c r="J49" s="65">
        <v>70.3</v>
      </c>
      <c r="K49" s="65">
        <v>70.599999999999994</v>
      </c>
      <c r="L49" s="65">
        <v>70.599999999999994</v>
      </c>
      <c r="M49" s="65">
        <v>70.599999999999994</v>
      </c>
      <c r="N49" s="45">
        <v>71.2</v>
      </c>
      <c r="O49" s="45">
        <v>71.2</v>
      </c>
      <c r="P49" s="45">
        <v>71.2</v>
      </c>
      <c r="Q49" s="45">
        <v>72.099999999999994</v>
      </c>
      <c r="R49" s="45">
        <v>70</v>
      </c>
      <c r="S49" s="45">
        <v>70</v>
      </c>
      <c r="T49" s="45">
        <v>70</v>
      </c>
      <c r="U49" s="45">
        <v>70</v>
      </c>
      <c r="V49" s="45">
        <v>70</v>
      </c>
      <c r="W49" s="45">
        <v>70</v>
      </c>
      <c r="X49" s="65">
        <v>70</v>
      </c>
      <c r="Y49" s="65">
        <v>70</v>
      </c>
      <c r="Z49" s="65">
        <v>70</v>
      </c>
      <c r="AA49" s="65">
        <v>70</v>
      </c>
      <c r="AB49" s="65">
        <v>71.599999999999994</v>
      </c>
      <c r="AC49" s="65">
        <v>71.599999999999994</v>
      </c>
      <c r="AD49" s="65">
        <v>59.3</v>
      </c>
      <c r="AE49" s="65">
        <v>60</v>
      </c>
      <c r="AF49" s="65">
        <v>24</v>
      </c>
      <c r="AG49" s="55">
        <v>70</v>
      </c>
      <c r="AH49" s="48">
        <f t="shared" si="2"/>
        <v>72.099999999999994</v>
      </c>
      <c r="AI49" s="49">
        <f t="shared" si="3"/>
        <v>24</v>
      </c>
      <c r="AK49" s="50"/>
    </row>
    <row r="50" spans="1:41" x14ac:dyDescent="0.25">
      <c r="A50" s="54" t="s">
        <v>55</v>
      </c>
      <c r="B50" s="65">
        <v>69.599999999999994</v>
      </c>
      <c r="C50" s="65">
        <v>58.7</v>
      </c>
      <c r="D50" s="65">
        <v>70.5</v>
      </c>
      <c r="E50" s="65">
        <v>69.5</v>
      </c>
      <c r="F50" s="65">
        <v>52</v>
      </c>
      <c r="G50" s="65">
        <v>69.7</v>
      </c>
      <c r="H50" s="65">
        <v>70.5</v>
      </c>
      <c r="I50" s="65">
        <v>69.099999999999994</v>
      </c>
      <c r="J50" s="65">
        <v>69.099999999999994</v>
      </c>
      <c r="K50" s="65">
        <v>68.900000000000006</v>
      </c>
      <c r="L50" s="65">
        <v>68.900000000000006</v>
      </c>
      <c r="M50" s="65">
        <v>68.900000000000006</v>
      </c>
      <c r="N50" s="45">
        <v>68.400000000000006</v>
      </c>
      <c r="O50" s="45">
        <v>68.400000000000006</v>
      </c>
      <c r="P50" s="45">
        <v>68.400000000000006</v>
      </c>
      <c r="Q50" s="45">
        <v>68.5</v>
      </c>
      <c r="R50" s="45">
        <v>68.3</v>
      </c>
      <c r="S50" s="45">
        <v>68.3</v>
      </c>
      <c r="T50" s="45">
        <v>68.3</v>
      </c>
      <c r="U50" s="45">
        <v>68.3</v>
      </c>
      <c r="V50" s="45">
        <v>68.3</v>
      </c>
      <c r="W50" s="45">
        <v>68.3</v>
      </c>
      <c r="X50" s="65">
        <v>68.3</v>
      </c>
      <c r="Y50" s="65">
        <v>68.3</v>
      </c>
      <c r="Z50" s="65">
        <v>68.3</v>
      </c>
      <c r="AA50" s="65">
        <v>68.3</v>
      </c>
      <c r="AB50" s="65">
        <v>68</v>
      </c>
      <c r="AC50" s="65">
        <v>68</v>
      </c>
      <c r="AD50" s="65">
        <v>67.7</v>
      </c>
      <c r="AE50" s="65">
        <v>67.8</v>
      </c>
      <c r="AF50" s="65">
        <v>55</v>
      </c>
      <c r="AG50" s="55">
        <v>69</v>
      </c>
      <c r="AH50" s="48">
        <f t="shared" si="2"/>
        <v>70.5</v>
      </c>
      <c r="AI50" s="49">
        <f t="shared" si="3"/>
        <v>52</v>
      </c>
      <c r="AK50" s="50"/>
    </row>
    <row r="51" spans="1:41" x14ac:dyDescent="0.25">
      <c r="A51" s="54" t="s">
        <v>56</v>
      </c>
      <c r="B51" s="65">
        <v>60.9</v>
      </c>
      <c r="C51" s="65">
        <v>60.9</v>
      </c>
      <c r="D51" s="65">
        <v>60.9</v>
      </c>
      <c r="E51" s="57">
        <v>60.9</v>
      </c>
      <c r="F51" s="57">
        <v>60.9</v>
      </c>
      <c r="G51" s="57">
        <v>60.9</v>
      </c>
      <c r="H51" s="57">
        <v>60.9</v>
      </c>
      <c r="I51" s="57">
        <v>60.9</v>
      </c>
      <c r="J51" s="57">
        <v>60.9</v>
      </c>
      <c r="K51" s="57">
        <v>60.9</v>
      </c>
      <c r="L51" s="57">
        <v>60.9</v>
      </c>
      <c r="M51" s="57">
        <v>60.9</v>
      </c>
      <c r="N51" s="57">
        <v>60.9</v>
      </c>
      <c r="O51" s="57">
        <v>60.9</v>
      </c>
      <c r="P51" s="57">
        <v>60.9</v>
      </c>
      <c r="Q51" s="45">
        <v>60.9</v>
      </c>
      <c r="R51" s="45">
        <v>60.9</v>
      </c>
      <c r="S51" s="45">
        <v>60.9</v>
      </c>
      <c r="T51" s="45">
        <v>60.9</v>
      </c>
      <c r="U51" s="45">
        <v>60.9</v>
      </c>
      <c r="V51" s="45">
        <v>60.9</v>
      </c>
      <c r="W51" s="45">
        <v>60.9</v>
      </c>
      <c r="X51" s="65">
        <v>60.9</v>
      </c>
      <c r="Y51" s="65">
        <v>60.9</v>
      </c>
      <c r="Z51" s="65">
        <v>60.9</v>
      </c>
      <c r="AA51" s="65">
        <v>60.9</v>
      </c>
      <c r="AB51" s="65">
        <v>60.9</v>
      </c>
      <c r="AC51" s="65">
        <v>60.9</v>
      </c>
      <c r="AD51" s="65">
        <v>60.9</v>
      </c>
      <c r="AE51" s="65">
        <v>60.9</v>
      </c>
      <c r="AF51" s="57">
        <v>60.9</v>
      </c>
      <c r="AG51" s="55">
        <v>60</v>
      </c>
      <c r="AH51" s="48">
        <f t="shared" si="2"/>
        <v>60.9</v>
      </c>
      <c r="AI51" s="49">
        <f t="shared" si="3"/>
        <v>60.9</v>
      </c>
      <c r="AK51" s="50"/>
    </row>
    <row r="52" spans="1:41" x14ac:dyDescent="0.25">
      <c r="A52" s="54" t="s">
        <v>57</v>
      </c>
      <c r="B52" s="65">
        <v>0</v>
      </c>
      <c r="C52" s="65">
        <v>0</v>
      </c>
      <c r="D52" s="65">
        <v>0</v>
      </c>
      <c r="E52" s="57">
        <v>0</v>
      </c>
      <c r="F52" s="57">
        <v>0</v>
      </c>
      <c r="G52" s="57">
        <v>0</v>
      </c>
      <c r="H52" s="57">
        <v>0</v>
      </c>
      <c r="I52" s="57">
        <v>15.4</v>
      </c>
      <c r="J52" s="57">
        <v>29.6</v>
      </c>
      <c r="K52" s="57">
        <v>29.3</v>
      </c>
      <c r="L52" s="57">
        <v>29.3</v>
      </c>
      <c r="M52" s="57">
        <v>29.3</v>
      </c>
      <c r="N52" s="45">
        <v>14.7</v>
      </c>
      <c r="O52" s="45">
        <v>14.7</v>
      </c>
      <c r="P52" s="45">
        <v>0</v>
      </c>
      <c r="Q52" s="45">
        <v>0</v>
      </c>
      <c r="R52" s="45">
        <v>0</v>
      </c>
      <c r="S52" s="45">
        <v>0</v>
      </c>
      <c r="T52" s="45">
        <v>0</v>
      </c>
      <c r="U52" s="45">
        <v>0</v>
      </c>
      <c r="V52" s="45">
        <v>15</v>
      </c>
      <c r="W52" s="45">
        <v>30</v>
      </c>
      <c r="X52" s="65">
        <v>29.5</v>
      </c>
      <c r="Y52" s="65">
        <v>29.5</v>
      </c>
      <c r="Z52" s="65">
        <v>29.5</v>
      </c>
      <c r="AA52" s="65">
        <v>29.5</v>
      </c>
      <c r="AB52" s="65">
        <v>15</v>
      </c>
      <c r="AC52" s="65">
        <v>15</v>
      </c>
      <c r="AD52" s="65">
        <v>15</v>
      </c>
      <c r="AE52" s="65">
        <v>15</v>
      </c>
      <c r="AF52" s="57">
        <v>0</v>
      </c>
      <c r="AG52" s="55">
        <v>30</v>
      </c>
      <c r="AH52" s="48">
        <f t="shared" si="2"/>
        <v>30</v>
      </c>
      <c r="AI52" s="49">
        <f t="shared" si="3"/>
        <v>0</v>
      </c>
      <c r="AK52" s="50"/>
    </row>
    <row r="53" spans="1:41" x14ac:dyDescent="0.25">
      <c r="A53" s="54" t="s">
        <v>58</v>
      </c>
      <c r="B53" s="45">
        <v>0</v>
      </c>
      <c r="C53" s="45">
        <v>0</v>
      </c>
      <c r="D53" s="4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4</v>
      </c>
      <c r="N53" s="65">
        <v>5</v>
      </c>
      <c r="O53" s="65">
        <v>8</v>
      </c>
      <c r="P53" s="65">
        <v>10</v>
      </c>
      <c r="Q53" s="65">
        <v>10</v>
      </c>
      <c r="R53" s="65">
        <v>10</v>
      </c>
      <c r="S53" s="65">
        <v>10</v>
      </c>
      <c r="T53" s="65">
        <v>10</v>
      </c>
      <c r="U53" s="65">
        <v>10</v>
      </c>
      <c r="V53" s="65">
        <v>10</v>
      </c>
      <c r="W53" s="6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65">
        <v>0</v>
      </c>
      <c r="AG53" s="55">
        <v>25</v>
      </c>
      <c r="AH53" s="48">
        <f t="shared" si="2"/>
        <v>10</v>
      </c>
      <c r="AI53" s="49">
        <f t="shared" si="3"/>
        <v>0</v>
      </c>
      <c r="AK53" s="50"/>
    </row>
    <row r="54" spans="1:41" x14ac:dyDescent="0.25">
      <c r="A54" s="54" t="s">
        <v>59</v>
      </c>
      <c r="B54" s="45">
        <v>17.600000000000001</v>
      </c>
      <c r="C54" s="45">
        <v>17.600000000000001</v>
      </c>
      <c r="D54" s="45">
        <v>17.600000000000001</v>
      </c>
      <c r="E54" s="45">
        <v>17.600000000000001</v>
      </c>
      <c r="F54" s="45">
        <v>17.600000000000001</v>
      </c>
      <c r="G54" s="45">
        <v>17.600000000000001</v>
      </c>
      <c r="H54" s="45">
        <v>17.600000000000001</v>
      </c>
      <c r="I54" s="45">
        <v>17.600000000000001</v>
      </c>
      <c r="J54" s="45">
        <v>17.600000000000001</v>
      </c>
      <c r="K54" s="45">
        <v>17.600000000000001</v>
      </c>
      <c r="L54" s="45">
        <v>17.600000000000001</v>
      </c>
      <c r="M54" s="45">
        <v>17.600000000000001</v>
      </c>
      <c r="N54" s="65">
        <v>17.5</v>
      </c>
      <c r="O54" s="65">
        <v>17.5</v>
      </c>
      <c r="P54" s="65">
        <v>17.5</v>
      </c>
      <c r="Q54" s="65">
        <v>17.5</v>
      </c>
      <c r="R54" s="65">
        <v>17.5</v>
      </c>
      <c r="S54" s="65">
        <v>17.5</v>
      </c>
      <c r="T54" s="65">
        <v>17.5</v>
      </c>
      <c r="U54" s="65">
        <v>17.5</v>
      </c>
      <c r="V54" s="65">
        <v>17.5</v>
      </c>
      <c r="W54" s="65">
        <v>17.5</v>
      </c>
      <c r="X54" s="45">
        <v>17.5</v>
      </c>
      <c r="Y54" s="45">
        <v>17.5</v>
      </c>
      <c r="Z54" s="45">
        <v>17.5</v>
      </c>
      <c r="AA54" s="45">
        <v>17.5</v>
      </c>
      <c r="AB54" s="45">
        <v>17.5</v>
      </c>
      <c r="AC54" s="45">
        <v>17.5</v>
      </c>
      <c r="AD54" s="45">
        <v>17.5</v>
      </c>
      <c r="AE54" s="45">
        <v>17.5</v>
      </c>
      <c r="AF54" s="45">
        <v>17.5</v>
      </c>
      <c r="AG54" s="55">
        <v>24</v>
      </c>
      <c r="AH54" s="48">
        <f t="shared" si="2"/>
        <v>17.600000000000001</v>
      </c>
      <c r="AI54" s="49">
        <f t="shared" si="3"/>
        <v>17.5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14.2</v>
      </c>
      <c r="C56" s="65">
        <v>14.2</v>
      </c>
      <c r="D56" s="65">
        <v>14.2</v>
      </c>
      <c r="E56" s="65">
        <v>14.2</v>
      </c>
      <c r="F56" s="65">
        <v>14.2</v>
      </c>
      <c r="G56" s="65">
        <v>14.2</v>
      </c>
      <c r="H56" s="65">
        <v>14.2</v>
      </c>
      <c r="I56" s="65">
        <v>14.2</v>
      </c>
      <c r="J56" s="65">
        <v>14.2</v>
      </c>
      <c r="K56" s="65">
        <v>14.2</v>
      </c>
      <c r="L56" s="65">
        <v>14.2</v>
      </c>
      <c r="M56" s="65">
        <v>14.2</v>
      </c>
      <c r="N56" s="65">
        <v>14.3</v>
      </c>
      <c r="O56" s="65">
        <v>14.3</v>
      </c>
      <c r="P56" s="65">
        <v>14.3</v>
      </c>
      <c r="Q56" s="65">
        <v>14.3</v>
      </c>
      <c r="R56" s="65">
        <v>14.3</v>
      </c>
      <c r="S56" s="65">
        <v>14.3</v>
      </c>
      <c r="T56" s="65">
        <v>14.3</v>
      </c>
      <c r="U56" s="65">
        <v>14.3</v>
      </c>
      <c r="V56" s="65">
        <v>14.3</v>
      </c>
      <c r="W56" s="65">
        <v>14.3</v>
      </c>
      <c r="X56" s="65">
        <v>14.3</v>
      </c>
      <c r="Y56" s="65">
        <v>14.3</v>
      </c>
      <c r="Z56" s="65">
        <v>14.3</v>
      </c>
      <c r="AA56" s="65">
        <v>14.3</v>
      </c>
      <c r="AB56" s="65">
        <v>14.3</v>
      </c>
      <c r="AC56" s="65">
        <v>14.3</v>
      </c>
      <c r="AD56" s="65">
        <v>14.3</v>
      </c>
      <c r="AE56" s="65">
        <v>14.3</v>
      </c>
      <c r="AF56" s="65">
        <v>14.3</v>
      </c>
      <c r="AG56" s="55">
        <v>14.1</v>
      </c>
      <c r="AH56" s="48">
        <f t="shared" si="2"/>
        <v>14.3</v>
      </c>
      <c r="AI56" s="49">
        <f t="shared" si="3"/>
        <v>14.2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9.3000000000000007</v>
      </c>
      <c r="C57" s="65">
        <v>9.3000000000000007</v>
      </c>
      <c r="D57" s="65">
        <v>9.3000000000000007</v>
      </c>
      <c r="E57" s="65">
        <v>9.3000000000000007</v>
      </c>
      <c r="F57" s="65">
        <v>9.3000000000000007</v>
      </c>
      <c r="G57" s="65">
        <v>9.3000000000000007</v>
      </c>
      <c r="H57" s="65">
        <v>9.3000000000000007</v>
      </c>
      <c r="I57" s="65">
        <v>9.3000000000000007</v>
      </c>
      <c r="J57" s="65">
        <v>9.3000000000000007</v>
      </c>
      <c r="K57" s="65">
        <v>9.3000000000000007</v>
      </c>
      <c r="L57" s="65">
        <v>9.3000000000000007</v>
      </c>
      <c r="M57" s="65">
        <v>9.3000000000000007</v>
      </c>
      <c r="N57" s="65">
        <v>8.8000000000000007</v>
      </c>
      <c r="O57" s="65">
        <v>8.8000000000000007</v>
      </c>
      <c r="P57" s="65">
        <v>8.8000000000000007</v>
      </c>
      <c r="Q57" s="65">
        <v>8.8000000000000007</v>
      </c>
      <c r="R57" s="65">
        <v>8.8000000000000007</v>
      </c>
      <c r="S57" s="65">
        <v>8.8000000000000007</v>
      </c>
      <c r="T57" s="65">
        <v>8.8000000000000007</v>
      </c>
      <c r="U57" s="65">
        <v>8.8000000000000007</v>
      </c>
      <c r="V57" s="65">
        <v>8.8000000000000007</v>
      </c>
      <c r="W57" s="65">
        <v>8.8000000000000007</v>
      </c>
      <c r="X57" s="65">
        <v>8.1</v>
      </c>
      <c r="Y57" s="65">
        <v>8.1</v>
      </c>
      <c r="Z57" s="65">
        <v>8.1</v>
      </c>
      <c r="AA57" s="65">
        <v>8.1</v>
      </c>
      <c r="AB57" s="65">
        <v>8.1</v>
      </c>
      <c r="AC57" s="65">
        <v>8.1</v>
      </c>
      <c r="AD57" s="65">
        <v>8.1</v>
      </c>
      <c r="AE57" s="65">
        <v>8.1</v>
      </c>
      <c r="AF57" s="65">
        <v>8.1</v>
      </c>
      <c r="AG57" s="55">
        <v>14</v>
      </c>
      <c r="AH57" s="48">
        <f t="shared" si="2"/>
        <v>9.3000000000000007</v>
      </c>
      <c r="AI57" s="49">
        <f t="shared" si="3"/>
        <v>8.1</v>
      </c>
      <c r="AK57" s="50"/>
    </row>
    <row r="58" spans="1:41" x14ac:dyDescent="0.25">
      <c r="A58" s="54" t="s">
        <v>63</v>
      </c>
      <c r="B58" s="65">
        <v>8.6</v>
      </c>
      <c r="C58" s="65">
        <v>8.6</v>
      </c>
      <c r="D58" s="65">
        <v>8.6</v>
      </c>
      <c r="E58" s="65">
        <v>8.6</v>
      </c>
      <c r="F58" s="65">
        <v>8.6</v>
      </c>
      <c r="G58" s="65">
        <v>8.6</v>
      </c>
      <c r="H58" s="65">
        <v>8.6</v>
      </c>
      <c r="I58" s="65">
        <v>8.6</v>
      </c>
      <c r="J58" s="65">
        <v>8.6</v>
      </c>
      <c r="K58" s="65">
        <v>8.6</v>
      </c>
      <c r="L58" s="65">
        <v>8.6</v>
      </c>
      <c r="M58" s="65">
        <v>8.6</v>
      </c>
      <c r="N58" s="65">
        <v>8.6</v>
      </c>
      <c r="O58" s="65">
        <v>8.6</v>
      </c>
      <c r="P58" s="65">
        <v>8.6</v>
      </c>
      <c r="Q58" s="65">
        <v>8.6</v>
      </c>
      <c r="R58" s="65">
        <v>8.6</v>
      </c>
      <c r="S58" s="65">
        <v>8.6</v>
      </c>
      <c r="T58" s="65">
        <v>8.6</v>
      </c>
      <c r="U58" s="65">
        <v>8.6</v>
      </c>
      <c r="V58" s="65">
        <v>8.6</v>
      </c>
      <c r="W58" s="65">
        <v>8.6</v>
      </c>
      <c r="X58" s="65">
        <v>8.6</v>
      </c>
      <c r="Y58" s="65">
        <v>8.6</v>
      </c>
      <c r="Z58" s="65">
        <v>8.6</v>
      </c>
      <c r="AA58" s="65">
        <v>8.6</v>
      </c>
      <c r="AB58" s="65">
        <v>8.6</v>
      </c>
      <c r="AC58" s="65">
        <v>8.6</v>
      </c>
      <c r="AD58" s="65">
        <v>8.6</v>
      </c>
      <c r="AE58" s="65">
        <v>8.6</v>
      </c>
      <c r="AF58" s="65">
        <v>8.6</v>
      </c>
      <c r="AG58" s="55">
        <v>10.050000000000001</v>
      </c>
      <c r="AH58" s="48">
        <f t="shared" si="2"/>
        <v>8.6</v>
      </c>
      <c r="AI58" s="49">
        <f t="shared" si="3"/>
        <v>8.6</v>
      </c>
      <c r="AK58" s="50"/>
    </row>
    <row r="59" spans="1:41" x14ac:dyDescent="0.25">
      <c r="A59" s="54" t="s">
        <v>64</v>
      </c>
      <c r="B59" s="65">
        <v>4.5999999999999996</v>
      </c>
      <c r="C59" s="65">
        <v>4.5999999999999996</v>
      </c>
      <c r="D59" s="65">
        <v>4.5999999999999996</v>
      </c>
      <c r="E59" s="65">
        <v>4.5999999999999996</v>
      </c>
      <c r="F59" s="65">
        <v>4.5999999999999996</v>
      </c>
      <c r="G59" s="65">
        <v>4.5999999999999996</v>
      </c>
      <c r="H59" s="65">
        <v>4.5999999999999996</v>
      </c>
      <c r="I59" s="65">
        <v>4.5999999999999996</v>
      </c>
      <c r="J59" s="65">
        <v>4.5999999999999996</v>
      </c>
      <c r="K59" s="65">
        <v>4.5999999999999996</v>
      </c>
      <c r="L59" s="65">
        <v>4.5999999999999996</v>
      </c>
      <c r="M59" s="65">
        <v>4.5999999999999996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5">
        <v>6.2</v>
      </c>
      <c r="AH59" s="48">
        <f t="shared" si="2"/>
        <v>4.5999999999999996</v>
      </c>
      <c r="AI59" s="49">
        <f t="shared" si="3"/>
        <v>4.2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" si="7">SUM(B48:B60)</f>
        <v>339.34000000000009</v>
      </c>
      <c r="C61" s="61">
        <f t="shared" ref="C61:AG61" si="8">SUM(C48:C60)</f>
        <v>314.14000000000004</v>
      </c>
      <c r="D61" s="61">
        <f t="shared" si="8"/>
        <v>305.94000000000005</v>
      </c>
      <c r="E61" s="61">
        <f t="shared" si="8"/>
        <v>295.54000000000008</v>
      </c>
      <c r="F61" s="61">
        <f t="shared" si="8"/>
        <v>284.24000000000007</v>
      </c>
      <c r="G61" s="61">
        <f t="shared" si="8"/>
        <v>317.64000000000004</v>
      </c>
      <c r="H61" s="61">
        <f t="shared" si="8"/>
        <v>361.74000000000007</v>
      </c>
      <c r="I61" s="61">
        <f t="shared" si="8"/>
        <v>417.14000000000004</v>
      </c>
      <c r="J61" s="61">
        <f t="shared" si="8"/>
        <v>431.34000000000009</v>
      </c>
      <c r="K61" s="61">
        <f t="shared" si="8"/>
        <v>431.34000000000009</v>
      </c>
      <c r="L61" s="61">
        <f t="shared" si="8"/>
        <v>431.34000000000009</v>
      </c>
      <c r="M61" s="61">
        <f t="shared" si="8"/>
        <v>435.34000000000009</v>
      </c>
      <c r="N61" s="61">
        <f t="shared" si="8"/>
        <v>420.64000000000004</v>
      </c>
      <c r="O61" s="61">
        <f t="shared" si="8"/>
        <v>423.64000000000004</v>
      </c>
      <c r="P61" s="61">
        <f t="shared" si="8"/>
        <v>410.94000000000005</v>
      </c>
      <c r="Q61" s="61">
        <f t="shared" si="8"/>
        <v>411.64</v>
      </c>
      <c r="R61" s="61">
        <f t="shared" si="8"/>
        <v>409.34000000000003</v>
      </c>
      <c r="S61" s="61">
        <f t="shared" si="8"/>
        <v>409.34000000000003</v>
      </c>
      <c r="T61" s="61">
        <f t="shared" si="8"/>
        <v>409.34000000000003</v>
      </c>
      <c r="U61" s="61">
        <f t="shared" si="8"/>
        <v>409.34000000000003</v>
      </c>
      <c r="V61" s="61">
        <f t="shared" si="8"/>
        <v>424.34000000000003</v>
      </c>
      <c r="W61" s="61">
        <f t="shared" si="8"/>
        <v>429.34000000000003</v>
      </c>
      <c r="X61" s="61">
        <f t="shared" si="8"/>
        <v>428.14000000000004</v>
      </c>
      <c r="Y61" s="61">
        <f t="shared" si="8"/>
        <v>428.14000000000004</v>
      </c>
      <c r="Z61" s="61">
        <f t="shared" si="8"/>
        <v>428.14000000000004</v>
      </c>
      <c r="AA61" s="61">
        <f t="shared" si="8"/>
        <v>428.14000000000004</v>
      </c>
      <c r="AB61" s="61">
        <f t="shared" si="8"/>
        <v>412.24000000000007</v>
      </c>
      <c r="AC61" s="61">
        <f t="shared" si="8"/>
        <v>412.24000000000007</v>
      </c>
      <c r="AD61" s="61">
        <f t="shared" si="8"/>
        <v>399.64000000000004</v>
      </c>
      <c r="AE61" s="61">
        <f t="shared" si="8"/>
        <v>339.94000000000005</v>
      </c>
      <c r="AF61" s="61">
        <f t="shared" si="8"/>
        <v>256.14</v>
      </c>
      <c r="AG61" s="62">
        <f t="shared" si="8"/>
        <v>489.91</v>
      </c>
      <c r="AH61" s="48">
        <f t="shared" si="2"/>
        <v>435.34000000000009</v>
      </c>
      <c r="AI61" s="49">
        <f t="shared" si="3"/>
        <v>256.14</v>
      </c>
      <c r="AK61" s="50"/>
    </row>
    <row r="62" spans="1:41" x14ac:dyDescent="0.25">
      <c r="A62" s="44" t="s">
        <v>67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>
        <v>45.2</v>
      </c>
      <c r="N62" s="45">
        <v>26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14.2</v>
      </c>
      <c r="W62" s="45">
        <v>59.7</v>
      </c>
      <c r="X62" s="45">
        <v>59.7</v>
      </c>
      <c r="Y62" s="45">
        <v>59.7</v>
      </c>
      <c r="Z62" s="45">
        <v>59.7</v>
      </c>
      <c r="AA62" s="45">
        <v>59.7</v>
      </c>
      <c r="AB62" s="45">
        <v>59.8</v>
      </c>
      <c r="AC62" s="45">
        <v>59.8</v>
      </c>
      <c r="AD62" s="45">
        <v>26</v>
      </c>
      <c r="AE62" s="45">
        <v>0</v>
      </c>
      <c r="AF62" s="45">
        <v>0</v>
      </c>
      <c r="AG62" s="52">
        <v>60</v>
      </c>
      <c r="AH62" s="48">
        <f t="shared" si="2"/>
        <v>59.8</v>
      </c>
      <c r="AI62" s="49">
        <f t="shared" si="3"/>
        <v>0</v>
      </c>
      <c r="AK62" s="50"/>
    </row>
    <row r="63" spans="1:41" x14ac:dyDescent="0.25">
      <c r="A63" s="54" t="s">
        <v>68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>
        <v>22</v>
      </c>
      <c r="N63" s="65">
        <v>12.4</v>
      </c>
      <c r="O63" s="65">
        <v>3.9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6.3</v>
      </c>
      <c r="W63" s="65">
        <v>28.7</v>
      </c>
      <c r="X63" s="65">
        <v>28.7</v>
      </c>
      <c r="Y63" s="65">
        <v>28.7</v>
      </c>
      <c r="Z63" s="65">
        <v>28.7</v>
      </c>
      <c r="AA63" s="65">
        <v>28.7</v>
      </c>
      <c r="AB63" s="65">
        <v>29.2</v>
      </c>
      <c r="AC63" s="65">
        <v>29.2</v>
      </c>
      <c r="AD63" s="65">
        <v>13</v>
      </c>
      <c r="AE63" s="65">
        <v>0</v>
      </c>
      <c r="AF63" s="65">
        <v>0</v>
      </c>
      <c r="AG63" s="55">
        <v>32</v>
      </c>
      <c r="AH63" s="48">
        <f t="shared" si="2"/>
        <v>29.2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>
        <v>8</v>
      </c>
      <c r="N64" s="67">
        <v>4.5</v>
      </c>
      <c r="O64" s="67">
        <v>1.4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2.2999999999999998</v>
      </c>
      <c r="W64" s="67">
        <v>10.5</v>
      </c>
      <c r="X64" s="67">
        <v>10.5</v>
      </c>
      <c r="Y64" s="67">
        <v>10.5</v>
      </c>
      <c r="Z64" s="67">
        <v>10.5</v>
      </c>
      <c r="AA64" s="67">
        <v>10.5</v>
      </c>
      <c r="AB64" s="67">
        <v>10.6</v>
      </c>
      <c r="AC64" s="67">
        <v>10.6</v>
      </c>
      <c r="AD64" s="67">
        <v>5</v>
      </c>
      <c r="AE64" s="67">
        <v>0</v>
      </c>
      <c r="AF64" s="67">
        <v>0</v>
      </c>
      <c r="AG64" s="68">
        <v>14</v>
      </c>
      <c r="AH64" s="48">
        <f t="shared" si="2"/>
        <v>10.6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" si="9">SUM(B62:B64)</f>
        <v>0</v>
      </c>
      <c r="C65" s="61">
        <f t="shared" ref="C65:AG65" si="10">SUM(C62:C64)</f>
        <v>0</v>
      </c>
      <c r="D65" s="61">
        <f t="shared" si="10"/>
        <v>0</v>
      </c>
      <c r="E65" s="61">
        <f t="shared" si="10"/>
        <v>0</v>
      </c>
      <c r="F65" s="61">
        <f t="shared" si="10"/>
        <v>0</v>
      </c>
      <c r="G65" s="61">
        <f t="shared" si="10"/>
        <v>0</v>
      </c>
      <c r="H65" s="61">
        <f t="shared" si="10"/>
        <v>0</v>
      </c>
      <c r="I65" s="61">
        <f t="shared" si="10"/>
        <v>0</v>
      </c>
      <c r="J65" s="61">
        <f t="shared" si="10"/>
        <v>0</v>
      </c>
      <c r="K65" s="61">
        <f t="shared" si="10"/>
        <v>0</v>
      </c>
      <c r="L65" s="61">
        <f t="shared" si="10"/>
        <v>0</v>
      </c>
      <c r="M65" s="61">
        <f t="shared" si="10"/>
        <v>75.2</v>
      </c>
      <c r="N65" s="61">
        <f t="shared" si="10"/>
        <v>42.9</v>
      </c>
      <c r="O65" s="61">
        <f t="shared" si="10"/>
        <v>5.3</v>
      </c>
      <c r="P65" s="61">
        <f t="shared" si="10"/>
        <v>0</v>
      </c>
      <c r="Q65" s="61">
        <f t="shared" si="10"/>
        <v>0</v>
      </c>
      <c r="R65" s="61">
        <f t="shared" si="10"/>
        <v>0</v>
      </c>
      <c r="S65" s="61">
        <f t="shared" si="10"/>
        <v>0</v>
      </c>
      <c r="T65" s="61">
        <f t="shared" si="10"/>
        <v>0</v>
      </c>
      <c r="U65" s="61">
        <f t="shared" si="10"/>
        <v>0</v>
      </c>
      <c r="V65" s="61">
        <f t="shared" si="10"/>
        <v>22.8</v>
      </c>
      <c r="W65" s="61">
        <f t="shared" si="10"/>
        <v>98.9</v>
      </c>
      <c r="X65" s="61">
        <f t="shared" si="10"/>
        <v>98.9</v>
      </c>
      <c r="Y65" s="61">
        <f t="shared" si="10"/>
        <v>98.9</v>
      </c>
      <c r="Z65" s="61">
        <f t="shared" si="10"/>
        <v>98.9</v>
      </c>
      <c r="AA65" s="61">
        <f t="shared" si="10"/>
        <v>98.9</v>
      </c>
      <c r="AB65" s="61">
        <f t="shared" si="10"/>
        <v>99.6</v>
      </c>
      <c r="AC65" s="61">
        <f t="shared" si="10"/>
        <v>99.6</v>
      </c>
      <c r="AD65" s="61">
        <f t="shared" si="10"/>
        <v>44</v>
      </c>
      <c r="AE65" s="61">
        <f t="shared" si="10"/>
        <v>0</v>
      </c>
      <c r="AF65" s="61">
        <f t="shared" si="10"/>
        <v>0</v>
      </c>
      <c r="AG65" s="62">
        <f t="shared" si="10"/>
        <v>106</v>
      </c>
      <c r="AH65" s="48">
        <f t="shared" si="2"/>
        <v>99.6</v>
      </c>
      <c r="AI65" s="49">
        <f t="shared" si="3"/>
        <v>0</v>
      </c>
      <c r="AK65" s="50"/>
    </row>
    <row r="66" spans="1:37" x14ac:dyDescent="0.25">
      <c r="A66" s="44" t="s">
        <v>71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>
        <v>0</v>
      </c>
      <c r="N66" s="45">
        <v>0</v>
      </c>
      <c r="O66" s="45">
        <v>0</v>
      </c>
      <c r="P66" s="45">
        <v>0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30.3</v>
      </c>
      <c r="Y66" s="45">
        <v>0</v>
      </c>
      <c r="Z66" s="45">
        <v>0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0</v>
      </c>
      <c r="AG66" s="52"/>
      <c r="AH66" s="48">
        <f t="shared" si="2"/>
        <v>30.3</v>
      </c>
      <c r="AI66" s="49">
        <f t="shared" si="3"/>
        <v>0</v>
      </c>
      <c r="AK66" s="50"/>
    </row>
    <row r="67" spans="1:37" x14ac:dyDescent="0.25">
      <c r="A67" s="54" t="s">
        <v>72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-75</v>
      </c>
      <c r="C68" s="65">
        <v>-114</v>
      </c>
      <c r="D68" s="65">
        <v>-63.6</v>
      </c>
      <c r="E68" s="65">
        <v>-64.5</v>
      </c>
      <c r="F68" s="65">
        <v>-70</v>
      </c>
      <c r="G68" s="65">
        <v>-71.599999999999994</v>
      </c>
      <c r="H68" s="65">
        <v>-72</v>
      </c>
      <c r="I68" s="65">
        <v>-101.6</v>
      </c>
      <c r="J68" s="65">
        <v>-102</v>
      </c>
      <c r="K68" s="65">
        <v>-208</v>
      </c>
      <c r="L68" s="65">
        <v>-195</v>
      </c>
      <c r="M68" s="65">
        <v>-257.39999999999998</v>
      </c>
      <c r="N68" s="65">
        <v>-179.9</v>
      </c>
      <c r="O68" s="65">
        <v>-86</v>
      </c>
      <c r="P68" s="65">
        <v>9.8000000000000007</v>
      </c>
      <c r="Q68" s="65">
        <v>-16.100000000000001</v>
      </c>
      <c r="R68" s="65">
        <v>-0.5</v>
      </c>
      <c r="S68" s="65">
        <v>35</v>
      </c>
      <c r="T68" s="65">
        <v>18</v>
      </c>
      <c r="U68" s="65">
        <v>41.1</v>
      </c>
      <c r="V68" s="65">
        <v>98.7</v>
      </c>
      <c r="W68" s="65">
        <v>-267</v>
      </c>
      <c r="X68" s="65">
        <v>-222</v>
      </c>
      <c r="Y68" s="65">
        <v>-196</v>
      </c>
      <c r="Z68" s="65">
        <v>-191</v>
      </c>
      <c r="AA68" s="65">
        <v>-211</v>
      </c>
      <c r="AB68" s="65">
        <v>-235</v>
      </c>
      <c r="AC68" s="65">
        <v>-257</v>
      </c>
      <c r="AD68" s="65">
        <v>-240</v>
      </c>
      <c r="AE68" s="65">
        <v>-200</v>
      </c>
      <c r="AF68" s="65">
        <v>-100</v>
      </c>
      <c r="AG68" s="75"/>
      <c r="AH68" s="48">
        <f t="shared" si="2"/>
        <v>98.7</v>
      </c>
      <c r="AI68" s="49">
        <f t="shared" si="3"/>
        <v>-267</v>
      </c>
      <c r="AK68" s="50"/>
    </row>
    <row r="69" spans="1:37" x14ac:dyDescent="0.25">
      <c r="A69" s="54" t="s">
        <v>74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" si="11">SUMIF(B66:B76,"&gt;0")</f>
        <v>0</v>
      </c>
      <c r="C77" s="61">
        <f t="shared" ref="C77:AF77" si="12">SUMIF(C66:C76,"&gt;0")</f>
        <v>0</v>
      </c>
      <c r="D77" s="61">
        <f t="shared" si="12"/>
        <v>0</v>
      </c>
      <c r="E77" s="61">
        <f t="shared" si="12"/>
        <v>0</v>
      </c>
      <c r="F77" s="61">
        <f t="shared" si="12"/>
        <v>0</v>
      </c>
      <c r="G77" s="61">
        <f t="shared" si="12"/>
        <v>0</v>
      </c>
      <c r="H77" s="61">
        <f t="shared" si="12"/>
        <v>0</v>
      </c>
      <c r="I77" s="61">
        <f t="shared" si="12"/>
        <v>0</v>
      </c>
      <c r="J77" s="61">
        <f t="shared" si="12"/>
        <v>0</v>
      </c>
      <c r="K77" s="61">
        <f t="shared" si="12"/>
        <v>0</v>
      </c>
      <c r="L77" s="61">
        <f t="shared" si="12"/>
        <v>0</v>
      </c>
      <c r="M77" s="61">
        <f t="shared" si="12"/>
        <v>0</v>
      </c>
      <c r="N77" s="61">
        <f t="shared" si="12"/>
        <v>0</v>
      </c>
      <c r="O77" s="61">
        <f t="shared" si="12"/>
        <v>0</v>
      </c>
      <c r="P77" s="61">
        <f t="shared" si="12"/>
        <v>9.8000000000000007</v>
      </c>
      <c r="Q77" s="61">
        <f t="shared" si="12"/>
        <v>0</v>
      </c>
      <c r="R77" s="61">
        <f t="shared" si="12"/>
        <v>0</v>
      </c>
      <c r="S77" s="61">
        <f t="shared" si="12"/>
        <v>35</v>
      </c>
      <c r="T77" s="61">
        <f t="shared" si="12"/>
        <v>18</v>
      </c>
      <c r="U77" s="61">
        <f t="shared" si="12"/>
        <v>41.1</v>
      </c>
      <c r="V77" s="61">
        <f t="shared" si="12"/>
        <v>98.7</v>
      </c>
      <c r="W77" s="61">
        <f t="shared" si="12"/>
        <v>0</v>
      </c>
      <c r="X77" s="61">
        <f t="shared" si="12"/>
        <v>30.3</v>
      </c>
      <c r="Y77" s="61">
        <f t="shared" si="12"/>
        <v>0</v>
      </c>
      <c r="Z77" s="61">
        <f t="shared" si="12"/>
        <v>0</v>
      </c>
      <c r="AA77" s="61">
        <f t="shared" si="12"/>
        <v>0</v>
      </c>
      <c r="AB77" s="61">
        <f t="shared" si="12"/>
        <v>0</v>
      </c>
      <c r="AC77" s="61">
        <f t="shared" si="12"/>
        <v>0</v>
      </c>
      <c r="AD77" s="61">
        <f t="shared" si="12"/>
        <v>0</v>
      </c>
      <c r="AE77" s="61">
        <f t="shared" si="12"/>
        <v>0</v>
      </c>
      <c r="AF77" s="61">
        <f t="shared" si="12"/>
        <v>0</v>
      </c>
      <c r="AG77" s="81">
        <f>SUM(AG66:AG76)</f>
        <v>0</v>
      </c>
      <c r="AH77" s="48">
        <f t="shared" si="2"/>
        <v>98.7</v>
      </c>
      <c r="AI77" s="49">
        <f t="shared" si="3"/>
        <v>0</v>
      </c>
      <c r="AK77" s="50"/>
    </row>
    <row r="78" spans="1:37" x14ac:dyDescent="0.25">
      <c r="A78" s="44" t="s">
        <v>83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>
        <v>14.4</v>
      </c>
      <c r="AH79" s="48">
        <f t="shared" ref="AH79:AH112" si="13">MAX(B79:AF79)</f>
        <v>0</v>
      </c>
      <c r="AI79" s="49">
        <f t="shared" ref="AI79:AI112" si="14">MIN(B79:AF79)</f>
        <v>0</v>
      </c>
      <c r="AK79" s="50"/>
    </row>
    <row r="80" spans="1:37" ht="15.75" thickBot="1" x14ac:dyDescent="0.3">
      <c r="A80" s="78" t="s">
        <v>85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80">
        <v>2</v>
      </c>
      <c r="AH80" s="48">
        <f t="shared" si="13"/>
        <v>0</v>
      </c>
      <c r="AI80" s="49">
        <f t="shared" si="14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3"/>
        <v>0</v>
      </c>
      <c r="AI81" s="49">
        <f t="shared" si="14"/>
        <v>0</v>
      </c>
    </row>
    <row r="82" spans="1:37" ht="15.75" thickBot="1" x14ac:dyDescent="0.3">
      <c r="A82" s="74" t="s">
        <v>87</v>
      </c>
      <c r="B82" s="83">
        <f t="shared" ref="B82" si="15">B43+B47+B65+B61+B77+B81</f>
        <v>1076.2400000000002</v>
      </c>
      <c r="C82" s="83">
        <f t="shared" ref="C82:AG82" si="16">C43+C47+C65+C61+C77+C81</f>
        <v>1061.0400000000002</v>
      </c>
      <c r="D82" s="83">
        <f t="shared" si="16"/>
        <v>1022.8400000000001</v>
      </c>
      <c r="E82" s="83">
        <f t="shared" si="16"/>
        <v>998.44000000000017</v>
      </c>
      <c r="F82" s="83">
        <f t="shared" si="16"/>
        <v>1019.74</v>
      </c>
      <c r="G82" s="83">
        <f t="shared" si="16"/>
        <v>1073.1400000000001</v>
      </c>
      <c r="H82" s="83">
        <f t="shared" si="16"/>
        <v>1160.44</v>
      </c>
      <c r="I82" s="83">
        <f t="shared" si="16"/>
        <v>1280.8400000000001</v>
      </c>
      <c r="J82" s="83">
        <f t="shared" si="16"/>
        <v>1415.0400000000002</v>
      </c>
      <c r="K82" s="83">
        <f t="shared" si="16"/>
        <v>1611.0400000000002</v>
      </c>
      <c r="L82" s="83">
        <f t="shared" si="16"/>
        <v>1611.0400000000002</v>
      </c>
      <c r="M82" s="83">
        <f t="shared" si="16"/>
        <v>1692.14</v>
      </c>
      <c r="N82" s="83">
        <f t="shared" si="16"/>
        <v>1588.14</v>
      </c>
      <c r="O82" s="83">
        <f t="shared" si="16"/>
        <v>1422.54</v>
      </c>
      <c r="P82" s="83">
        <f t="shared" si="16"/>
        <v>1282.3399999999999</v>
      </c>
      <c r="Q82" s="83">
        <f t="shared" si="16"/>
        <v>1242.1399999999999</v>
      </c>
      <c r="R82" s="83">
        <f t="shared" si="16"/>
        <v>1189.8400000000001</v>
      </c>
      <c r="S82" s="83">
        <f t="shared" si="16"/>
        <v>1204.8400000000001</v>
      </c>
      <c r="T82" s="83">
        <f t="shared" si="16"/>
        <v>1197.8400000000001</v>
      </c>
      <c r="U82" s="83">
        <f t="shared" si="16"/>
        <v>1200.94</v>
      </c>
      <c r="V82" s="83">
        <f t="shared" si="16"/>
        <v>1494.24</v>
      </c>
      <c r="W82" s="83">
        <f t="shared" si="16"/>
        <v>1704.6400000000003</v>
      </c>
      <c r="X82" s="83">
        <f t="shared" si="16"/>
        <v>1731.8400000000001</v>
      </c>
      <c r="Y82" s="83">
        <f t="shared" si="16"/>
        <v>1645.5400000000002</v>
      </c>
      <c r="Z82" s="83">
        <f t="shared" si="16"/>
        <v>1575.5400000000002</v>
      </c>
      <c r="AA82" s="83">
        <f t="shared" si="16"/>
        <v>1515.5400000000002</v>
      </c>
      <c r="AB82" s="83">
        <f t="shared" si="16"/>
        <v>1465.44</v>
      </c>
      <c r="AC82" s="83">
        <f t="shared" si="16"/>
        <v>1465.44</v>
      </c>
      <c r="AD82" s="83">
        <f t="shared" si="16"/>
        <v>1392.94</v>
      </c>
      <c r="AE82" s="83">
        <f t="shared" si="16"/>
        <v>1232.2400000000002</v>
      </c>
      <c r="AF82" s="83">
        <f t="shared" si="16"/>
        <v>1078.44</v>
      </c>
      <c r="AG82" s="62">
        <f t="shared" si="16"/>
        <v>1986.1900000000003</v>
      </c>
      <c r="AH82" s="48">
        <f t="shared" si="13"/>
        <v>1731.8400000000001</v>
      </c>
      <c r="AI82" s="49">
        <f t="shared" si="14"/>
        <v>998.44000000000017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>
        <v>60</v>
      </c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13"/>
        <v>60</v>
      </c>
      <c r="AI83" s="49">
        <f t="shared" si="14"/>
        <v>60</v>
      </c>
    </row>
    <row r="84" spans="1:37" ht="15.75" thickBot="1" x14ac:dyDescent="0.3">
      <c r="A84" s="74" t="s">
        <v>89</v>
      </c>
      <c r="B84" s="83">
        <f t="shared" ref="B84" si="17">B82+B83</f>
        <v>1076.2400000000002</v>
      </c>
      <c r="C84" s="83">
        <f t="shared" ref="C84:AF84" si="18">C82+C83</f>
        <v>1061.0400000000002</v>
      </c>
      <c r="D84" s="83">
        <f t="shared" si="18"/>
        <v>1022.8400000000001</v>
      </c>
      <c r="E84" s="83">
        <f t="shared" si="18"/>
        <v>998.44000000000017</v>
      </c>
      <c r="F84" s="83">
        <f t="shared" si="18"/>
        <v>1019.74</v>
      </c>
      <c r="G84" s="83">
        <f t="shared" si="18"/>
        <v>1073.1400000000001</v>
      </c>
      <c r="H84" s="83">
        <f t="shared" si="18"/>
        <v>1160.44</v>
      </c>
      <c r="I84" s="83">
        <f t="shared" si="18"/>
        <v>1280.8400000000001</v>
      </c>
      <c r="J84" s="83">
        <f t="shared" si="18"/>
        <v>1415.0400000000002</v>
      </c>
      <c r="K84" s="83">
        <f t="shared" si="18"/>
        <v>1611.0400000000002</v>
      </c>
      <c r="L84" s="83">
        <f t="shared" si="18"/>
        <v>1671.0400000000002</v>
      </c>
      <c r="M84" s="83">
        <f t="shared" si="18"/>
        <v>1692.14</v>
      </c>
      <c r="N84" s="83">
        <f t="shared" si="18"/>
        <v>1588.14</v>
      </c>
      <c r="O84" s="83">
        <f t="shared" si="18"/>
        <v>1422.54</v>
      </c>
      <c r="P84" s="83">
        <f t="shared" si="18"/>
        <v>1282.3399999999999</v>
      </c>
      <c r="Q84" s="83">
        <f t="shared" si="18"/>
        <v>1242.1399999999999</v>
      </c>
      <c r="R84" s="83">
        <f t="shared" si="18"/>
        <v>1189.8400000000001</v>
      </c>
      <c r="S84" s="83">
        <f t="shared" si="18"/>
        <v>1204.8400000000001</v>
      </c>
      <c r="T84" s="83">
        <f t="shared" si="18"/>
        <v>1197.8400000000001</v>
      </c>
      <c r="U84" s="83">
        <f t="shared" si="18"/>
        <v>1200.94</v>
      </c>
      <c r="V84" s="83">
        <f t="shared" si="18"/>
        <v>1494.24</v>
      </c>
      <c r="W84" s="83">
        <f t="shared" si="18"/>
        <v>1704.6400000000003</v>
      </c>
      <c r="X84" s="83">
        <f t="shared" si="18"/>
        <v>1731.8400000000001</v>
      </c>
      <c r="Y84" s="83">
        <f t="shared" si="18"/>
        <v>1645.5400000000002</v>
      </c>
      <c r="Z84" s="83">
        <f t="shared" si="18"/>
        <v>1575.5400000000002</v>
      </c>
      <c r="AA84" s="83">
        <f t="shared" si="18"/>
        <v>1515.5400000000002</v>
      </c>
      <c r="AB84" s="83">
        <f t="shared" si="18"/>
        <v>1465.44</v>
      </c>
      <c r="AC84" s="83">
        <f t="shared" si="18"/>
        <v>1465.44</v>
      </c>
      <c r="AD84" s="83">
        <f t="shared" si="18"/>
        <v>1392.94</v>
      </c>
      <c r="AE84" s="83">
        <f t="shared" si="18"/>
        <v>1232.2400000000002</v>
      </c>
      <c r="AF84" s="83">
        <f t="shared" si="18"/>
        <v>1078.44</v>
      </c>
      <c r="AG84" s="81">
        <f>AG81+AG77+AG65+AG61+AG43+AG83</f>
        <v>1448.0900000000001</v>
      </c>
      <c r="AH84" s="48">
        <f t="shared" si="13"/>
        <v>1731.8400000000001</v>
      </c>
      <c r="AI84" s="49">
        <f t="shared" si="14"/>
        <v>998.44000000000017</v>
      </c>
    </row>
    <row r="85" spans="1:37" ht="15.75" thickBot="1" x14ac:dyDescent="0.3">
      <c r="A85" s="74" t="s">
        <v>90</v>
      </c>
      <c r="B85" s="83">
        <f t="shared" ref="B85" si="19">B84-B92</f>
        <v>1001.2400000000002</v>
      </c>
      <c r="C85" s="83">
        <f t="shared" ref="C85:AF85" si="20">C84-C92</f>
        <v>947.04000000000019</v>
      </c>
      <c r="D85" s="83">
        <f t="shared" si="20"/>
        <v>959.24000000000012</v>
      </c>
      <c r="E85" s="83">
        <f t="shared" si="20"/>
        <v>933.94000000000017</v>
      </c>
      <c r="F85" s="83">
        <f t="shared" si="20"/>
        <v>949.74</v>
      </c>
      <c r="G85" s="83">
        <f t="shared" si="20"/>
        <v>1001.5400000000001</v>
      </c>
      <c r="H85" s="83">
        <f t="shared" si="20"/>
        <v>1088.44</v>
      </c>
      <c r="I85" s="83">
        <f t="shared" si="20"/>
        <v>1179.2400000000002</v>
      </c>
      <c r="J85" s="83">
        <f t="shared" si="20"/>
        <v>1313.0400000000002</v>
      </c>
      <c r="K85" s="83">
        <f t="shared" si="20"/>
        <v>1403.0400000000002</v>
      </c>
      <c r="L85" s="83">
        <f t="shared" si="20"/>
        <v>1476.0400000000002</v>
      </c>
      <c r="M85" s="83">
        <f t="shared" si="20"/>
        <v>1434.7400000000002</v>
      </c>
      <c r="N85" s="83">
        <f t="shared" si="20"/>
        <v>1408.24</v>
      </c>
      <c r="O85" s="83">
        <f t="shared" si="20"/>
        <v>1336.54</v>
      </c>
      <c r="P85" s="83">
        <f t="shared" si="20"/>
        <v>1282.3399999999999</v>
      </c>
      <c r="Q85" s="83">
        <f t="shared" si="20"/>
        <v>1226.04</v>
      </c>
      <c r="R85" s="83">
        <f t="shared" si="20"/>
        <v>1189.3400000000001</v>
      </c>
      <c r="S85" s="83">
        <f t="shared" si="20"/>
        <v>1204.8400000000001</v>
      </c>
      <c r="T85" s="83">
        <f t="shared" si="20"/>
        <v>1197.8400000000001</v>
      </c>
      <c r="U85" s="83">
        <f t="shared" si="20"/>
        <v>1200.94</v>
      </c>
      <c r="V85" s="83">
        <f t="shared" si="20"/>
        <v>1494.24</v>
      </c>
      <c r="W85" s="83">
        <f t="shared" si="20"/>
        <v>1437.6400000000003</v>
      </c>
      <c r="X85" s="83">
        <f t="shared" si="20"/>
        <v>1509.8400000000001</v>
      </c>
      <c r="Y85" s="83">
        <f t="shared" si="20"/>
        <v>1449.5400000000002</v>
      </c>
      <c r="Z85" s="83">
        <f t="shared" si="20"/>
        <v>1384.5400000000002</v>
      </c>
      <c r="AA85" s="83">
        <f t="shared" si="20"/>
        <v>1304.5400000000002</v>
      </c>
      <c r="AB85" s="83">
        <f t="shared" si="20"/>
        <v>1230.44</v>
      </c>
      <c r="AC85" s="83">
        <f t="shared" si="20"/>
        <v>1208.44</v>
      </c>
      <c r="AD85" s="83">
        <f t="shared" si="20"/>
        <v>1152.94</v>
      </c>
      <c r="AE85" s="83">
        <f t="shared" si="20"/>
        <v>1032.2400000000002</v>
      </c>
      <c r="AF85" s="83">
        <f t="shared" si="20"/>
        <v>978.44</v>
      </c>
      <c r="AG85" s="81"/>
      <c r="AH85" s="48">
        <f t="shared" si="13"/>
        <v>1509.8400000000001</v>
      </c>
      <c r="AI85" s="49">
        <f t="shared" si="14"/>
        <v>933.94000000000017</v>
      </c>
    </row>
    <row r="86" spans="1:37" x14ac:dyDescent="0.25">
      <c r="A86" s="44" t="s">
        <v>74</v>
      </c>
      <c r="B86" s="76">
        <f t="shared" ref="B86" si="21">IF(B69&lt;0,B69*-1,0)</f>
        <v>0</v>
      </c>
      <c r="C86" s="76">
        <f t="shared" ref="C86:AF86" si="22">IF(C69&lt;0,C69*-1,0)</f>
        <v>0</v>
      </c>
      <c r="D86" s="76">
        <f t="shared" si="22"/>
        <v>0</v>
      </c>
      <c r="E86" s="76">
        <f t="shared" si="22"/>
        <v>0</v>
      </c>
      <c r="F86" s="76">
        <f t="shared" si="22"/>
        <v>0</v>
      </c>
      <c r="G86" s="76">
        <f t="shared" si="22"/>
        <v>0</v>
      </c>
      <c r="H86" s="76">
        <f t="shared" si="22"/>
        <v>0</v>
      </c>
      <c r="I86" s="76">
        <f t="shared" si="22"/>
        <v>0</v>
      </c>
      <c r="J86" s="76">
        <f t="shared" si="22"/>
        <v>0</v>
      </c>
      <c r="K86" s="76">
        <f t="shared" si="22"/>
        <v>0</v>
      </c>
      <c r="L86" s="76">
        <f t="shared" si="22"/>
        <v>0</v>
      </c>
      <c r="M86" s="76">
        <f t="shared" si="22"/>
        <v>0</v>
      </c>
      <c r="N86" s="76">
        <f t="shared" si="22"/>
        <v>0</v>
      </c>
      <c r="O86" s="76">
        <f t="shared" si="22"/>
        <v>0</v>
      </c>
      <c r="P86" s="76">
        <f t="shared" si="22"/>
        <v>0</v>
      </c>
      <c r="Q86" s="76">
        <f t="shared" si="22"/>
        <v>0</v>
      </c>
      <c r="R86" s="76">
        <f t="shared" si="22"/>
        <v>0</v>
      </c>
      <c r="S86" s="76">
        <f t="shared" si="22"/>
        <v>0</v>
      </c>
      <c r="T86" s="76">
        <f t="shared" si="22"/>
        <v>0</v>
      </c>
      <c r="U86" s="76">
        <f t="shared" si="22"/>
        <v>0</v>
      </c>
      <c r="V86" s="76">
        <f t="shared" si="22"/>
        <v>0</v>
      </c>
      <c r="W86" s="76">
        <f t="shared" si="22"/>
        <v>0</v>
      </c>
      <c r="X86" s="76">
        <f t="shared" si="22"/>
        <v>0</v>
      </c>
      <c r="Y86" s="76">
        <f t="shared" si="22"/>
        <v>0</v>
      </c>
      <c r="Z86" s="76">
        <f t="shared" si="22"/>
        <v>0</v>
      </c>
      <c r="AA86" s="76">
        <f t="shared" si="22"/>
        <v>0</v>
      </c>
      <c r="AB86" s="76">
        <f t="shared" si="22"/>
        <v>0</v>
      </c>
      <c r="AC86" s="76">
        <f t="shared" si="22"/>
        <v>0</v>
      </c>
      <c r="AD86" s="76">
        <f t="shared" si="22"/>
        <v>0</v>
      </c>
      <c r="AE86" s="76">
        <f t="shared" si="22"/>
        <v>0</v>
      </c>
      <c r="AF86" s="76">
        <f t="shared" si="22"/>
        <v>0</v>
      </c>
      <c r="AG86" s="52"/>
      <c r="AH86" s="48">
        <f t="shared" si="13"/>
        <v>0</v>
      </c>
      <c r="AI86" s="49">
        <f t="shared" si="14"/>
        <v>0</v>
      </c>
    </row>
    <row r="87" spans="1:37" x14ac:dyDescent="0.25">
      <c r="A87" s="54" t="s">
        <v>72</v>
      </c>
      <c r="B87" s="76">
        <f t="shared" ref="B87" si="23">IF(B67&lt;0,B67*-1,0)</f>
        <v>0</v>
      </c>
      <c r="C87" s="76">
        <f t="shared" ref="C87:AF87" si="24">IF(C67&lt;0,C67*-1,0)</f>
        <v>0</v>
      </c>
      <c r="D87" s="76">
        <f t="shared" si="24"/>
        <v>0</v>
      </c>
      <c r="E87" s="76">
        <f t="shared" si="24"/>
        <v>0</v>
      </c>
      <c r="F87" s="76">
        <f t="shared" si="24"/>
        <v>0</v>
      </c>
      <c r="G87" s="76">
        <f t="shared" si="24"/>
        <v>0</v>
      </c>
      <c r="H87" s="76">
        <f t="shared" si="24"/>
        <v>0</v>
      </c>
      <c r="I87" s="76">
        <f t="shared" si="24"/>
        <v>0</v>
      </c>
      <c r="J87" s="76">
        <f t="shared" si="24"/>
        <v>0</v>
      </c>
      <c r="K87" s="76">
        <f t="shared" si="24"/>
        <v>0</v>
      </c>
      <c r="L87" s="76">
        <f t="shared" si="24"/>
        <v>0</v>
      </c>
      <c r="M87" s="76">
        <f t="shared" si="24"/>
        <v>0</v>
      </c>
      <c r="N87" s="76">
        <f t="shared" si="24"/>
        <v>0</v>
      </c>
      <c r="O87" s="76">
        <f t="shared" si="24"/>
        <v>0</v>
      </c>
      <c r="P87" s="76">
        <f t="shared" si="24"/>
        <v>0</v>
      </c>
      <c r="Q87" s="76">
        <f t="shared" si="24"/>
        <v>0</v>
      </c>
      <c r="R87" s="76">
        <f t="shared" si="24"/>
        <v>0</v>
      </c>
      <c r="S87" s="76">
        <f t="shared" si="24"/>
        <v>0</v>
      </c>
      <c r="T87" s="76">
        <f t="shared" si="24"/>
        <v>0</v>
      </c>
      <c r="U87" s="76">
        <f t="shared" si="24"/>
        <v>0</v>
      </c>
      <c r="V87" s="76">
        <f t="shared" si="24"/>
        <v>0</v>
      </c>
      <c r="W87" s="76">
        <f t="shared" si="24"/>
        <v>0</v>
      </c>
      <c r="X87" s="76">
        <f t="shared" si="24"/>
        <v>0</v>
      </c>
      <c r="Y87" s="76">
        <f t="shared" si="24"/>
        <v>0</v>
      </c>
      <c r="Z87" s="76">
        <f t="shared" si="24"/>
        <v>0</v>
      </c>
      <c r="AA87" s="76">
        <f t="shared" si="24"/>
        <v>0</v>
      </c>
      <c r="AB87" s="76">
        <f t="shared" si="24"/>
        <v>0</v>
      </c>
      <c r="AC87" s="76">
        <f t="shared" si="24"/>
        <v>0</v>
      </c>
      <c r="AD87" s="76">
        <f t="shared" si="24"/>
        <v>0</v>
      </c>
      <c r="AE87" s="76">
        <f t="shared" si="24"/>
        <v>0</v>
      </c>
      <c r="AF87" s="76">
        <f t="shared" si="24"/>
        <v>0</v>
      </c>
      <c r="AG87" s="55"/>
      <c r="AH87" s="48">
        <f t="shared" si="13"/>
        <v>0</v>
      </c>
      <c r="AI87" s="49">
        <f t="shared" si="14"/>
        <v>0</v>
      </c>
    </row>
    <row r="88" spans="1:37" x14ac:dyDescent="0.25">
      <c r="A88" s="78" t="s">
        <v>91</v>
      </c>
      <c r="B88" s="76">
        <f t="shared" ref="B88" si="25">IF(B70&lt;0,B70*-1,0)</f>
        <v>0</v>
      </c>
      <c r="C88" s="76">
        <f t="shared" ref="C88:AF88" si="26">IF(C70&lt;0,C70*-1,0)</f>
        <v>0</v>
      </c>
      <c r="D88" s="76">
        <f t="shared" si="26"/>
        <v>0</v>
      </c>
      <c r="E88" s="76">
        <f t="shared" si="26"/>
        <v>0</v>
      </c>
      <c r="F88" s="76">
        <f t="shared" si="26"/>
        <v>0</v>
      </c>
      <c r="G88" s="76">
        <f t="shared" si="26"/>
        <v>0</v>
      </c>
      <c r="H88" s="76">
        <f t="shared" si="26"/>
        <v>0</v>
      </c>
      <c r="I88" s="76">
        <f t="shared" si="26"/>
        <v>0</v>
      </c>
      <c r="J88" s="76">
        <f t="shared" si="26"/>
        <v>0</v>
      </c>
      <c r="K88" s="76">
        <f t="shared" si="26"/>
        <v>0</v>
      </c>
      <c r="L88" s="76">
        <f t="shared" si="26"/>
        <v>0</v>
      </c>
      <c r="M88" s="76">
        <f t="shared" si="26"/>
        <v>0</v>
      </c>
      <c r="N88" s="76">
        <f t="shared" si="26"/>
        <v>0</v>
      </c>
      <c r="O88" s="76">
        <f t="shared" si="26"/>
        <v>0</v>
      </c>
      <c r="P88" s="76">
        <f t="shared" si="26"/>
        <v>0</v>
      </c>
      <c r="Q88" s="76">
        <f t="shared" si="26"/>
        <v>0</v>
      </c>
      <c r="R88" s="76">
        <f t="shared" si="26"/>
        <v>0</v>
      </c>
      <c r="S88" s="76">
        <f t="shared" si="26"/>
        <v>0</v>
      </c>
      <c r="T88" s="76">
        <f t="shared" si="26"/>
        <v>0</v>
      </c>
      <c r="U88" s="76">
        <f t="shared" si="26"/>
        <v>0</v>
      </c>
      <c r="V88" s="76">
        <f t="shared" si="26"/>
        <v>0</v>
      </c>
      <c r="W88" s="76">
        <f t="shared" si="26"/>
        <v>0</v>
      </c>
      <c r="X88" s="76">
        <f t="shared" si="26"/>
        <v>0</v>
      </c>
      <c r="Y88" s="76">
        <f t="shared" si="26"/>
        <v>0</v>
      </c>
      <c r="Z88" s="76">
        <f t="shared" si="26"/>
        <v>0</v>
      </c>
      <c r="AA88" s="76">
        <f t="shared" si="26"/>
        <v>0</v>
      </c>
      <c r="AB88" s="76">
        <f t="shared" si="26"/>
        <v>0</v>
      </c>
      <c r="AC88" s="76">
        <f t="shared" si="26"/>
        <v>0</v>
      </c>
      <c r="AD88" s="76">
        <f t="shared" si="26"/>
        <v>0</v>
      </c>
      <c r="AE88" s="76">
        <f t="shared" si="26"/>
        <v>0</v>
      </c>
      <c r="AF88" s="76">
        <f t="shared" si="26"/>
        <v>0</v>
      </c>
      <c r="AG88" s="86"/>
      <c r="AH88" s="48">
        <f t="shared" si="13"/>
        <v>0</v>
      </c>
      <c r="AI88" s="49">
        <f t="shared" si="14"/>
        <v>0</v>
      </c>
    </row>
    <row r="89" spans="1:37" x14ac:dyDescent="0.25">
      <c r="A89" s="78" t="s">
        <v>92</v>
      </c>
      <c r="B89" s="76">
        <f t="shared" ref="B89" si="27">IF(B68&lt;0,B68*-1,0)</f>
        <v>75</v>
      </c>
      <c r="C89" s="76">
        <f t="shared" ref="C89:AF89" si="28">IF(C68&lt;0,C68*-1,0)</f>
        <v>114</v>
      </c>
      <c r="D89" s="76">
        <f t="shared" si="28"/>
        <v>63.6</v>
      </c>
      <c r="E89" s="76">
        <f t="shared" si="28"/>
        <v>64.5</v>
      </c>
      <c r="F89" s="76">
        <f t="shared" si="28"/>
        <v>70</v>
      </c>
      <c r="G89" s="76">
        <f t="shared" si="28"/>
        <v>71.599999999999994</v>
      </c>
      <c r="H89" s="76">
        <f t="shared" si="28"/>
        <v>72</v>
      </c>
      <c r="I89" s="76">
        <f t="shared" si="28"/>
        <v>101.6</v>
      </c>
      <c r="J89" s="76">
        <f t="shared" si="28"/>
        <v>102</v>
      </c>
      <c r="K89" s="76">
        <f t="shared" si="28"/>
        <v>208</v>
      </c>
      <c r="L89" s="76">
        <f t="shared" si="28"/>
        <v>195</v>
      </c>
      <c r="M89" s="76">
        <f t="shared" si="28"/>
        <v>257.39999999999998</v>
      </c>
      <c r="N89" s="76">
        <f t="shared" si="28"/>
        <v>179.9</v>
      </c>
      <c r="O89" s="76">
        <f t="shared" si="28"/>
        <v>86</v>
      </c>
      <c r="P89" s="76">
        <f t="shared" si="28"/>
        <v>0</v>
      </c>
      <c r="Q89" s="76">
        <f t="shared" si="28"/>
        <v>16.100000000000001</v>
      </c>
      <c r="R89" s="76">
        <f t="shared" si="28"/>
        <v>0.5</v>
      </c>
      <c r="S89" s="76">
        <f t="shared" si="28"/>
        <v>0</v>
      </c>
      <c r="T89" s="76">
        <f t="shared" si="28"/>
        <v>0</v>
      </c>
      <c r="U89" s="76">
        <f t="shared" si="28"/>
        <v>0</v>
      </c>
      <c r="V89" s="76">
        <f t="shared" si="28"/>
        <v>0</v>
      </c>
      <c r="W89" s="76">
        <f t="shared" si="28"/>
        <v>267</v>
      </c>
      <c r="X89" s="76">
        <f t="shared" si="28"/>
        <v>222</v>
      </c>
      <c r="Y89" s="76">
        <f t="shared" si="28"/>
        <v>196</v>
      </c>
      <c r="Z89" s="76">
        <f t="shared" si="28"/>
        <v>191</v>
      </c>
      <c r="AA89" s="76">
        <f t="shared" si="28"/>
        <v>211</v>
      </c>
      <c r="AB89" s="76">
        <f t="shared" si="28"/>
        <v>235</v>
      </c>
      <c r="AC89" s="76">
        <f t="shared" si="28"/>
        <v>257</v>
      </c>
      <c r="AD89" s="76">
        <f t="shared" si="28"/>
        <v>240</v>
      </c>
      <c r="AE89" s="76">
        <f t="shared" si="28"/>
        <v>200</v>
      </c>
      <c r="AF89" s="76">
        <f t="shared" si="28"/>
        <v>100</v>
      </c>
      <c r="AG89" s="86"/>
      <c r="AH89" s="48">
        <f t="shared" si="13"/>
        <v>267</v>
      </c>
      <c r="AI89" s="49">
        <f t="shared" si="14"/>
        <v>0</v>
      </c>
    </row>
    <row r="90" spans="1:37" x14ac:dyDescent="0.25">
      <c r="A90" s="78" t="s">
        <v>71</v>
      </c>
      <c r="B90" s="76">
        <f t="shared" ref="B90" si="29">IF(B66&lt;0,B66*-1,0)</f>
        <v>0</v>
      </c>
      <c r="C90" s="76">
        <f t="shared" ref="C90:AF90" si="30">IF(C66&lt;0,C66*-1,0)</f>
        <v>0</v>
      </c>
      <c r="D90" s="76">
        <f t="shared" si="30"/>
        <v>0</v>
      </c>
      <c r="E90" s="76">
        <f t="shared" si="30"/>
        <v>0</v>
      </c>
      <c r="F90" s="76">
        <f t="shared" si="30"/>
        <v>0</v>
      </c>
      <c r="G90" s="76">
        <f t="shared" si="30"/>
        <v>0</v>
      </c>
      <c r="H90" s="76">
        <f t="shared" si="30"/>
        <v>0</v>
      </c>
      <c r="I90" s="76">
        <f t="shared" si="30"/>
        <v>0</v>
      </c>
      <c r="J90" s="76">
        <f t="shared" si="30"/>
        <v>0</v>
      </c>
      <c r="K90" s="76">
        <f t="shared" si="30"/>
        <v>0</v>
      </c>
      <c r="L90" s="76">
        <f t="shared" si="30"/>
        <v>0</v>
      </c>
      <c r="M90" s="76">
        <f t="shared" si="30"/>
        <v>0</v>
      </c>
      <c r="N90" s="76">
        <f t="shared" si="30"/>
        <v>0</v>
      </c>
      <c r="O90" s="76">
        <f t="shared" si="30"/>
        <v>0</v>
      </c>
      <c r="P90" s="76">
        <f t="shared" si="30"/>
        <v>0</v>
      </c>
      <c r="Q90" s="76">
        <f t="shared" si="30"/>
        <v>0</v>
      </c>
      <c r="R90" s="76">
        <f t="shared" si="30"/>
        <v>0</v>
      </c>
      <c r="S90" s="76">
        <f t="shared" si="30"/>
        <v>0</v>
      </c>
      <c r="T90" s="76">
        <f t="shared" si="30"/>
        <v>0</v>
      </c>
      <c r="U90" s="76">
        <f t="shared" si="30"/>
        <v>0</v>
      </c>
      <c r="V90" s="76">
        <f t="shared" si="30"/>
        <v>0</v>
      </c>
      <c r="W90" s="76">
        <f t="shared" si="30"/>
        <v>0</v>
      </c>
      <c r="X90" s="76">
        <f t="shared" si="30"/>
        <v>0</v>
      </c>
      <c r="Y90" s="76">
        <f t="shared" si="30"/>
        <v>0</v>
      </c>
      <c r="Z90" s="76">
        <f t="shared" si="30"/>
        <v>0</v>
      </c>
      <c r="AA90" s="76">
        <f t="shared" si="30"/>
        <v>0</v>
      </c>
      <c r="AB90" s="76">
        <f t="shared" si="30"/>
        <v>0</v>
      </c>
      <c r="AC90" s="76">
        <f t="shared" si="30"/>
        <v>0</v>
      </c>
      <c r="AD90" s="76">
        <f t="shared" si="30"/>
        <v>0</v>
      </c>
      <c r="AE90" s="76">
        <f t="shared" si="30"/>
        <v>0</v>
      </c>
      <c r="AF90" s="76">
        <f t="shared" si="30"/>
        <v>0</v>
      </c>
      <c r="AG90" s="86"/>
      <c r="AH90" s="48">
        <f t="shared" si="13"/>
        <v>0</v>
      </c>
      <c r="AI90" s="49">
        <f t="shared" si="14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3"/>
        <v>0</v>
      </c>
      <c r="AI91" s="49">
        <f t="shared" si="14"/>
        <v>0</v>
      </c>
    </row>
    <row r="92" spans="1:37" ht="15.75" thickBot="1" x14ac:dyDescent="0.3">
      <c r="A92" s="87" t="s">
        <v>94</v>
      </c>
      <c r="B92" s="61">
        <f t="shared" ref="B92" si="31">SUM(B86:B91)</f>
        <v>75</v>
      </c>
      <c r="C92" s="61">
        <f t="shared" ref="C92:AF92" si="32">SUM(C86:C91)</f>
        <v>114</v>
      </c>
      <c r="D92" s="61">
        <f t="shared" si="32"/>
        <v>63.6</v>
      </c>
      <c r="E92" s="61">
        <f t="shared" si="32"/>
        <v>64.5</v>
      </c>
      <c r="F92" s="61">
        <f t="shared" si="32"/>
        <v>70</v>
      </c>
      <c r="G92" s="61">
        <f t="shared" si="32"/>
        <v>71.599999999999994</v>
      </c>
      <c r="H92" s="61">
        <f t="shared" si="32"/>
        <v>72</v>
      </c>
      <c r="I92" s="61">
        <f t="shared" si="32"/>
        <v>101.6</v>
      </c>
      <c r="J92" s="61">
        <f t="shared" si="32"/>
        <v>102</v>
      </c>
      <c r="K92" s="61">
        <f t="shared" si="32"/>
        <v>208</v>
      </c>
      <c r="L92" s="61">
        <f t="shared" si="32"/>
        <v>195</v>
      </c>
      <c r="M92" s="61">
        <f t="shared" si="32"/>
        <v>257.39999999999998</v>
      </c>
      <c r="N92" s="61">
        <f t="shared" si="32"/>
        <v>179.9</v>
      </c>
      <c r="O92" s="61">
        <f t="shared" si="32"/>
        <v>86</v>
      </c>
      <c r="P92" s="61">
        <f t="shared" si="32"/>
        <v>0</v>
      </c>
      <c r="Q92" s="61">
        <f t="shared" si="32"/>
        <v>16.100000000000001</v>
      </c>
      <c r="R92" s="61">
        <f t="shared" si="32"/>
        <v>0.5</v>
      </c>
      <c r="S92" s="61">
        <f t="shared" si="32"/>
        <v>0</v>
      </c>
      <c r="T92" s="61">
        <f t="shared" si="32"/>
        <v>0</v>
      </c>
      <c r="U92" s="61">
        <f t="shared" si="32"/>
        <v>0</v>
      </c>
      <c r="V92" s="61">
        <f t="shared" si="32"/>
        <v>0</v>
      </c>
      <c r="W92" s="61">
        <f t="shared" si="32"/>
        <v>267</v>
      </c>
      <c r="X92" s="61">
        <f t="shared" si="32"/>
        <v>222</v>
      </c>
      <c r="Y92" s="61">
        <f t="shared" si="32"/>
        <v>196</v>
      </c>
      <c r="Z92" s="61">
        <f t="shared" si="32"/>
        <v>191</v>
      </c>
      <c r="AA92" s="61">
        <f t="shared" si="32"/>
        <v>211</v>
      </c>
      <c r="AB92" s="61">
        <f t="shared" si="32"/>
        <v>235</v>
      </c>
      <c r="AC92" s="61">
        <f t="shared" si="32"/>
        <v>257</v>
      </c>
      <c r="AD92" s="61">
        <f t="shared" si="32"/>
        <v>240</v>
      </c>
      <c r="AE92" s="61">
        <f t="shared" si="32"/>
        <v>200</v>
      </c>
      <c r="AF92" s="61">
        <f t="shared" si="32"/>
        <v>100</v>
      </c>
      <c r="AG92" s="81"/>
      <c r="AH92" s="48">
        <f t="shared" si="13"/>
        <v>267</v>
      </c>
      <c r="AI92" s="49">
        <f t="shared" si="14"/>
        <v>0</v>
      </c>
      <c r="AK92" s="50"/>
    </row>
    <row r="93" spans="1:37" ht="15.75" thickBot="1" x14ac:dyDescent="0.3">
      <c r="A93" s="74" t="s">
        <v>95</v>
      </c>
      <c r="B93" s="61">
        <f t="shared" ref="B93" si="33">B77-B92</f>
        <v>-75</v>
      </c>
      <c r="C93" s="61">
        <f t="shared" ref="C93:AF93" si="34">C77-C92</f>
        <v>-114</v>
      </c>
      <c r="D93" s="61">
        <f t="shared" si="34"/>
        <v>-63.6</v>
      </c>
      <c r="E93" s="61">
        <f t="shared" si="34"/>
        <v>-64.5</v>
      </c>
      <c r="F93" s="61">
        <f t="shared" si="34"/>
        <v>-70</v>
      </c>
      <c r="G93" s="61">
        <f t="shared" si="34"/>
        <v>-71.599999999999994</v>
      </c>
      <c r="H93" s="61">
        <f t="shared" si="34"/>
        <v>-72</v>
      </c>
      <c r="I93" s="61">
        <f t="shared" si="34"/>
        <v>-101.6</v>
      </c>
      <c r="J93" s="61">
        <f t="shared" si="34"/>
        <v>-102</v>
      </c>
      <c r="K93" s="61">
        <f t="shared" si="34"/>
        <v>-208</v>
      </c>
      <c r="L93" s="61">
        <f t="shared" si="34"/>
        <v>-195</v>
      </c>
      <c r="M93" s="61">
        <f t="shared" si="34"/>
        <v>-257.39999999999998</v>
      </c>
      <c r="N93" s="61">
        <f t="shared" si="34"/>
        <v>-179.9</v>
      </c>
      <c r="O93" s="61">
        <f t="shared" si="34"/>
        <v>-86</v>
      </c>
      <c r="P93" s="61">
        <f t="shared" si="34"/>
        <v>9.8000000000000007</v>
      </c>
      <c r="Q93" s="61">
        <f t="shared" si="34"/>
        <v>-16.100000000000001</v>
      </c>
      <c r="R93" s="61">
        <f t="shared" si="34"/>
        <v>-0.5</v>
      </c>
      <c r="S93" s="61">
        <f t="shared" si="34"/>
        <v>35</v>
      </c>
      <c r="T93" s="61">
        <f t="shared" si="34"/>
        <v>18</v>
      </c>
      <c r="U93" s="61">
        <f t="shared" si="34"/>
        <v>41.1</v>
      </c>
      <c r="V93" s="61">
        <f t="shared" si="34"/>
        <v>98.7</v>
      </c>
      <c r="W93" s="61">
        <f t="shared" si="34"/>
        <v>-267</v>
      </c>
      <c r="X93" s="61">
        <f t="shared" si="34"/>
        <v>-191.7</v>
      </c>
      <c r="Y93" s="61">
        <f t="shared" si="34"/>
        <v>-196</v>
      </c>
      <c r="Z93" s="61">
        <f t="shared" si="34"/>
        <v>-191</v>
      </c>
      <c r="AA93" s="61">
        <f t="shared" si="34"/>
        <v>-211</v>
      </c>
      <c r="AB93" s="61">
        <f t="shared" si="34"/>
        <v>-235</v>
      </c>
      <c r="AC93" s="61">
        <f t="shared" si="34"/>
        <v>-257</v>
      </c>
      <c r="AD93" s="61">
        <f t="shared" si="34"/>
        <v>-240</v>
      </c>
      <c r="AE93" s="61">
        <f t="shared" si="34"/>
        <v>-200</v>
      </c>
      <c r="AF93" s="61">
        <f t="shared" si="34"/>
        <v>-100</v>
      </c>
      <c r="AG93" s="81"/>
      <c r="AH93" s="48">
        <f t="shared" si="13"/>
        <v>98.7</v>
      </c>
      <c r="AI93" s="49">
        <f t="shared" si="14"/>
        <v>-267</v>
      </c>
    </row>
    <row r="94" spans="1:37" x14ac:dyDescent="0.25">
      <c r="A94" s="88" t="s">
        <v>96</v>
      </c>
      <c r="B94" s="89">
        <v>50.029000000000003</v>
      </c>
      <c r="C94" s="89">
        <v>50.027000000000001</v>
      </c>
      <c r="D94" s="89">
        <v>49.99</v>
      </c>
      <c r="E94" s="89">
        <v>49.942</v>
      </c>
      <c r="F94" s="89">
        <v>49.875999999999998</v>
      </c>
      <c r="G94" s="89">
        <v>50.6</v>
      </c>
      <c r="H94" s="89">
        <v>49.9</v>
      </c>
      <c r="I94" s="89">
        <v>49.991</v>
      </c>
      <c r="J94" s="89">
        <v>50.024000000000001</v>
      </c>
      <c r="K94" s="89">
        <v>49.99</v>
      </c>
      <c r="L94" s="89">
        <v>49.878</v>
      </c>
      <c r="M94" s="89">
        <v>49.966000000000001</v>
      </c>
      <c r="N94" s="89">
        <v>50.040999999999997</v>
      </c>
      <c r="O94" s="89">
        <v>49.975000000000001</v>
      </c>
      <c r="P94" s="89">
        <v>49.970999999999997</v>
      </c>
      <c r="Q94" s="89">
        <v>49.981999999999999</v>
      </c>
      <c r="R94" s="89">
        <v>50.015000000000001</v>
      </c>
      <c r="S94" s="89">
        <v>50.002000000000002</v>
      </c>
      <c r="T94" s="89">
        <v>49.954000000000001</v>
      </c>
      <c r="U94" s="89">
        <v>50.03</v>
      </c>
      <c r="V94" s="89">
        <v>49.908999999999999</v>
      </c>
      <c r="W94" s="89">
        <v>49.96</v>
      </c>
      <c r="X94" s="89">
        <v>49.987000000000002</v>
      </c>
      <c r="Y94" s="89">
        <v>50</v>
      </c>
      <c r="Z94" s="89">
        <v>50.030999999999999</v>
      </c>
      <c r="AA94" s="89">
        <v>49.953000000000003</v>
      </c>
      <c r="AB94" s="89">
        <v>50.02</v>
      </c>
      <c r="AC94" s="89">
        <v>50.09</v>
      </c>
      <c r="AD94" s="89">
        <v>50.03</v>
      </c>
      <c r="AE94" s="89">
        <v>50</v>
      </c>
      <c r="AF94" s="89">
        <v>50.04</v>
      </c>
      <c r="AG94" s="90"/>
      <c r="AH94" s="48">
        <f t="shared" si="13"/>
        <v>50.6</v>
      </c>
      <c r="AI94" s="49">
        <f t="shared" si="14"/>
        <v>49.875999999999998</v>
      </c>
    </row>
    <row r="95" spans="1:37" x14ac:dyDescent="0.25">
      <c r="A95" s="91" t="s">
        <v>97</v>
      </c>
      <c r="B95" s="65">
        <v>126.5</v>
      </c>
      <c r="C95" s="65">
        <v>127</v>
      </c>
      <c r="D95" s="65">
        <v>126.5</v>
      </c>
      <c r="E95" s="65">
        <v>127</v>
      </c>
      <c r="F95" s="65">
        <v>127</v>
      </c>
      <c r="G95" s="65">
        <v>127</v>
      </c>
      <c r="H95" s="65">
        <v>126</v>
      </c>
      <c r="I95" s="65">
        <v>124</v>
      </c>
      <c r="J95" s="65">
        <v>124</v>
      </c>
      <c r="K95" s="65">
        <v>121.8</v>
      </c>
      <c r="L95" s="65">
        <v>121.8</v>
      </c>
      <c r="M95" s="65">
        <v>125</v>
      </c>
      <c r="N95" s="65">
        <v>123.4</v>
      </c>
      <c r="O95" s="65">
        <v>122.9</v>
      </c>
      <c r="P95" s="65">
        <v>124.9</v>
      </c>
      <c r="Q95" s="65">
        <v>125.3</v>
      </c>
      <c r="R95" s="65">
        <v>125.6</v>
      </c>
      <c r="S95" s="65">
        <v>124.3</v>
      </c>
      <c r="T95" s="65">
        <v>125.8</v>
      </c>
      <c r="U95" s="65">
        <v>125.3</v>
      </c>
      <c r="V95" s="65">
        <v>126.1</v>
      </c>
      <c r="W95" s="65">
        <v>126.4</v>
      </c>
      <c r="X95" s="65">
        <v>126.5</v>
      </c>
      <c r="Y95" s="65">
        <v>127.3</v>
      </c>
      <c r="Z95" s="65">
        <v>129.1</v>
      </c>
      <c r="AA95" s="65">
        <v>128.6</v>
      </c>
      <c r="AB95" s="65">
        <v>128.4</v>
      </c>
      <c r="AC95" s="65">
        <v>128.4</v>
      </c>
      <c r="AD95" s="65">
        <v>127.5</v>
      </c>
      <c r="AE95" s="65">
        <v>128</v>
      </c>
      <c r="AF95" s="65">
        <v>127</v>
      </c>
      <c r="AG95" s="92"/>
      <c r="AH95" s="48">
        <f t="shared" si="13"/>
        <v>129.1</v>
      </c>
      <c r="AI95" s="49">
        <f t="shared" si="14"/>
        <v>121.8</v>
      </c>
    </row>
    <row r="96" spans="1:37" x14ac:dyDescent="0.25">
      <c r="A96" s="91" t="s">
        <v>98</v>
      </c>
      <c r="B96" s="65">
        <v>131</v>
      </c>
      <c r="C96" s="65">
        <v>131.1</v>
      </c>
      <c r="D96" s="65">
        <v>131.19999999999999</v>
      </c>
      <c r="E96" s="65">
        <v>131.6</v>
      </c>
      <c r="F96" s="65">
        <v>131</v>
      </c>
      <c r="G96" s="65">
        <v>131</v>
      </c>
      <c r="H96" s="65">
        <v>130</v>
      </c>
      <c r="I96" s="65">
        <v>128.5</v>
      </c>
      <c r="J96" s="65">
        <v>128.5</v>
      </c>
      <c r="K96" s="65">
        <v>125.8</v>
      </c>
      <c r="L96" s="65">
        <v>125.8</v>
      </c>
      <c r="M96" s="65">
        <v>127.8</v>
      </c>
      <c r="N96" s="65">
        <v>126.8</v>
      </c>
      <c r="O96" s="65">
        <v>126.3</v>
      </c>
      <c r="P96" s="65">
        <v>127.9</v>
      </c>
      <c r="Q96" s="65">
        <v>128.30000000000001</v>
      </c>
      <c r="R96" s="65">
        <v>128.5</v>
      </c>
      <c r="S96" s="65">
        <v>127.7</v>
      </c>
      <c r="T96" s="65">
        <v>128.1</v>
      </c>
      <c r="U96" s="65">
        <v>128.1</v>
      </c>
      <c r="V96" s="65">
        <v>128.6</v>
      </c>
      <c r="W96" s="65">
        <v>128.80000000000001</v>
      </c>
      <c r="X96" s="65">
        <v>128.5</v>
      </c>
      <c r="Y96" s="65">
        <v>129.69999999999999</v>
      </c>
      <c r="Z96" s="65">
        <v>130.80000000000001</v>
      </c>
      <c r="AA96" s="65">
        <v>130.5</v>
      </c>
      <c r="AB96" s="65">
        <v>130.9</v>
      </c>
      <c r="AC96" s="65">
        <v>130.9</v>
      </c>
      <c r="AD96" s="65">
        <v>130.69999999999999</v>
      </c>
      <c r="AE96" s="65">
        <v>130.69999999999999</v>
      </c>
      <c r="AF96" s="65">
        <v>130.69999999999999</v>
      </c>
      <c r="AG96" s="92"/>
      <c r="AH96" s="48">
        <f t="shared" si="13"/>
        <v>131.6</v>
      </c>
      <c r="AI96" s="49">
        <f t="shared" si="14"/>
        <v>125.8</v>
      </c>
    </row>
    <row r="97" spans="1:35" x14ac:dyDescent="0.25">
      <c r="A97" s="91" t="s">
        <v>99</v>
      </c>
      <c r="B97" s="65">
        <v>132.80000000000001</v>
      </c>
      <c r="C97" s="65">
        <v>134.5</v>
      </c>
      <c r="D97" s="65">
        <v>132.9</v>
      </c>
      <c r="E97" s="65">
        <v>133</v>
      </c>
      <c r="F97" s="65">
        <v>134</v>
      </c>
      <c r="G97" s="65">
        <v>134</v>
      </c>
      <c r="H97" s="65">
        <v>131</v>
      </c>
      <c r="I97" s="65">
        <v>130</v>
      </c>
      <c r="J97" s="65">
        <v>130</v>
      </c>
      <c r="K97" s="65">
        <v>129.6</v>
      </c>
      <c r="L97" s="65">
        <v>129.6</v>
      </c>
      <c r="M97" s="65">
        <v>125.9</v>
      </c>
      <c r="N97" s="65">
        <v>127.7</v>
      </c>
      <c r="O97" s="65">
        <v>129.9</v>
      </c>
      <c r="P97" s="65">
        <v>129.9</v>
      </c>
      <c r="Q97" s="65">
        <v>131.1</v>
      </c>
      <c r="R97" s="65">
        <v>131.80000000000001</v>
      </c>
      <c r="S97" s="65">
        <v>128.9</v>
      </c>
      <c r="T97" s="65">
        <v>129.19999999999999</v>
      </c>
      <c r="U97" s="65">
        <v>128.4</v>
      </c>
      <c r="V97" s="65">
        <v>127.7</v>
      </c>
      <c r="W97" s="65">
        <v>127.3</v>
      </c>
      <c r="X97" s="65">
        <v>129.1</v>
      </c>
      <c r="Y97" s="65">
        <v>128.5</v>
      </c>
      <c r="Z97" s="65">
        <v>130.6</v>
      </c>
      <c r="AA97" s="65">
        <v>132.1</v>
      </c>
      <c r="AB97" s="65">
        <v>132</v>
      </c>
      <c r="AC97" s="65">
        <v>132</v>
      </c>
      <c r="AD97" s="65">
        <v>131.4</v>
      </c>
      <c r="AE97" s="65">
        <v>131.4</v>
      </c>
      <c r="AF97" s="65">
        <v>131.4</v>
      </c>
      <c r="AG97" s="92"/>
      <c r="AH97" s="48">
        <f t="shared" si="13"/>
        <v>134.5</v>
      </c>
      <c r="AI97" s="49">
        <f t="shared" si="14"/>
        <v>125.9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3"/>
        <v>0</v>
      </c>
      <c r="AI98" s="49">
        <f t="shared" si="14"/>
        <v>0</v>
      </c>
    </row>
    <row r="99" spans="1:35" x14ac:dyDescent="0.25">
      <c r="A99" s="93" t="s">
        <v>101</v>
      </c>
      <c r="B99" s="94">
        <v>131.5</v>
      </c>
      <c r="C99" s="94">
        <v>131.9</v>
      </c>
      <c r="D99" s="94">
        <v>132.4</v>
      </c>
      <c r="E99" s="94">
        <v>133</v>
      </c>
      <c r="F99" s="94">
        <v>132</v>
      </c>
      <c r="G99" s="94">
        <v>132</v>
      </c>
      <c r="H99" s="94">
        <v>131</v>
      </c>
      <c r="I99" s="94">
        <v>131.69999999999999</v>
      </c>
      <c r="J99" s="94">
        <v>131.69999999999999</v>
      </c>
      <c r="K99" s="94">
        <v>135</v>
      </c>
      <c r="L99" s="94">
        <v>135</v>
      </c>
      <c r="M99" s="94">
        <v>134</v>
      </c>
      <c r="N99" s="94">
        <v>133.4</v>
      </c>
      <c r="O99" s="94">
        <v>135.5</v>
      </c>
      <c r="P99" s="94">
        <v>133.9</v>
      </c>
      <c r="Q99" s="94">
        <v>135.69999999999999</v>
      </c>
      <c r="R99" s="94">
        <v>132.1</v>
      </c>
      <c r="S99" s="94">
        <v>132.6</v>
      </c>
      <c r="T99" s="94">
        <v>132.5</v>
      </c>
      <c r="U99" s="94">
        <v>135.19999999999999</v>
      </c>
      <c r="V99" s="94">
        <v>134.4</v>
      </c>
      <c r="W99" s="94">
        <v>134.4</v>
      </c>
      <c r="X99" s="94">
        <v>132.30000000000001</v>
      </c>
      <c r="Y99" s="94">
        <v>135.6</v>
      </c>
      <c r="Z99" s="94">
        <v>132.30000000000001</v>
      </c>
      <c r="AA99" s="94">
        <v>134.5</v>
      </c>
      <c r="AB99" s="94">
        <v>135</v>
      </c>
      <c r="AC99" s="94">
        <v>135</v>
      </c>
      <c r="AD99" s="94">
        <v>130</v>
      </c>
      <c r="AE99" s="94">
        <v>130</v>
      </c>
      <c r="AF99" s="94">
        <v>130</v>
      </c>
      <c r="AG99" s="95"/>
      <c r="AH99" s="48">
        <f t="shared" si="13"/>
        <v>135.69999999999999</v>
      </c>
      <c r="AI99" s="49">
        <f t="shared" si="14"/>
        <v>130</v>
      </c>
    </row>
    <row r="100" spans="1:35" x14ac:dyDescent="0.25">
      <c r="A100" s="91" t="s">
        <v>102</v>
      </c>
      <c r="B100" s="65">
        <v>130</v>
      </c>
      <c r="C100" s="65">
        <v>129.69999999999999</v>
      </c>
      <c r="D100" s="65">
        <v>130.80000000000001</v>
      </c>
      <c r="E100" s="65">
        <v>131.9</v>
      </c>
      <c r="F100" s="65">
        <v>130</v>
      </c>
      <c r="G100" s="65">
        <v>130</v>
      </c>
      <c r="H100" s="65">
        <v>128</v>
      </c>
      <c r="I100" s="65">
        <v>129.4</v>
      </c>
      <c r="J100" s="65">
        <v>129.4</v>
      </c>
      <c r="K100" s="65">
        <v>129.6</v>
      </c>
      <c r="L100" s="65">
        <v>129.6</v>
      </c>
      <c r="M100" s="65">
        <v>130</v>
      </c>
      <c r="N100" s="65">
        <v>129.19999999999999</v>
      </c>
      <c r="O100" s="65">
        <v>133.1</v>
      </c>
      <c r="P100" s="65">
        <v>131</v>
      </c>
      <c r="Q100" s="65">
        <v>135.30000000000001</v>
      </c>
      <c r="R100" s="65">
        <v>132.9</v>
      </c>
      <c r="S100" s="65">
        <v>130.30000000000001</v>
      </c>
      <c r="T100" s="65">
        <v>130.69999999999999</v>
      </c>
      <c r="U100" s="65">
        <v>131.19999999999999</v>
      </c>
      <c r="V100" s="65">
        <v>129.1</v>
      </c>
      <c r="W100" s="65">
        <v>132.6</v>
      </c>
      <c r="X100" s="65">
        <v>131.5</v>
      </c>
      <c r="Y100" s="65">
        <v>131.80000000000001</v>
      </c>
      <c r="Z100" s="65">
        <v>128</v>
      </c>
      <c r="AA100" s="65">
        <v>130.9</v>
      </c>
      <c r="AB100" s="65">
        <v>133</v>
      </c>
      <c r="AC100" s="65">
        <v>133</v>
      </c>
      <c r="AD100" s="65">
        <v>129</v>
      </c>
      <c r="AE100" s="65">
        <v>129</v>
      </c>
      <c r="AF100" s="65">
        <v>129</v>
      </c>
      <c r="AG100" s="92"/>
      <c r="AH100" s="48">
        <f t="shared" si="13"/>
        <v>135.30000000000001</v>
      </c>
      <c r="AI100" s="49">
        <f t="shared" si="14"/>
        <v>128</v>
      </c>
    </row>
    <row r="101" spans="1:35" ht="15.75" thickBot="1" x14ac:dyDescent="0.3">
      <c r="A101" s="91" t="s">
        <v>104</v>
      </c>
      <c r="B101" s="96">
        <v>66.099999999999994</v>
      </c>
      <c r="C101" s="96">
        <v>66.3</v>
      </c>
      <c r="D101" s="96">
        <v>66.400000000000006</v>
      </c>
      <c r="E101" s="96">
        <v>66.599999999999994</v>
      </c>
      <c r="F101" s="96">
        <v>66.400000000000006</v>
      </c>
      <c r="G101" s="96">
        <v>66.400000000000006</v>
      </c>
      <c r="H101" s="96">
        <v>65.8</v>
      </c>
      <c r="I101" s="96">
        <v>64.8</v>
      </c>
      <c r="J101" s="96">
        <v>64.8</v>
      </c>
      <c r="K101" s="96">
        <v>64.8</v>
      </c>
      <c r="L101" s="96">
        <v>64.8</v>
      </c>
      <c r="M101" s="96">
        <v>64.3</v>
      </c>
      <c r="N101" s="96">
        <v>64.2</v>
      </c>
      <c r="O101" s="96">
        <v>63.5</v>
      </c>
      <c r="P101" s="96">
        <v>64.3</v>
      </c>
      <c r="Q101" s="96">
        <v>64.3</v>
      </c>
      <c r="R101" s="96">
        <v>64.599999999999994</v>
      </c>
      <c r="S101" s="96">
        <v>64.400000000000006</v>
      </c>
      <c r="T101" s="96">
        <v>64.5</v>
      </c>
      <c r="U101" s="96">
        <v>64.5</v>
      </c>
      <c r="V101" s="96">
        <v>64.900000000000006</v>
      </c>
      <c r="W101" s="96">
        <v>64.900000000000006</v>
      </c>
      <c r="X101" s="96">
        <v>64.8</v>
      </c>
      <c r="Y101" s="96">
        <v>65.3</v>
      </c>
      <c r="Z101" s="96">
        <v>65.900000000000006</v>
      </c>
      <c r="AA101" s="96">
        <v>65.7</v>
      </c>
      <c r="AB101" s="96">
        <v>65.900000000000006</v>
      </c>
      <c r="AC101" s="96">
        <v>65.900000000000006</v>
      </c>
      <c r="AD101" s="96">
        <v>66</v>
      </c>
      <c r="AE101" s="96">
        <v>66</v>
      </c>
      <c r="AF101" s="96">
        <v>66</v>
      </c>
      <c r="AG101" s="97"/>
      <c r="AH101" s="48">
        <f t="shared" si="13"/>
        <v>66.599999999999994</v>
      </c>
      <c r="AI101" s="49">
        <f t="shared" si="14"/>
        <v>63.5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3"/>
        <v>0</v>
      </c>
      <c r="AI102" s="49">
        <f t="shared" si="14"/>
        <v>0</v>
      </c>
    </row>
    <row r="103" spans="1:35" ht="15.75" thickBot="1" x14ac:dyDescent="0.3">
      <c r="A103" s="99" t="s">
        <v>105</v>
      </c>
      <c r="B103" s="100">
        <f t="shared" ref="B103:AF103" si="35">SUM(B16,B22,B25:B26,B51,B53:B54,B56,B58,B104:B108,B130,B136,B142,B151,B153,B165,B172,B175:B176,B183,B185,B187,B191:B193,B195:B197,B202,B208:B209,B211:B213,B221,B226)</f>
        <v>52.200000000000024</v>
      </c>
      <c r="C103" s="100">
        <f t="shared" si="35"/>
        <v>43.740000000000009</v>
      </c>
      <c r="D103" s="100">
        <f t="shared" si="35"/>
        <v>41.84</v>
      </c>
      <c r="E103" s="100">
        <f t="shared" si="35"/>
        <v>37.240000000000023</v>
      </c>
      <c r="F103" s="100">
        <f t="shared" si="35"/>
        <v>54.639999999999972</v>
      </c>
      <c r="G103" s="100">
        <f t="shared" si="35"/>
        <v>74.739999999999981</v>
      </c>
      <c r="H103" s="100">
        <f t="shared" si="35"/>
        <v>107.33999999999999</v>
      </c>
      <c r="I103" s="100">
        <f t="shared" si="35"/>
        <v>139.73999999999998</v>
      </c>
      <c r="J103" s="100">
        <f t="shared" si="35"/>
        <v>192.94</v>
      </c>
      <c r="K103" s="100">
        <f t="shared" si="35"/>
        <v>244.33999999999997</v>
      </c>
      <c r="L103" s="100">
        <f t="shared" si="35"/>
        <v>282.53999999999996</v>
      </c>
      <c r="M103" s="100">
        <f t="shared" si="35"/>
        <v>247.64</v>
      </c>
      <c r="N103" s="100">
        <f t="shared" si="35"/>
        <v>231.74</v>
      </c>
      <c r="O103" s="100">
        <f t="shared" si="35"/>
        <v>245.94000000000003</v>
      </c>
      <c r="P103" s="100">
        <f t="shared" si="35"/>
        <v>227.94000000000003</v>
      </c>
      <c r="Q103" s="100">
        <f t="shared" si="35"/>
        <v>218.1</v>
      </c>
      <c r="R103" s="100">
        <f t="shared" si="35"/>
        <v>205.39999999999998</v>
      </c>
      <c r="S103" s="100">
        <f t="shared" si="35"/>
        <v>219.8</v>
      </c>
      <c r="T103" s="100">
        <f t="shared" si="35"/>
        <v>212.9</v>
      </c>
      <c r="U103" s="100">
        <f t="shared" si="35"/>
        <v>222.70000000000002</v>
      </c>
      <c r="V103" s="100">
        <f t="shared" si="35"/>
        <v>248.9</v>
      </c>
      <c r="W103" s="100">
        <f t="shared" si="35"/>
        <v>284.79999999999995</v>
      </c>
      <c r="X103" s="100">
        <f t="shared" si="35"/>
        <v>312.60000000000002</v>
      </c>
      <c r="Y103" s="100">
        <f t="shared" si="35"/>
        <v>300.7</v>
      </c>
      <c r="Z103" s="100">
        <f t="shared" si="35"/>
        <v>292.70000000000005</v>
      </c>
      <c r="AA103" s="100">
        <f t="shared" si="35"/>
        <v>274.5</v>
      </c>
      <c r="AB103" s="100">
        <f t="shared" si="35"/>
        <v>212.2</v>
      </c>
      <c r="AC103" s="100">
        <f t="shared" si="35"/>
        <v>212.2</v>
      </c>
      <c r="AD103" s="100">
        <f t="shared" si="35"/>
        <v>181.2</v>
      </c>
      <c r="AE103" s="100">
        <f t="shared" si="35"/>
        <v>143</v>
      </c>
      <c r="AF103" s="100">
        <f t="shared" si="35"/>
        <v>90.199999999999989</v>
      </c>
      <c r="AG103" s="101"/>
      <c r="AH103" s="48">
        <f t="shared" si="13"/>
        <v>312.60000000000002</v>
      </c>
      <c r="AI103" s="49">
        <f t="shared" si="14"/>
        <v>37.240000000000023</v>
      </c>
    </row>
    <row r="104" spans="1:35" x14ac:dyDescent="0.25">
      <c r="A104" s="88" t="s">
        <v>106</v>
      </c>
      <c r="B104" s="102">
        <v>26.3</v>
      </c>
      <c r="C104" s="102">
        <v>25.4</v>
      </c>
      <c r="D104" s="102">
        <v>23.6</v>
      </c>
      <c r="E104" s="102">
        <v>23</v>
      </c>
      <c r="F104" s="102">
        <v>22.9</v>
      </c>
      <c r="G104" s="102">
        <v>33.9</v>
      </c>
      <c r="H104" s="102">
        <v>33.700000000000003</v>
      </c>
      <c r="I104" s="102">
        <v>43.4</v>
      </c>
      <c r="J104" s="102">
        <v>36.799999999999997</v>
      </c>
      <c r="K104" s="102">
        <v>33.4</v>
      </c>
      <c r="L104" s="102">
        <v>35.6</v>
      </c>
      <c r="M104" s="102">
        <v>34.6</v>
      </c>
      <c r="N104" s="102">
        <v>32.5</v>
      </c>
      <c r="O104" s="102">
        <v>39.9</v>
      </c>
      <c r="P104" s="102">
        <v>35.9</v>
      </c>
      <c r="Q104" s="102">
        <v>42.5</v>
      </c>
      <c r="R104" s="102">
        <v>41.6</v>
      </c>
      <c r="S104" s="102">
        <v>41.4</v>
      </c>
      <c r="T104" s="102">
        <v>41.9</v>
      </c>
      <c r="U104" s="102">
        <v>44.9</v>
      </c>
      <c r="V104" s="102">
        <v>35.1</v>
      </c>
      <c r="W104" s="102">
        <v>38</v>
      </c>
      <c r="X104" s="102">
        <v>36.799999999999997</v>
      </c>
      <c r="Y104" s="102">
        <v>33</v>
      </c>
      <c r="Z104" s="102">
        <v>39</v>
      </c>
      <c r="AA104" s="102">
        <v>41.9</v>
      </c>
      <c r="AB104" s="102">
        <v>45</v>
      </c>
      <c r="AC104" s="102">
        <v>45</v>
      </c>
      <c r="AD104" s="102">
        <v>54</v>
      </c>
      <c r="AE104" s="102">
        <v>45.5</v>
      </c>
      <c r="AF104" s="102">
        <v>28</v>
      </c>
      <c r="AG104" s="103">
        <v>75</v>
      </c>
      <c r="AH104" s="48">
        <f t="shared" si="13"/>
        <v>54</v>
      </c>
      <c r="AI104" s="49">
        <f t="shared" si="14"/>
        <v>22.9</v>
      </c>
    </row>
    <row r="105" spans="1:35" x14ac:dyDescent="0.25">
      <c r="A105" s="91" t="s">
        <v>107</v>
      </c>
      <c r="B105" s="104">
        <v>43</v>
      </c>
      <c r="C105" s="104">
        <v>43.4</v>
      </c>
      <c r="D105" s="104">
        <v>38</v>
      </c>
      <c r="E105" s="104">
        <v>38.200000000000003</v>
      </c>
      <c r="F105" s="104">
        <v>41.6</v>
      </c>
      <c r="G105" s="104">
        <v>56</v>
      </c>
      <c r="H105" s="104">
        <v>57.3</v>
      </c>
      <c r="I105" s="104">
        <v>68.3</v>
      </c>
      <c r="J105" s="104">
        <v>57.2</v>
      </c>
      <c r="K105" s="104">
        <v>50.8</v>
      </c>
      <c r="L105" s="104">
        <v>53.3</v>
      </c>
      <c r="M105" s="104">
        <v>52.7</v>
      </c>
      <c r="N105" s="104">
        <v>51</v>
      </c>
      <c r="O105" s="104">
        <v>59.8</v>
      </c>
      <c r="P105" s="104">
        <v>56.1</v>
      </c>
      <c r="Q105" s="104">
        <v>64.099999999999994</v>
      </c>
      <c r="R105" s="104">
        <v>64.599999999999994</v>
      </c>
      <c r="S105" s="104">
        <v>65.5</v>
      </c>
      <c r="T105" s="104">
        <v>65</v>
      </c>
      <c r="U105" s="104">
        <v>69.3</v>
      </c>
      <c r="V105" s="104">
        <v>54.6</v>
      </c>
      <c r="W105" s="104">
        <v>54.6</v>
      </c>
      <c r="X105" s="104">
        <v>51</v>
      </c>
      <c r="Y105" s="104">
        <v>47.1</v>
      </c>
      <c r="Z105" s="104">
        <v>55.4</v>
      </c>
      <c r="AA105" s="104">
        <v>59.8</v>
      </c>
      <c r="AB105" s="104">
        <v>66</v>
      </c>
      <c r="AC105" s="104">
        <v>66</v>
      </c>
      <c r="AD105" s="104">
        <v>78</v>
      </c>
      <c r="AE105" s="104">
        <v>69.5</v>
      </c>
      <c r="AF105" s="104">
        <v>46</v>
      </c>
      <c r="AG105" s="103">
        <v>240</v>
      </c>
      <c r="AH105" s="48">
        <f t="shared" si="13"/>
        <v>78</v>
      </c>
      <c r="AI105" s="49">
        <f t="shared" si="14"/>
        <v>38</v>
      </c>
    </row>
    <row r="106" spans="1:35" x14ac:dyDescent="0.25">
      <c r="A106" s="91" t="s">
        <v>108</v>
      </c>
      <c r="B106" s="104">
        <v>-138.1</v>
      </c>
      <c r="C106" s="104">
        <v>-144.9</v>
      </c>
      <c r="D106" s="104">
        <v>-140.6</v>
      </c>
      <c r="E106" s="104">
        <v>-144.5</v>
      </c>
      <c r="F106" s="104">
        <v>-143</v>
      </c>
      <c r="G106" s="104">
        <v>-150</v>
      </c>
      <c r="H106" s="104">
        <v>-128</v>
      </c>
      <c r="I106" s="104">
        <v>-115</v>
      </c>
      <c r="J106" s="104">
        <v>-53</v>
      </c>
      <c r="K106" s="104">
        <v>-16</v>
      </c>
      <c r="L106" s="104">
        <v>10</v>
      </c>
      <c r="M106" s="104">
        <v>-29.1</v>
      </c>
      <c r="N106" s="104">
        <v>-34.5</v>
      </c>
      <c r="O106" s="104">
        <f>-9.8-12.5</f>
        <v>-22.3</v>
      </c>
      <c r="P106" s="104">
        <v>-30</v>
      </c>
      <c r="Q106" s="104">
        <f>-24.8-27</f>
        <v>-51.8</v>
      </c>
      <c r="R106" s="104">
        <v>-66.099999999999994</v>
      </c>
      <c r="S106" s="104">
        <v>-52.4</v>
      </c>
      <c r="T106" s="104">
        <f>-29.8-31.5</f>
        <v>-61.3</v>
      </c>
      <c r="U106" s="104">
        <f>-28.6-31.3</f>
        <v>-59.900000000000006</v>
      </c>
      <c r="V106" s="104">
        <f>-10-14</f>
        <v>-24</v>
      </c>
      <c r="W106" s="104">
        <f>-2-11.5</f>
        <v>-13.5</v>
      </c>
      <c r="X106" s="104">
        <f>11.4+3.3</f>
        <v>14.7</v>
      </c>
      <c r="Y106" s="104">
        <f>9.5+2</f>
        <v>11.5</v>
      </c>
      <c r="Z106" s="104">
        <f>0.7-8.2</f>
        <v>-7.4999999999999991</v>
      </c>
      <c r="AA106" s="104">
        <f>-10-20</f>
        <v>-30</v>
      </c>
      <c r="AB106" s="104">
        <v>-100</v>
      </c>
      <c r="AC106" s="104">
        <v>-100</v>
      </c>
      <c r="AD106" s="104">
        <v>-113</v>
      </c>
      <c r="AE106" s="104">
        <v>-120</v>
      </c>
      <c r="AF106" s="104">
        <v>-124</v>
      </c>
      <c r="AG106" s="103">
        <v>240</v>
      </c>
      <c r="AH106" s="48">
        <f t="shared" si="13"/>
        <v>14.7</v>
      </c>
      <c r="AI106" s="49">
        <f t="shared" si="14"/>
        <v>-150</v>
      </c>
    </row>
    <row r="107" spans="1:35" x14ac:dyDescent="0.25">
      <c r="A107" s="91" t="s">
        <v>109</v>
      </c>
      <c r="B107" s="104">
        <v>-10.4</v>
      </c>
      <c r="C107" s="104">
        <v>-12.5</v>
      </c>
      <c r="D107" s="104">
        <v>-11.5</v>
      </c>
      <c r="E107" s="104">
        <v>-11.8</v>
      </c>
      <c r="F107" s="104">
        <v>-13.8</v>
      </c>
      <c r="G107" s="104">
        <v>-12.1</v>
      </c>
      <c r="H107" s="104">
        <v>-5.8</v>
      </c>
      <c r="I107" s="104">
        <v>-7.1</v>
      </c>
      <c r="J107" s="104">
        <v>1.8</v>
      </c>
      <c r="K107" s="104">
        <v>26</v>
      </c>
      <c r="L107" s="104">
        <v>33.5</v>
      </c>
      <c r="M107" s="104">
        <v>35.299999999999997</v>
      </c>
      <c r="N107" s="104">
        <v>27.6</v>
      </c>
      <c r="O107" s="104">
        <v>10.4</v>
      </c>
      <c r="P107" s="104">
        <v>5.8</v>
      </c>
      <c r="Q107" s="104">
        <v>4.0999999999999996</v>
      </c>
      <c r="R107" s="104">
        <v>6.1</v>
      </c>
      <c r="S107" s="104">
        <v>6.1</v>
      </c>
      <c r="T107" s="104">
        <v>8.1</v>
      </c>
      <c r="U107" s="104">
        <v>9.1999999999999993</v>
      </c>
      <c r="V107" s="104">
        <v>24</v>
      </c>
      <c r="W107" s="104">
        <v>56.5</v>
      </c>
      <c r="X107" s="104">
        <v>62.3</v>
      </c>
      <c r="Y107" s="104">
        <v>61.3</v>
      </c>
      <c r="Z107" s="104">
        <v>58</v>
      </c>
      <c r="AA107" s="104">
        <v>55</v>
      </c>
      <c r="AB107" s="104">
        <v>52</v>
      </c>
      <c r="AC107" s="104">
        <v>52</v>
      </c>
      <c r="AD107" s="104">
        <v>13</v>
      </c>
      <c r="AE107" s="104">
        <v>-1.2</v>
      </c>
      <c r="AF107" s="104">
        <v>-9</v>
      </c>
      <c r="AG107" s="103">
        <v>60</v>
      </c>
      <c r="AH107" s="48">
        <f t="shared" si="13"/>
        <v>62.3</v>
      </c>
      <c r="AI107" s="49">
        <f t="shared" si="14"/>
        <v>-13.8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13"/>
        <v>0</v>
      </c>
      <c r="AI108" s="49">
        <f t="shared" si="14"/>
        <v>0</v>
      </c>
    </row>
    <row r="109" spans="1:35" x14ac:dyDescent="0.25">
      <c r="A109" s="105" t="s">
        <v>111</v>
      </c>
      <c r="B109" s="106">
        <v>5.4</v>
      </c>
      <c r="C109" s="106">
        <v>-7.9</v>
      </c>
      <c r="D109" s="106">
        <v>10.5</v>
      </c>
      <c r="E109" s="106">
        <v>-5.5</v>
      </c>
      <c r="F109" s="106">
        <v>-3.3</v>
      </c>
      <c r="G109" s="106">
        <v>-5.8</v>
      </c>
      <c r="H109" s="106">
        <v>11.3</v>
      </c>
      <c r="I109" s="106">
        <v>11.6</v>
      </c>
      <c r="J109" s="106">
        <v>69.900000000000006</v>
      </c>
      <c r="K109" s="106">
        <v>112</v>
      </c>
      <c r="L109" s="106">
        <v>114</v>
      </c>
      <c r="M109" s="106">
        <v>90.1</v>
      </c>
      <c r="N109" s="106">
        <v>86.1</v>
      </c>
      <c r="O109" s="106">
        <v>92.5</v>
      </c>
      <c r="P109" s="106">
        <v>77.099999999999994</v>
      </c>
      <c r="Q109" s="106">
        <v>59.6</v>
      </c>
      <c r="R109" s="106">
        <v>46.1</v>
      </c>
      <c r="S109" s="106">
        <v>56.1</v>
      </c>
      <c r="T109" s="106">
        <v>42</v>
      </c>
      <c r="U109" s="106">
        <v>35.799999999999997</v>
      </c>
      <c r="V109" s="106">
        <v>62</v>
      </c>
      <c r="W109" s="106">
        <v>60</v>
      </c>
      <c r="X109" s="106">
        <v>78</v>
      </c>
      <c r="Y109" s="106">
        <v>75.400000000000006</v>
      </c>
      <c r="Z109" s="106">
        <v>43</v>
      </c>
      <c r="AA109" s="106">
        <v>16.2</v>
      </c>
      <c r="AB109" s="106">
        <v>-10</v>
      </c>
      <c r="AC109" s="106">
        <v>-10</v>
      </c>
      <c r="AD109" s="106">
        <v>-14</v>
      </c>
      <c r="AE109" s="106">
        <v>-12</v>
      </c>
      <c r="AF109" s="106">
        <v>7</v>
      </c>
      <c r="AG109" s="107"/>
      <c r="AH109" s="48">
        <f t="shared" si="13"/>
        <v>114</v>
      </c>
      <c r="AI109" s="49">
        <f t="shared" si="14"/>
        <v>-14</v>
      </c>
    </row>
    <row r="110" spans="1:35" x14ac:dyDescent="0.25">
      <c r="A110" s="105" t="s">
        <v>112</v>
      </c>
      <c r="B110" s="106">
        <v>46.1</v>
      </c>
      <c r="C110" s="106">
        <v>46</v>
      </c>
      <c r="D110" s="106">
        <v>43.9</v>
      </c>
      <c r="E110" s="106">
        <v>18.8</v>
      </c>
      <c r="F110" s="106">
        <v>31</v>
      </c>
      <c r="G110" s="106">
        <v>17.600000000000001</v>
      </c>
      <c r="H110" s="106">
        <v>32</v>
      </c>
      <c r="I110" s="106">
        <v>9.8000000000000007</v>
      </c>
      <c r="J110" s="106">
        <v>27.6</v>
      </c>
      <c r="K110" s="106">
        <v>38.9</v>
      </c>
      <c r="L110" s="106">
        <v>32</v>
      </c>
      <c r="M110" s="106">
        <v>32</v>
      </c>
      <c r="N110" s="106">
        <v>37.200000000000003</v>
      </c>
      <c r="O110" s="106">
        <v>30.5</v>
      </c>
      <c r="P110" s="106">
        <v>34.700000000000003</v>
      </c>
      <c r="Q110" s="106">
        <v>19.600000000000001</v>
      </c>
      <c r="R110" s="106">
        <v>21.3</v>
      </c>
      <c r="S110" s="106">
        <v>23.1</v>
      </c>
      <c r="T110" s="106">
        <v>21.3</v>
      </c>
      <c r="U110" s="106">
        <v>11.8</v>
      </c>
      <c r="V110" s="106">
        <v>39</v>
      </c>
      <c r="W110" s="106">
        <v>32.200000000000003</v>
      </c>
      <c r="X110" s="106">
        <v>39</v>
      </c>
      <c r="Y110" s="106">
        <v>50.3</v>
      </c>
      <c r="Z110" s="106">
        <v>35</v>
      </c>
      <c r="AA110" s="106">
        <v>30.1</v>
      </c>
      <c r="AB110" s="106">
        <v>20</v>
      </c>
      <c r="AC110" s="106">
        <v>20</v>
      </c>
      <c r="AD110" s="106">
        <v>5</v>
      </c>
      <c r="AE110" s="106">
        <v>18</v>
      </c>
      <c r="AF110" s="106">
        <v>24</v>
      </c>
      <c r="AG110" s="108"/>
      <c r="AH110" s="48">
        <f t="shared" si="13"/>
        <v>50.3</v>
      </c>
      <c r="AI110" s="49">
        <f t="shared" si="14"/>
        <v>5</v>
      </c>
    </row>
    <row r="111" spans="1:35" x14ac:dyDescent="0.25">
      <c r="A111" s="109" t="s">
        <v>113</v>
      </c>
      <c r="B111" s="94">
        <v>54.2</v>
      </c>
      <c r="C111" s="94">
        <v>54.7</v>
      </c>
      <c r="D111" s="94">
        <v>54</v>
      </c>
      <c r="E111" s="94">
        <v>52.5</v>
      </c>
      <c r="F111" s="94">
        <v>51</v>
      </c>
      <c r="G111" s="94">
        <v>51.3</v>
      </c>
      <c r="H111" s="94">
        <v>46</v>
      </c>
      <c r="I111" s="94">
        <v>42.4</v>
      </c>
      <c r="J111" s="94">
        <v>38</v>
      </c>
      <c r="K111" s="94">
        <v>31.6</v>
      </c>
      <c r="L111" s="94">
        <v>26.7</v>
      </c>
      <c r="M111" s="94">
        <v>26.9</v>
      </c>
      <c r="N111" s="94">
        <v>40.799999999999997</v>
      </c>
      <c r="O111" s="94">
        <v>40.1</v>
      </c>
      <c r="P111" s="94">
        <v>40.1</v>
      </c>
      <c r="Q111" s="94">
        <v>43.7</v>
      </c>
      <c r="R111" s="94">
        <v>42</v>
      </c>
      <c r="S111" s="94">
        <v>41.7</v>
      </c>
      <c r="T111" s="94">
        <v>38.4</v>
      </c>
      <c r="U111" s="94">
        <v>32.5</v>
      </c>
      <c r="V111" s="94">
        <v>29</v>
      </c>
      <c r="W111" s="94">
        <v>16.2</v>
      </c>
      <c r="X111" s="94">
        <v>16</v>
      </c>
      <c r="Y111" s="94">
        <v>22.5</v>
      </c>
      <c r="Z111" s="94">
        <v>25</v>
      </c>
      <c r="AA111" s="94">
        <v>29.2</v>
      </c>
      <c r="AB111" s="94">
        <v>32</v>
      </c>
      <c r="AC111" s="94">
        <v>32</v>
      </c>
      <c r="AD111" s="94">
        <v>37</v>
      </c>
      <c r="AE111" s="94">
        <v>44</v>
      </c>
      <c r="AF111" s="94">
        <v>49</v>
      </c>
      <c r="AG111" s="108"/>
      <c r="AH111" s="48">
        <f t="shared" si="13"/>
        <v>54.7</v>
      </c>
      <c r="AI111" s="49">
        <f t="shared" si="14"/>
        <v>16</v>
      </c>
    </row>
    <row r="112" spans="1:35" ht="15.75" thickBot="1" x14ac:dyDescent="0.3">
      <c r="A112" s="109" t="s">
        <v>114</v>
      </c>
      <c r="B112" s="94">
        <v>96.3</v>
      </c>
      <c r="C112" s="94">
        <v>100.2</v>
      </c>
      <c r="D112" s="94">
        <v>98.8</v>
      </c>
      <c r="E112" s="94">
        <v>98.8</v>
      </c>
      <c r="F112" s="94">
        <v>101</v>
      </c>
      <c r="G112" s="94">
        <v>101.9</v>
      </c>
      <c r="H112" s="94">
        <v>86.3</v>
      </c>
      <c r="I112" s="94">
        <v>85.1</v>
      </c>
      <c r="J112" s="94">
        <v>42</v>
      </c>
      <c r="K112" s="94">
        <v>19</v>
      </c>
      <c r="L112" s="94">
        <v>13.4</v>
      </c>
      <c r="M112" s="94">
        <v>19.899999999999999</v>
      </c>
      <c r="N112" s="94">
        <v>23.7</v>
      </c>
      <c r="O112" s="94">
        <v>20</v>
      </c>
      <c r="P112" s="94">
        <v>20.5</v>
      </c>
      <c r="Q112" s="94">
        <v>38.6</v>
      </c>
      <c r="R112" s="94">
        <v>49.5</v>
      </c>
      <c r="S112" s="94">
        <v>49.8</v>
      </c>
      <c r="T112" s="94">
        <v>48.6</v>
      </c>
      <c r="U112" s="94">
        <v>51.8</v>
      </c>
      <c r="V112" s="94">
        <v>22</v>
      </c>
      <c r="W112" s="94">
        <v>37.4</v>
      </c>
      <c r="X112" s="94">
        <v>21.3</v>
      </c>
      <c r="Y112" s="94">
        <v>18.3</v>
      </c>
      <c r="Z112" s="94">
        <v>36</v>
      </c>
      <c r="AA112" s="94">
        <v>55.1</v>
      </c>
      <c r="AB112" s="94">
        <v>77</v>
      </c>
      <c r="AC112" s="94">
        <v>90</v>
      </c>
      <c r="AD112" s="94">
        <v>91</v>
      </c>
      <c r="AE112" s="94">
        <v>95</v>
      </c>
      <c r="AF112" s="94">
        <v>85</v>
      </c>
      <c r="AG112" s="108"/>
      <c r="AH112" s="48">
        <f t="shared" si="13"/>
        <v>101.9</v>
      </c>
      <c r="AI112" s="49">
        <f t="shared" si="14"/>
        <v>13.4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36">SUM(B114:B218)</f>
        <v>0</v>
      </c>
      <c r="C219" s="125">
        <f t="shared" si="36"/>
        <v>0</v>
      </c>
      <c r="D219" s="125">
        <f t="shared" si="36"/>
        <v>0</v>
      </c>
      <c r="E219" s="125">
        <f t="shared" si="36"/>
        <v>0</v>
      </c>
      <c r="F219" s="125">
        <f t="shared" si="36"/>
        <v>0</v>
      </c>
      <c r="G219" s="125">
        <f t="shared" si="36"/>
        <v>0</v>
      </c>
      <c r="H219" s="125">
        <f t="shared" si="36"/>
        <v>0</v>
      </c>
      <c r="I219" s="125">
        <f t="shared" si="36"/>
        <v>0</v>
      </c>
      <c r="J219" s="125">
        <f t="shared" si="36"/>
        <v>0</v>
      </c>
      <c r="K219" s="125">
        <f t="shared" si="36"/>
        <v>0</v>
      </c>
      <c r="L219" s="125">
        <f t="shared" si="36"/>
        <v>0</v>
      </c>
      <c r="M219" s="125">
        <f t="shared" si="36"/>
        <v>0</v>
      </c>
      <c r="N219" s="125">
        <f t="shared" si="36"/>
        <v>0</v>
      </c>
      <c r="O219" s="125">
        <f t="shared" si="36"/>
        <v>0</v>
      </c>
      <c r="P219" s="125">
        <f t="shared" si="36"/>
        <v>0</v>
      </c>
      <c r="Q219" s="125">
        <f t="shared" si="36"/>
        <v>0</v>
      </c>
      <c r="R219" s="125">
        <f t="shared" si="36"/>
        <v>0</v>
      </c>
      <c r="S219" s="125">
        <f t="shared" si="36"/>
        <v>0</v>
      </c>
      <c r="T219" s="125">
        <f t="shared" si="36"/>
        <v>0</v>
      </c>
      <c r="U219" s="125">
        <f t="shared" si="36"/>
        <v>0</v>
      </c>
      <c r="V219" s="125">
        <f t="shared" si="36"/>
        <v>0</v>
      </c>
      <c r="W219" s="125">
        <f t="shared" si="36"/>
        <v>0</v>
      </c>
      <c r="X219" s="125">
        <f t="shared" si="36"/>
        <v>0</v>
      </c>
      <c r="Y219" s="125">
        <f t="shared" si="36"/>
        <v>0</v>
      </c>
      <c r="Z219" s="125">
        <f t="shared" si="36"/>
        <v>0</v>
      </c>
      <c r="AA219" s="125">
        <f t="shared" si="36"/>
        <v>0</v>
      </c>
      <c r="AB219" s="125">
        <f t="shared" si="36"/>
        <v>0</v>
      </c>
      <c r="AC219" s="125">
        <f t="shared" si="36"/>
        <v>0</v>
      </c>
      <c r="AD219" s="125">
        <f t="shared" si="36"/>
        <v>0</v>
      </c>
      <c r="AE219" s="125">
        <f t="shared" si="36"/>
        <v>0</v>
      </c>
      <c r="AF219" s="126">
        <f t="shared" si="36"/>
        <v>0</v>
      </c>
      <c r="AG219" s="127">
        <f t="shared" si="36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37">AF221</f>
        <v>0</v>
      </c>
      <c r="C221" s="129">
        <v>0.3</v>
      </c>
      <c r="D221" s="129">
        <f t="shared" ref="D221:P226" si="38">C221</f>
        <v>0.3</v>
      </c>
      <c r="E221" s="129">
        <f t="shared" si="38"/>
        <v>0.3</v>
      </c>
      <c r="F221" s="129">
        <f t="shared" si="38"/>
        <v>0.3</v>
      </c>
      <c r="G221" s="129">
        <f t="shared" si="38"/>
        <v>0.3</v>
      </c>
      <c r="H221" s="129">
        <f t="shared" si="38"/>
        <v>0.3</v>
      </c>
      <c r="I221" s="129">
        <f t="shared" si="38"/>
        <v>0.3</v>
      </c>
      <c r="J221" s="129">
        <f t="shared" si="38"/>
        <v>0.3</v>
      </c>
      <c r="K221" s="129">
        <f t="shared" si="38"/>
        <v>0.3</v>
      </c>
      <c r="L221" s="129">
        <f t="shared" si="38"/>
        <v>0.3</v>
      </c>
      <c r="M221" s="129">
        <f t="shared" si="38"/>
        <v>0.3</v>
      </c>
      <c r="N221" s="129">
        <f t="shared" si="38"/>
        <v>0.3</v>
      </c>
      <c r="O221" s="129">
        <f t="shared" si="38"/>
        <v>0.3</v>
      </c>
      <c r="P221" s="129">
        <f t="shared" si="38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37"/>
        <v>0</v>
      </c>
      <c r="C222" s="117">
        <v>0.4</v>
      </c>
      <c r="D222" s="117">
        <f t="shared" si="38"/>
        <v>0.4</v>
      </c>
      <c r="E222" s="117">
        <f t="shared" si="38"/>
        <v>0.4</v>
      </c>
      <c r="F222" s="117">
        <f t="shared" si="38"/>
        <v>0.4</v>
      </c>
      <c r="G222" s="117">
        <f t="shared" si="38"/>
        <v>0.4</v>
      </c>
      <c r="H222" s="117">
        <f t="shared" si="38"/>
        <v>0.4</v>
      </c>
      <c r="I222" s="117">
        <f t="shared" si="38"/>
        <v>0.4</v>
      </c>
      <c r="J222" s="117">
        <f t="shared" si="38"/>
        <v>0.4</v>
      </c>
      <c r="K222" s="117">
        <f t="shared" si="38"/>
        <v>0.4</v>
      </c>
      <c r="L222" s="117">
        <f t="shared" si="38"/>
        <v>0.4</v>
      </c>
      <c r="M222" s="117">
        <f t="shared" si="38"/>
        <v>0.4</v>
      </c>
      <c r="N222" s="117">
        <f t="shared" si="38"/>
        <v>0.4</v>
      </c>
      <c r="O222" s="117">
        <f t="shared" si="38"/>
        <v>0.4</v>
      </c>
      <c r="P222" s="117">
        <f t="shared" si="38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37"/>
        <v>0</v>
      </c>
      <c r="C223" s="117">
        <v>1.5</v>
      </c>
      <c r="D223" s="117">
        <f t="shared" si="38"/>
        <v>1.5</v>
      </c>
      <c r="E223" s="117">
        <f t="shared" si="38"/>
        <v>1.5</v>
      </c>
      <c r="F223" s="117">
        <f t="shared" si="38"/>
        <v>1.5</v>
      </c>
      <c r="G223" s="117">
        <f t="shared" si="38"/>
        <v>1.5</v>
      </c>
      <c r="H223" s="117">
        <f t="shared" si="38"/>
        <v>1.5</v>
      </c>
      <c r="I223" s="117">
        <f t="shared" si="38"/>
        <v>1.5</v>
      </c>
      <c r="J223" s="117">
        <f t="shared" si="38"/>
        <v>1.5</v>
      </c>
      <c r="K223" s="117">
        <f t="shared" si="38"/>
        <v>1.5</v>
      </c>
      <c r="L223" s="117">
        <f t="shared" si="38"/>
        <v>1.5</v>
      </c>
      <c r="M223" s="117">
        <f t="shared" si="38"/>
        <v>1.5</v>
      </c>
      <c r="N223" s="117">
        <f t="shared" si="38"/>
        <v>1.5</v>
      </c>
      <c r="O223" s="117">
        <f t="shared" si="38"/>
        <v>1.5</v>
      </c>
      <c r="P223" s="117">
        <f t="shared" si="38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37"/>
        <v>0</v>
      </c>
      <c r="C224" s="117">
        <v>0.3</v>
      </c>
      <c r="D224" s="117">
        <f t="shared" si="38"/>
        <v>0.3</v>
      </c>
      <c r="E224" s="117">
        <f t="shared" si="38"/>
        <v>0.3</v>
      </c>
      <c r="F224" s="117">
        <f t="shared" si="38"/>
        <v>0.3</v>
      </c>
      <c r="G224" s="117">
        <f t="shared" si="38"/>
        <v>0.3</v>
      </c>
      <c r="H224" s="117">
        <f t="shared" si="38"/>
        <v>0.3</v>
      </c>
      <c r="I224" s="117">
        <f t="shared" si="38"/>
        <v>0.3</v>
      </c>
      <c r="J224" s="117">
        <f t="shared" si="38"/>
        <v>0.3</v>
      </c>
      <c r="K224" s="117">
        <f t="shared" si="38"/>
        <v>0.3</v>
      </c>
      <c r="L224" s="117">
        <f t="shared" si="38"/>
        <v>0.3</v>
      </c>
      <c r="M224" s="117">
        <f t="shared" si="38"/>
        <v>0.3</v>
      </c>
      <c r="N224" s="117">
        <f t="shared" si="38"/>
        <v>0.3</v>
      </c>
      <c r="O224" s="117">
        <f t="shared" si="38"/>
        <v>0.3</v>
      </c>
      <c r="P224" s="117">
        <f t="shared" si="38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37"/>
        <v>0</v>
      </c>
      <c r="C225" s="117">
        <v>0.4</v>
      </c>
      <c r="D225" s="117">
        <f t="shared" si="38"/>
        <v>0.4</v>
      </c>
      <c r="E225" s="117">
        <f t="shared" si="38"/>
        <v>0.4</v>
      </c>
      <c r="F225" s="117">
        <f t="shared" si="38"/>
        <v>0.4</v>
      </c>
      <c r="G225" s="117">
        <f t="shared" si="38"/>
        <v>0.4</v>
      </c>
      <c r="H225" s="117">
        <f t="shared" si="38"/>
        <v>0.4</v>
      </c>
      <c r="I225" s="117">
        <f t="shared" si="38"/>
        <v>0.4</v>
      </c>
      <c r="J225" s="117">
        <f t="shared" si="38"/>
        <v>0.4</v>
      </c>
      <c r="K225" s="117">
        <f t="shared" si="38"/>
        <v>0.4</v>
      </c>
      <c r="L225" s="117">
        <f t="shared" si="38"/>
        <v>0.4</v>
      </c>
      <c r="M225" s="117">
        <f t="shared" si="38"/>
        <v>0.4</v>
      </c>
      <c r="N225" s="117">
        <f t="shared" si="38"/>
        <v>0.4</v>
      </c>
      <c r="O225" s="117">
        <f t="shared" si="38"/>
        <v>0.4</v>
      </c>
      <c r="P225" s="117">
        <f t="shared" si="38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37"/>
        <v>0</v>
      </c>
      <c r="C226" s="121">
        <v>0.64</v>
      </c>
      <c r="D226" s="121">
        <f t="shared" si="38"/>
        <v>0.64</v>
      </c>
      <c r="E226" s="121">
        <f t="shared" si="38"/>
        <v>0.64</v>
      </c>
      <c r="F226" s="121">
        <f t="shared" si="38"/>
        <v>0.64</v>
      </c>
      <c r="G226" s="121">
        <f t="shared" si="38"/>
        <v>0.64</v>
      </c>
      <c r="H226" s="121">
        <f t="shared" si="38"/>
        <v>0.64</v>
      </c>
      <c r="I226" s="121">
        <f t="shared" si="38"/>
        <v>0.64</v>
      </c>
      <c r="J226" s="121">
        <f t="shared" si="38"/>
        <v>0.64</v>
      </c>
      <c r="K226" s="121">
        <f t="shared" si="38"/>
        <v>0.64</v>
      </c>
      <c r="L226" s="121">
        <f t="shared" si="38"/>
        <v>0.64</v>
      </c>
      <c r="M226" s="121">
        <f t="shared" si="38"/>
        <v>0.64</v>
      </c>
      <c r="N226" s="121">
        <f t="shared" si="38"/>
        <v>0.64</v>
      </c>
      <c r="O226" s="121">
        <f t="shared" si="38"/>
        <v>0.64</v>
      </c>
      <c r="P226" s="121">
        <f t="shared" si="38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39">SUM(B221:B226)</f>
        <v>0</v>
      </c>
      <c r="C227" s="125">
        <f t="shared" si="39"/>
        <v>3.54</v>
      </c>
      <c r="D227" s="125">
        <f t="shared" si="39"/>
        <v>3.54</v>
      </c>
      <c r="E227" s="125">
        <f t="shared" si="39"/>
        <v>3.54</v>
      </c>
      <c r="F227" s="125">
        <f t="shared" si="39"/>
        <v>3.54</v>
      </c>
      <c r="G227" s="125">
        <f t="shared" si="39"/>
        <v>3.54</v>
      </c>
      <c r="H227" s="125">
        <f t="shared" si="39"/>
        <v>3.54</v>
      </c>
      <c r="I227" s="125">
        <f t="shared" si="39"/>
        <v>3.54</v>
      </c>
      <c r="J227" s="125">
        <f t="shared" si="39"/>
        <v>3.54</v>
      </c>
      <c r="K227" s="125">
        <f t="shared" si="39"/>
        <v>3.54</v>
      </c>
      <c r="L227" s="125">
        <f t="shared" si="39"/>
        <v>3.54</v>
      </c>
      <c r="M227" s="125">
        <f t="shared" si="39"/>
        <v>3.54</v>
      </c>
      <c r="N227" s="125">
        <f t="shared" si="39"/>
        <v>3.54</v>
      </c>
      <c r="O227" s="125">
        <f t="shared" si="39"/>
        <v>3.54</v>
      </c>
      <c r="P227" s="125">
        <f t="shared" si="39"/>
        <v>3.54</v>
      </c>
      <c r="Q227" s="125">
        <f t="shared" si="39"/>
        <v>0</v>
      </c>
      <c r="R227" s="125">
        <f t="shared" si="39"/>
        <v>0</v>
      </c>
      <c r="S227" s="125">
        <f t="shared" si="39"/>
        <v>0</v>
      </c>
      <c r="T227" s="125">
        <f t="shared" si="39"/>
        <v>0</v>
      </c>
      <c r="U227" s="125">
        <f t="shared" si="39"/>
        <v>0</v>
      </c>
      <c r="V227" s="125">
        <f t="shared" si="39"/>
        <v>0</v>
      </c>
      <c r="W227" s="125">
        <f t="shared" si="39"/>
        <v>0</v>
      </c>
      <c r="X227" s="125">
        <f t="shared" si="39"/>
        <v>0</v>
      </c>
      <c r="Y227" s="125">
        <f t="shared" si="39"/>
        <v>0</v>
      </c>
      <c r="Z227" s="125">
        <f t="shared" si="39"/>
        <v>0</v>
      </c>
      <c r="AA227" s="125">
        <f t="shared" si="39"/>
        <v>0</v>
      </c>
      <c r="AB227" s="125">
        <f t="shared" si="39"/>
        <v>0</v>
      </c>
      <c r="AC227" s="125">
        <f t="shared" si="39"/>
        <v>0</v>
      </c>
      <c r="AD227" s="125">
        <f t="shared" si="39"/>
        <v>0</v>
      </c>
      <c r="AE227" s="125">
        <f t="shared" si="39"/>
        <v>0</v>
      </c>
      <c r="AF227" s="125">
        <f t="shared" si="39"/>
        <v>0</v>
      </c>
      <c r="AG227" s="134">
        <f t="shared" si="39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1692.14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14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2079/08/14)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2079/08/14)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40">B84</f>
        <v>1076.2400000000002</v>
      </c>
      <c r="U241" s="159">
        <f t="shared" si="40"/>
        <v>1061.0400000000002</v>
      </c>
      <c r="V241" s="159">
        <f t="shared" si="40"/>
        <v>1022.8400000000001</v>
      </c>
      <c r="W241" s="159">
        <f t="shared" si="40"/>
        <v>998.44000000000017</v>
      </c>
      <c r="X241" s="159">
        <f t="shared" si="40"/>
        <v>1019.74</v>
      </c>
      <c r="Y241" s="159">
        <f t="shared" si="40"/>
        <v>1073.1400000000001</v>
      </c>
      <c r="Z241" s="159">
        <f t="shared" si="40"/>
        <v>1160.44</v>
      </c>
      <c r="AA241" s="159">
        <f t="shared" si="40"/>
        <v>1280.8400000000001</v>
      </c>
      <c r="AB241" s="159">
        <f t="shared" si="40"/>
        <v>1415.0400000000002</v>
      </c>
      <c r="AC241" s="159">
        <f t="shared" si="40"/>
        <v>1611.0400000000002</v>
      </c>
      <c r="AD241" s="159">
        <f t="shared" si="40"/>
        <v>1671.0400000000002</v>
      </c>
      <c r="AE241" s="159">
        <f t="shared" si="40"/>
        <v>1692.14</v>
      </c>
      <c r="AF241" s="159">
        <f t="shared" si="40"/>
        <v>1588.14</v>
      </c>
      <c r="AG241" s="159">
        <f t="shared" si="40"/>
        <v>1422.54</v>
      </c>
      <c r="AH241" s="159">
        <f t="shared" si="40"/>
        <v>1282.3399999999999</v>
      </c>
      <c r="AI241" s="159">
        <f t="shared" si="40"/>
        <v>1242.1399999999999</v>
      </c>
      <c r="AJ241" s="159">
        <f t="shared" si="40"/>
        <v>1189.8400000000001</v>
      </c>
      <c r="AK241" s="159">
        <f t="shared" si="40"/>
        <v>1204.8400000000001</v>
      </c>
      <c r="AL241" s="159">
        <f t="shared" si="40"/>
        <v>1197.8400000000001</v>
      </c>
      <c r="AM241" s="159">
        <f t="shared" si="40"/>
        <v>1200.94</v>
      </c>
      <c r="AN241" s="159">
        <f t="shared" si="40"/>
        <v>1494.24</v>
      </c>
      <c r="AO241" s="159">
        <f t="shared" si="40"/>
        <v>1704.6400000000003</v>
      </c>
      <c r="AP241" s="159">
        <f t="shared" si="40"/>
        <v>1731.8400000000001</v>
      </c>
      <c r="AQ241" s="159">
        <f t="shared" si="40"/>
        <v>1645.5400000000002</v>
      </c>
      <c r="AR241" s="159">
        <f t="shared" si="40"/>
        <v>1575.5400000000002</v>
      </c>
      <c r="AS241" s="159">
        <f t="shared" si="40"/>
        <v>1515.5400000000002</v>
      </c>
      <c r="AT241" s="159">
        <f t="shared" si="40"/>
        <v>1465.44</v>
      </c>
      <c r="AU241" s="159">
        <f t="shared" si="40"/>
        <v>1465.44</v>
      </c>
      <c r="AV241" s="159">
        <f t="shared" si="40"/>
        <v>1392.94</v>
      </c>
      <c r="AW241" s="159">
        <f t="shared" si="40"/>
        <v>1232.2400000000002</v>
      </c>
      <c r="AX241" s="159">
        <f t="shared" si="40"/>
        <v>1078.44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41">C226</f>
        <v>0.64</v>
      </c>
      <c r="C262" s="162">
        <f t="shared" si="41"/>
        <v>0.64</v>
      </c>
      <c r="D262" s="162">
        <f t="shared" si="41"/>
        <v>0.64</v>
      </c>
      <c r="E262" s="162">
        <f t="shared" si="41"/>
        <v>0.64</v>
      </c>
      <c r="F262" s="162">
        <f t="shared" si="41"/>
        <v>0.64</v>
      </c>
      <c r="G262" s="162">
        <f t="shared" si="41"/>
        <v>0.64</v>
      </c>
      <c r="H262" s="162">
        <f t="shared" si="41"/>
        <v>0.64</v>
      </c>
      <c r="I262" s="162">
        <f t="shared" si="41"/>
        <v>0.64</v>
      </c>
      <c r="J262" s="162">
        <f t="shared" si="41"/>
        <v>0.64</v>
      </c>
      <c r="K262" s="162">
        <f t="shared" si="41"/>
        <v>0.64</v>
      </c>
      <c r="L262" s="162">
        <f t="shared" si="41"/>
        <v>0.64</v>
      </c>
      <c r="M262" s="162">
        <f t="shared" si="41"/>
        <v>0.64</v>
      </c>
      <c r="N262" s="162">
        <f t="shared" si="41"/>
        <v>0.64</v>
      </c>
      <c r="O262" s="162">
        <f t="shared" si="41"/>
        <v>0.64</v>
      </c>
      <c r="P262" s="162">
        <f t="shared" si="41"/>
        <v>0</v>
      </c>
      <c r="Q262" s="162">
        <f t="shared" si="41"/>
        <v>0</v>
      </c>
      <c r="R262" s="162">
        <f t="shared" si="41"/>
        <v>0</v>
      </c>
      <c r="S262" s="162">
        <f t="shared" si="41"/>
        <v>0</v>
      </c>
      <c r="T262" s="162">
        <f t="shared" si="41"/>
        <v>0</v>
      </c>
      <c r="U262" s="162">
        <f t="shared" si="41"/>
        <v>0</v>
      </c>
      <c r="V262" s="162">
        <f t="shared" si="41"/>
        <v>0</v>
      </c>
      <c r="W262" s="162">
        <f t="shared" si="41"/>
        <v>0</v>
      </c>
      <c r="X262" s="162">
        <f t="shared" si="41"/>
        <v>0</v>
      </c>
      <c r="Y262" s="162">
        <f t="shared" si="41"/>
        <v>0</v>
      </c>
      <c r="Z262" s="162">
        <f t="shared" si="41"/>
        <v>0</v>
      </c>
      <c r="AA262" s="162">
        <f t="shared" si="41"/>
        <v>0</v>
      </c>
      <c r="AB262" s="162">
        <f t="shared" si="41"/>
        <v>0</v>
      </c>
      <c r="AC262" s="162">
        <f t="shared" si="41"/>
        <v>0</v>
      </c>
      <c r="AD262" s="162">
        <f t="shared" si="41"/>
        <v>0</v>
      </c>
      <c r="AE262" s="162">
        <f t="shared" si="41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42">IF(B230&lt;100,"",B230-520)</f>
        <v/>
      </c>
      <c r="C263" s="163" t="str">
        <f t="shared" si="42"/>
        <v/>
      </c>
      <c r="D263" s="163" t="str">
        <f t="shared" si="42"/>
        <v/>
      </c>
      <c r="E263" s="163" t="str">
        <f t="shared" si="42"/>
        <v/>
      </c>
      <c r="F263" s="163" t="str">
        <f t="shared" si="42"/>
        <v/>
      </c>
      <c r="G263" s="163" t="str">
        <f t="shared" si="42"/>
        <v/>
      </c>
      <c r="H263" s="163" t="str">
        <f t="shared" si="42"/>
        <v/>
      </c>
      <c r="I263" s="163" t="str">
        <f t="shared" si="42"/>
        <v/>
      </c>
      <c r="J263" s="163" t="str">
        <f t="shared" si="42"/>
        <v/>
      </c>
      <c r="K263" s="163" t="str">
        <f t="shared" si="42"/>
        <v/>
      </c>
      <c r="L263" s="163" t="str">
        <f t="shared" si="42"/>
        <v/>
      </c>
      <c r="M263" s="163" t="str">
        <f t="shared" si="42"/>
        <v/>
      </c>
      <c r="N263" s="163" t="str">
        <f t="shared" si="42"/>
        <v/>
      </c>
      <c r="O263" s="163" t="str">
        <f t="shared" si="42"/>
        <v/>
      </c>
      <c r="P263" s="163" t="str">
        <f t="shared" si="42"/>
        <v/>
      </c>
      <c r="Q263" s="163" t="str">
        <f t="shared" si="42"/>
        <v/>
      </c>
      <c r="R263" s="163" t="str">
        <f t="shared" si="42"/>
        <v/>
      </c>
      <c r="S263" s="163" t="str">
        <f t="shared" si="42"/>
        <v/>
      </c>
      <c r="T263" s="163" t="str">
        <f t="shared" si="42"/>
        <v/>
      </c>
      <c r="U263" s="163" t="str">
        <f t="shared" si="42"/>
        <v/>
      </c>
      <c r="V263" s="163" t="str">
        <f t="shared" si="42"/>
        <v/>
      </c>
      <c r="W263" s="163" t="str">
        <f t="shared" si="42"/>
        <v/>
      </c>
      <c r="X263" s="163" t="str">
        <f t="shared" si="42"/>
        <v/>
      </c>
      <c r="Y263" s="163" t="str">
        <f t="shared" si="42"/>
        <v/>
      </c>
      <c r="Z263" s="163" t="str">
        <f t="shared" si="42"/>
        <v/>
      </c>
      <c r="AA263" s="163" t="str">
        <f t="shared" si="42"/>
        <v/>
      </c>
      <c r="AB263" s="163" t="str">
        <f t="shared" si="42"/>
        <v/>
      </c>
      <c r="AC263" s="163" t="str">
        <f t="shared" si="42"/>
        <v/>
      </c>
      <c r="AD263" s="163" t="str">
        <f t="shared" si="42"/>
        <v/>
      </c>
      <c r="AE263" s="163" t="str">
        <f t="shared" si="42"/>
        <v/>
      </c>
      <c r="AF263" s="163" t="str">
        <f t="shared" si="42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43">IF(B231&lt;100,"",B231-620)</f>
        <v/>
      </c>
      <c r="C264" s="163" t="str">
        <f t="shared" si="43"/>
        <v/>
      </c>
      <c r="D264" s="163" t="str">
        <f t="shared" si="43"/>
        <v/>
      </c>
      <c r="E264" s="163" t="str">
        <f t="shared" si="43"/>
        <v/>
      </c>
      <c r="F264" s="163" t="str">
        <f t="shared" si="43"/>
        <v/>
      </c>
      <c r="G264" s="163" t="str">
        <f t="shared" si="43"/>
        <v/>
      </c>
      <c r="H264" s="163" t="str">
        <f t="shared" si="43"/>
        <v/>
      </c>
      <c r="I264" s="163" t="str">
        <f t="shared" si="43"/>
        <v/>
      </c>
      <c r="J264" s="163" t="str">
        <f t="shared" si="43"/>
        <v/>
      </c>
      <c r="K264" s="163" t="str">
        <f t="shared" si="43"/>
        <v/>
      </c>
      <c r="L264" s="163" t="str">
        <f t="shared" si="43"/>
        <v/>
      </c>
      <c r="M264" s="163" t="str">
        <f t="shared" si="43"/>
        <v/>
      </c>
      <c r="N264" s="163" t="str">
        <f t="shared" si="43"/>
        <v/>
      </c>
      <c r="O264" s="163" t="str">
        <f t="shared" si="43"/>
        <v/>
      </c>
      <c r="P264" s="163" t="str">
        <f t="shared" si="43"/>
        <v/>
      </c>
      <c r="Q264" s="163" t="str">
        <f t="shared" si="43"/>
        <v/>
      </c>
      <c r="R264" s="163" t="str">
        <f t="shared" si="43"/>
        <v/>
      </c>
      <c r="S264" s="163" t="str">
        <f t="shared" si="43"/>
        <v/>
      </c>
      <c r="T264" s="163" t="str">
        <f t="shared" si="43"/>
        <v/>
      </c>
      <c r="U264" s="163" t="str">
        <f t="shared" si="43"/>
        <v/>
      </c>
      <c r="V264" s="163" t="str">
        <f t="shared" si="43"/>
        <v/>
      </c>
      <c r="W264" s="163" t="str">
        <f t="shared" si="43"/>
        <v/>
      </c>
      <c r="X264" s="163" t="str">
        <f t="shared" si="43"/>
        <v/>
      </c>
      <c r="Y264" s="163" t="str">
        <f t="shared" si="43"/>
        <v/>
      </c>
      <c r="Z264" s="163" t="str">
        <f t="shared" si="43"/>
        <v/>
      </c>
      <c r="AA264" s="163" t="str">
        <f t="shared" si="43"/>
        <v/>
      </c>
      <c r="AB264" s="163" t="str">
        <f t="shared" si="43"/>
        <v/>
      </c>
      <c r="AC264" s="163" t="str">
        <f t="shared" si="43"/>
        <v/>
      </c>
      <c r="AD264" s="163" t="str">
        <f t="shared" si="43"/>
        <v/>
      </c>
      <c r="AE264" s="163" t="str">
        <f t="shared" si="43"/>
        <v/>
      </c>
      <c r="AF264" s="163" t="str">
        <f t="shared" si="43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44">IF(B232&lt;100,"",B232-330)</f>
        <v/>
      </c>
      <c r="C265" s="163" t="str">
        <f t="shared" si="44"/>
        <v/>
      </c>
      <c r="D265" s="163" t="str">
        <f t="shared" si="44"/>
        <v/>
      </c>
      <c r="E265" s="163" t="str">
        <f t="shared" si="44"/>
        <v/>
      </c>
      <c r="F265" s="163" t="str">
        <f t="shared" si="44"/>
        <v/>
      </c>
      <c r="G265" s="163" t="str">
        <f t="shared" si="44"/>
        <v/>
      </c>
      <c r="H265" s="163" t="str">
        <f t="shared" si="44"/>
        <v/>
      </c>
      <c r="I265" s="163" t="str">
        <f t="shared" si="44"/>
        <v/>
      </c>
      <c r="J265" s="163" t="str">
        <f t="shared" si="44"/>
        <v/>
      </c>
      <c r="K265" s="163" t="str">
        <f t="shared" si="44"/>
        <v/>
      </c>
      <c r="L265" s="163" t="str">
        <f t="shared" si="44"/>
        <v/>
      </c>
      <c r="M265" s="163" t="str">
        <f t="shared" si="44"/>
        <v/>
      </c>
      <c r="N265" s="163" t="str">
        <f t="shared" si="44"/>
        <v/>
      </c>
      <c r="O265" s="163" t="str">
        <f t="shared" si="44"/>
        <v/>
      </c>
      <c r="P265" s="163" t="str">
        <f t="shared" si="44"/>
        <v/>
      </c>
      <c r="Q265" s="163" t="str">
        <f t="shared" si="44"/>
        <v/>
      </c>
      <c r="R265" s="163" t="str">
        <f t="shared" si="44"/>
        <v/>
      </c>
      <c r="S265" s="163" t="str">
        <f t="shared" si="44"/>
        <v/>
      </c>
      <c r="T265" s="163" t="str">
        <f t="shared" si="44"/>
        <v/>
      </c>
      <c r="U265" s="163" t="str">
        <f t="shared" si="44"/>
        <v/>
      </c>
      <c r="V265" s="163" t="str">
        <f t="shared" si="44"/>
        <v/>
      </c>
      <c r="W265" s="163" t="str">
        <f t="shared" si="44"/>
        <v/>
      </c>
      <c r="X265" s="163" t="str">
        <f t="shared" si="44"/>
        <v/>
      </c>
      <c r="Y265" s="163" t="str">
        <f t="shared" si="44"/>
        <v/>
      </c>
      <c r="Z265" s="163" t="str">
        <f t="shared" si="44"/>
        <v/>
      </c>
      <c r="AA265" s="163" t="str">
        <f t="shared" si="44"/>
        <v/>
      </c>
      <c r="AB265" s="163" t="str">
        <f t="shared" si="44"/>
        <v/>
      </c>
      <c r="AC265" s="163" t="str">
        <f t="shared" si="44"/>
        <v/>
      </c>
      <c r="AD265" s="163" t="str">
        <f t="shared" si="44"/>
        <v/>
      </c>
      <c r="AE265" s="163" t="str">
        <f t="shared" si="44"/>
        <v/>
      </c>
      <c r="AF265" s="163" t="str">
        <f t="shared" si="44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45">IF(B233&lt;100,"",B233-1500)</f>
        <v/>
      </c>
      <c r="C266" s="163" t="str">
        <f t="shared" si="45"/>
        <v/>
      </c>
      <c r="D266" s="163" t="str">
        <f t="shared" si="45"/>
        <v/>
      </c>
      <c r="E266" s="163" t="str">
        <f t="shared" si="45"/>
        <v/>
      </c>
      <c r="F266" s="163" t="str">
        <f t="shared" si="45"/>
        <v/>
      </c>
      <c r="G266" s="163" t="str">
        <f t="shared" si="45"/>
        <v/>
      </c>
      <c r="H266" s="163" t="str">
        <f t="shared" si="45"/>
        <v/>
      </c>
      <c r="I266" s="163" t="str">
        <f t="shared" si="45"/>
        <v/>
      </c>
      <c r="J266" s="163" t="str">
        <f t="shared" si="45"/>
        <v/>
      </c>
      <c r="K266" s="163" t="str">
        <f t="shared" si="45"/>
        <v/>
      </c>
      <c r="L266" s="163" t="str">
        <f t="shared" si="45"/>
        <v/>
      </c>
      <c r="M266" s="163" t="str">
        <f t="shared" si="45"/>
        <v/>
      </c>
      <c r="N266" s="163" t="str">
        <f t="shared" si="45"/>
        <v/>
      </c>
      <c r="O266" s="163" t="str">
        <f t="shared" si="45"/>
        <v/>
      </c>
      <c r="P266" s="163" t="str">
        <f t="shared" si="45"/>
        <v/>
      </c>
      <c r="Q266" s="163" t="str">
        <f t="shared" si="45"/>
        <v/>
      </c>
      <c r="R266" s="163" t="str">
        <f t="shared" si="45"/>
        <v/>
      </c>
      <c r="S266" s="163" t="str">
        <f t="shared" si="45"/>
        <v/>
      </c>
      <c r="T266" s="163" t="str">
        <f t="shared" si="45"/>
        <v/>
      </c>
      <c r="U266" s="163" t="str">
        <f t="shared" si="45"/>
        <v/>
      </c>
      <c r="V266" s="163" t="str">
        <f t="shared" si="45"/>
        <v/>
      </c>
      <c r="W266" s="163" t="str">
        <f t="shared" si="45"/>
        <v/>
      </c>
      <c r="X266" s="163" t="str">
        <f t="shared" si="45"/>
        <v/>
      </c>
      <c r="Y266" s="163" t="str">
        <f t="shared" si="45"/>
        <v/>
      </c>
      <c r="Z266" s="163" t="str">
        <f t="shared" si="45"/>
        <v/>
      </c>
      <c r="AA266" s="163" t="str">
        <f t="shared" si="45"/>
        <v/>
      </c>
      <c r="AB266" s="163" t="str">
        <f t="shared" si="45"/>
        <v/>
      </c>
      <c r="AC266" s="163" t="str">
        <f t="shared" si="45"/>
        <v/>
      </c>
      <c r="AD266" s="163" t="str">
        <f t="shared" si="45"/>
        <v/>
      </c>
      <c r="AE266" s="163" t="str">
        <f t="shared" si="45"/>
        <v/>
      </c>
      <c r="AF266" s="163" t="str">
        <f t="shared" si="45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59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597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P23:W24 C104:AF104 C106:AF111 X11:AF11 X17:AF18 X15:AF15 X22:AF26">
    <cfRule type="expression" dxfId="5888" priority="593">
      <formula>B$9&gt;=20/24</formula>
    </cfRule>
    <cfRule type="expression" dxfId="5887" priority="594">
      <formula>AND(B$9&gt;=14/24,B$9&lt;20/24)</formula>
    </cfRule>
    <cfRule type="expression" dxfId="5886" priority="595">
      <formula>AND(B$9&gt;=8/24,B$9&lt;14/24)</formula>
    </cfRule>
    <cfRule type="expression" dxfId="5885" priority="596">
      <formula>B$9&lt;8/24</formula>
    </cfRule>
  </conditionalFormatting>
  <conditionalFormatting sqref="AL4:AL6">
    <cfRule type="iconSet" priority="592">
      <iconSet iconSet="3TrafficLights2" reverse="1">
        <cfvo type="percent" val="0"/>
        <cfvo type="num" val="1"/>
        <cfvo type="num" val="1"/>
      </iconSet>
    </cfRule>
  </conditionalFormatting>
  <conditionalFormatting sqref="S42:AF42">
    <cfRule type="expression" dxfId="5884" priority="588">
      <formula>S$9&gt;=20/24</formula>
    </cfRule>
    <cfRule type="expression" dxfId="5883" priority="589">
      <formula>AND(S$9&gt;=14/24,S$9&lt;20/24)</formula>
    </cfRule>
    <cfRule type="expression" dxfId="5882" priority="590">
      <formula>AND(S$9&gt;=8/24,S$9&lt;14/24)</formula>
    </cfRule>
    <cfRule type="expression" dxfId="5881" priority="591">
      <formula>S$9&lt;8/24</formula>
    </cfRule>
  </conditionalFormatting>
  <conditionalFormatting sqref="AG60 P23:W24 E12:W13 X11:AF18 S42:AF42 X40:AF40 X20:AF20 X22:AF26">
    <cfRule type="expression" dxfId="5880" priority="587">
      <formula>E11&gt;$AG11</formula>
    </cfRule>
  </conditionalFormatting>
  <conditionalFormatting sqref="A94:A104 A54:A81 A90:A92 A197:A227 A41:A52 A113:A184 A37:A38 A86:A88 A83:A84 A106:A108 A34:A35 A20:A32 A17:A18 A11:A15">
    <cfRule type="expression" dxfId="5879" priority="586">
      <formula>$AH11=0</formula>
    </cfRule>
  </conditionalFormatting>
  <conditionalFormatting sqref="A109">
    <cfRule type="expression" dxfId="5878" priority="585">
      <formula>$AH109=0</formula>
    </cfRule>
  </conditionalFormatting>
  <conditionalFormatting sqref="AL38">
    <cfRule type="iconSet" priority="584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877" priority="583">
      <formula>$AH40=0</formula>
    </cfRule>
  </conditionalFormatting>
  <conditionalFormatting sqref="A93">
    <cfRule type="expression" dxfId="5876" priority="582">
      <formula>$AH93=0</formula>
    </cfRule>
  </conditionalFormatting>
  <conditionalFormatting sqref="A16">
    <cfRule type="expression" dxfId="5875" priority="581">
      <formula>$AH16=0</formula>
    </cfRule>
  </conditionalFormatting>
  <conditionalFormatting sqref="A191:A196">
    <cfRule type="expression" dxfId="5874" priority="580">
      <formula>$AH191=0</formula>
    </cfRule>
  </conditionalFormatting>
  <conditionalFormatting sqref="A185:A190">
    <cfRule type="expression" dxfId="5873" priority="579">
      <formula>$AH185=0</formula>
    </cfRule>
  </conditionalFormatting>
  <conditionalFormatting sqref="A53">
    <cfRule type="expression" dxfId="5872" priority="578">
      <formula>$AH53=0</formula>
    </cfRule>
  </conditionalFormatting>
  <conditionalFormatting sqref="A89">
    <cfRule type="expression" dxfId="5871" priority="577">
      <formula>$AH89=0</formula>
    </cfRule>
  </conditionalFormatting>
  <conditionalFormatting sqref="C94:AF94">
    <cfRule type="expression" dxfId="5870" priority="573">
      <formula>C$9&gt;=20/24</formula>
    </cfRule>
    <cfRule type="expression" dxfId="5869" priority="574">
      <formula>AND(C$9&gt;=14/24,C$9&lt;20/24)</formula>
    </cfRule>
    <cfRule type="expression" dxfId="5868" priority="575">
      <formula>AND(C$9&gt;=8/24,C$9&lt;14/24)</formula>
    </cfRule>
    <cfRule type="expression" dxfId="5867" priority="576">
      <formula>C$9&lt;8/24</formula>
    </cfRule>
  </conditionalFormatting>
  <conditionalFormatting sqref="AL39">
    <cfRule type="iconSet" priority="57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866" priority="599">
      <formula>C$9&gt;=20/24</formula>
    </cfRule>
    <cfRule type="expression" dxfId="5865" priority="600">
      <formula>AND(C$9&gt;=14/24,C$9&lt;20/24)</formula>
    </cfRule>
    <cfRule type="expression" dxfId="5864" priority="601">
      <formula>AND(C$9&gt;=8/24,C$9&lt;14/24)</formula>
    </cfRule>
    <cfRule type="expression" dxfId="5863" priority="602">
      <formula>C$9&lt;8/24</formula>
    </cfRule>
  </conditionalFormatting>
  <conditionalFormatting sqref="A228">
    <cfRule type="expression" dxfId="5862" priority="603">
      <formula>$AH228=0</formula>
    </cfRule>
  </conditionalFormatting>
  <conditionalFormatting sqref="AG240">
    <cfRule type="expression" dxfId="5861" priority="604">
      <formula>B$9&gt;=20/24</formula>
    </cfRule>
    <cfRule type="expression" dxfId="5860" priority="605">
      <formula>AND(B$9&gt;=14/24,B$9&lt;20/24)</formula>
    </cfRule>
    <cfRule type="expression" dxfId="5859" priority="606">
      <formula>AND(B$9&gt;=8/24,B$9&lt;14/24)</formula>
    </cfRule>
    <cfRule type="expression" dxfId="5858" priority="607">
      <formula>B$9&lt;8/24</formula>
    </cfRule>
  </conditionalFormatting>
  <conditionalFormatting sqref="S8">
    <cfRule type="expression" dxfId="5857" priority="568">
      <formula>U$9&gt;=20/24</formula>
    </cfRule>
    <cfRule type="expression" dxfId="5856" priority="569">
      <formula>AND(U$9&gt;=14/24,U$9&lt;20/24)</formula>
    </cfRule>
    <cfRule type="expression" dxfId="5855" priority="570">
      <formula>AND(U$9&gt;=8/24,U$9&lt;14/24)</formula>
    </cfRule>
    <cfRule type="expression" dxfId="5854" priority="571">
      <formula>U$9&lt;8/24</formula>
    </cfRule>
  </conditionalFormatting>
  <conditionalFormatting sqref="AB8">
    <cfRule type="expression" dxfId="5853" priority="564">
      <formula>AD$9&gt;=20/24</formula>
    </cfRule>
    <cfRule type="expression" dxfId="5852" priority="565">
      <formula>AND(AD$9&gt;=14/24,AD$9&lt;20/24)</formula>
    </cfRule>
    <cfRule type="expression" dxfId="5851" priority="566">
      <formula>AND(AD$9&gt;=8/24,AD$9&lt;14/24)</formula>
    </cfRule>
    <cfRule type="expression" dxfId="5850" priority="567">
      <formula>AD$9&lt;8/24</formula>
    </cfRule>
  </conditionalFormatting>
  <conditionalFormatting sqref="AH240:AX240">
    <cfRule type="expression" dxfId="5849" priority="608">
      <formula>AG$9&gt;=20/24</formula>
    </cfRule>
    <cfRule type="expression" dxfId="5848" priority="609">
      <formula>AND(AG$9&gt;=14/24,AG$9&lt;20/24)</formula>
    </cfRule>
    <cfRule type="expression" dxfId="5847" priority="610">
      <formula>AND(AG$9&gt;=8/24,AG$9&lt;14/24)</formula>
    </cfRule>
    <cfRule type="expression" dxfId="5846" priority="611">
      <formula>AG$9&lt;8/24</formula>
    </cfRule>
  </conditionalFormatting>
  <conditionalFormatting sqref="T240">
    <cfRule type="expression" dxfId="5845" priority="612">
      <formula>AX$9&gt;=20/24</formula>
    </cfRule>
    <cfRule type="expression" dxfId="5844" priority="613">
      <formula>AND(AX$9&gt;=14/24,AX$9&lt;20/24)</formula>
    </cfRule>
    <cfRule type="expression" dxfId="5843" priority="614">
      <formula>AND(AX$9&gt;=8/24,AX$9&lt;14/24)</formula>
    </cfRule>
    <cfRule type="expression" dxfId="5842" priority="615">
      <formula>AX$9&lt;8/24</formula>
    </cfRule>
  </conditionalFormatting>
  <conditionalFormatting sqref="A110:A111">
    <cfRule type="expression" dxfId="5841" priority="563">
      <formula>$AH110=0</formula>
    </cfRule>
  </conditionalFormatting>
  <conditionalFormatting sqref="E49:M50 AB49:AF50 E66:AF66">
    <cfRule type="expression" dxfId="5840" priority="559">
      <formula>E$9&gt;=20/24</formula>
    </cfRule>
    <cfRule type="expression" dxfId="5839" priority="560">
      <formula>AND(E$9&gt;=14/24,E$9&lt;20/24)</formula>
    </cfRule>
    <cfRule type="expression" dxfId="5838" priority="561">
      <formula>AND(E$9&gt;=8/24,E$9&lt;14/24)</formula>
    </cfRule>
    <cfRule type="expression" dxfId="5837" priority="562">
      <formula>E$9&lt;8/24</formula>
    </cfRule>
  </conditionalFormatting>
  <conditionalFormatting sqref="E48:M48 AB48:AF48">
    <cfRule type="expression" dxfId="5836" priority="555">
      <formula>E$9&gt;=20/24</formula>
    </cfRule>
    <cfRule type="expression" dxfId="5835" priority="556">
      <formula>AND(E$9&gt;=14/24,E$9&lt;20/24)</formula>
    </cfRule>
    <cfRule type="expression" dxfId="5834" priority="557">
      <formula>AND(E$9&gt;=8/24,E$9&lt;14/24)</formula>
    </cfRule>
    <cfRule type="expression" dxfId="5833" priority="558">
      <formula>E$9&lt;8/24</formula>
    </cfRule>
  </conditionalFormatting>
  <conditionalFormatting sqref="E48:M50 AB48:AF50">
    <cfRule type="expression" dxfId="5832" priority="554">
      <formula>E48&gt;$AG48</formula>
    </cfRule>
  </conditionalFormatting>
  <conditionalFormatting sqref="C91:AF91 M42:R42 C78:AF81 X12:AF14 X28:AF30 X32:AF32 X20:AF20 X34:AF37 S62:AF64 E67:AF68 D95:AF101">
    <cfRule type="expression" dxfId="5831" priority="550">
      <formula>C$9&gt;=20/24</formula>
    </cfRule>
    <cfRule type="expression" dxfId="5830" priority="551">
      <formula>AND(C$9&gt;=14/24,C$9&lt;20/24)</formula>
    </cfRule>
    <cfRule type="expression" dxfId="5829" priority="552">
      <formula>AND(C$9&gt;=8/24,C$9&lt;14/24)</formula>
    </cfRule>
    <cfRule type="expression" dxfId="5828" priority="553">
      <formula>C$9&lt;8/24</formula>
    </cfRule>
  </conditionalFormatting>
  <conditionalFormatting sqref="X38:AF38">
    <cfRule type="expression" dxfId="5827" priority="546">
      <formula>X$9&gt;=20/24</formula>
    </cfRule>
    <cfRule type="expression" dxfId="5826" priority="547">
      <formula>AND(X$9&gt;=14/24,X$9&lt;20/24)</formula>
    </cfRule>
    <cfRule type="expression" dxfId="5825" priority="548">
      <formula>AND(X$9&gt;=8/24,X$9&lt;14/24)</formula>
    </cfRule>
    <cfRule type="expression" dxfId="5824" priority="549">
      <formula>X$9&lt;8/24</formula>
    </cfRule>
  </conditionalFormatting>
  <conditionalFormatting sqref="AF51:AF52 C60:AF60 M42:R42 E51:P51 X28:AF32 X34:AF38 S62:AF64">
    <cfRule type="expression" dxfId="5823" priority="545">
      <formula>C28&gt;$AG28</formula>
    </cfRule>
  </conditionalFormatting>
  <conditionalFormatting sqref="X40:AF40">
    <cfRule type="expression" dxfId="5822" priority="541">
      <formula>X$9&gt;=20/24</formula>
    </cfRule>
    <cfRule type="expression" dxfId="5821" priority="542">
      <formula>AND(X$9&gt;=14/24,X$9&lt;20/24)</formula>
    </cfRule>
    <cfRule type="expression" dxfId="5820" priority="543">
      <formula>AND(X$9&gt;=8/24,X$9&lt;14/24)</formula>
    </cfRule>
    <cfRule type="expression" dxfId="5819" priority="544">
      <formula>X$9&lt;8/24</formula>
    </cfRule>
  </conditionalFormatting>
  <conditionalFormatting sqref="X16:AF16">
    <cfRule type="expression" dxfId="5818" priority="537">
      <formula>X$9&gt;=20/24</formula>
    </cfRule>
    <cfRule type="expression" dxfId="5817" priority="538">
      <formula>AND(X$9&gt;=14/24,X$9&lt;20/24)</formula>
    </cfRule>
    <cfRule type="expression" dxfId="5816" priority="539">
      <formula>AND(X$9&gt;=8/24,X$9&lt;14/24)</formula>
    </cfRule>
    <cfRule type="expression" dxfId="5815" priority="540">
      <formula>X$9&lt;8/24</formula>
    </cfRule>
  </conditionalFormatting>
  <conditionalFormatting sqref="X39:AF39">
    <cfRule type="expression" dxfId="5814" priority="533">
      <formula>X$9&gt;=20/24</formula>
    </cfRule>
    <cfRule type="expression" dxfId="5813" priority="534">
      <formula>AND(X$9&gt;=14/24,X$9&lt;20/24)</formula>
    </cfRule>
    <cfRule type="expression" dxfId="5812" priority="535">
      <formula>AND(X$9&gt;=8/24,X$9&lt;14/24)</formula>
    </cfRule>
    <cfRule type="expression" dxfId="5811" priority="536">
      <formula>X$9&lt;8/24</formula>
    </cfRule>
  </conditionalFormatting>
  <conditionalFormatting sqref="X39:AF39">
    <cfRule type="expression" dxfId="5810" priority="532">
      <formula>X39&gt;$AG39</formula>
    </cfRule>
  </conditionalFormatting>
  <conditionalFormatting sqref="AF53 X51:AE52">
    <cfRule type="expression" dxfId="5809" priority="528">
      <formula>X$9&gt;=20/24</formula>
    </cfRule>
    <cfRule type="expression" dxfId="5808" priority="529">
      <formula>AND(X$9&gt;=14/24,X$9&lt;20/24)</formula>
    </cfRule>
    <cfRule type="expression" dxfId="5807" priority="530">
      <formula>AND(X$9&gt;=8/24,X$9&lt;14/24)</formula>
    </cfRule>
    <cfRule type="expression" dxfId="5806" priority="531">
      <formula>X$9&lt;8/24</formula>
    </cfRule>
  </conditionalFormatting>
  <conditionalFormatting sqref="AF53 X51:AE52">
    <cfRule type="expression" dxfId="5805" priority="527">
      <formula>X51&gt;$AG51</formula>
    </cfRule>
  </conditionalFormatting>
  <conditionalFormatting sqref="Q51 N48:Q50 N52:Q52 R48:W52 X53:AE54 AF54">
    <cfRule type="expression" dxfId="5804" priority="523">
      <formula>N$9&gt;=20/24</formula>
    </cfRule>
    <cfRule type="expression" dxfId="5803" priority="524">
      <formula>AND(N$9&gt;=14/24,N$9&lt;20/24)</formula>
    </cfRule>
    <cfRule type="expression" dxfId="5802" priority="525">
      <formula>AND(N$9&gt;=8/24,N$9&lt;14/24)</formula>
    </cfRule>
    <cfRule type="expression" dxfId="5801" priority="526">
      <formula>N$9&lt;8/24</formula>
    </cfRule>
  </conditionalFormatting>
  <conditionalFormatting sqref="Q51 N48:Q50 N52:Q52 R48:W52 X53:AE54 AF54">
    <cfRule type="expression" dxfId="5800" priority="522">
      <formula>N48&gt;$AG48</formula>
    </cfRule>
  </conditionalFormatting>
  <conditionalFormatting sqref="X31:AF31">
    <cfRule type="expression" dxfId="5799" priority="518">
      <formula>X$9&gt;=20/24</formula>
    </cfRule>
    <cfRule type="expression" dxfId="5798" priority="519">
      <formula>AND(X$9&gt;=14/24,X$9&lt;20/24)</formula>
    </cfRule>
    <cfRule type="expression" dxfId="5797" priority="520">
      <formula>AND(X$9&gt;=8/24,X$9&lt;14/24)</formula>
    </cfRule>
    <cfRule type="expression" dxfId="5796" priority="521">
      <formula>X$9&lt;8/24</formula>
    </cfRule>
  </conditionalFormatting>
  <conditionalFormatting sqref="X21:AF21 X27:AF27">
    <cfRule type="expression" dxfId="5795" priority="514">
      <formula>X$9&gt;=20/24</formula>
    </cfRule>
    <cfRule type="expression" dxfId="5794" priority="515">
      <formula>AND(X$9&gt;=14/24,X$9&lt;20/24)</formula>
    </cfRule>
    <cfRule type="expression" dxfId="5793" priority="516">
      <formula>AND(X$9&gt;=8/24,X$9&lt;14/24)</formula>
    </cfRule>
    <cfRule type="expression" dxfId="5792" priority="517">
      <formula>X$9&lt;8/24</formula>
    </cfRule>
  </conditionalFormatting>
  <conditionalFormatting sqref="X21:AF21 X27:AF27">
    <cfRule type="expression" dxfId="5791" priority="513">
      <formula>X21&gt;$AG21</formula>
    </cfRule>
  </conditionalFormatting>
  <conditionalFormatting sqref="D48">
    <cfRule type="expression" dxfId="5790" priority="509">
      <formula>D$9&gt;=20/24</formula>
    </cfRule>
    <cfRule type="expression" dxfId="5789" priority="510">
      <formula>AND(D$9&gt;=14/24,D$9&lt;20/24)</formula>
    </cfRule>
    <cfRule type="expression" dxfId="5788" priority="511">
      <formula>AND(D$9&gt;=8/24,D$9&lt;14/24)</formula>
    </cfRule>
    <cfRule type="expression" dxfId="5787" priority="512">
      <formula>D$9&lt;8/24</formula>
    </cfRule>
  </conditionalFormatting>
  <conditionalFormatting sqref="D48">
    <cfRule type="expression" dxfId="5786" priority="508">
      <formula>D48&gt;$AG48</formula>
    </cfRule>
  </conditionalFormatting>
  <conditionalFormatting sqref="X49:AA50">
    <cfRule type="expression" dxfId="5785" priority="504">
      <formula>X$9&gt;=20/24</formula>
    </cfRule>
    <cfRule type="expression" dxfId="5784" priority="505">
      <formula>AND(X$9&gt;=14/24,X$9&lt;20/24)</formula>
    </cfRule>
    <cfRule type="expression" dxfId="5783" priority="506">
      <formula>AND(X$9&gt;=8/24,X$9&lt;14/24)</formula>
    </cfRule>
    <cfRule type="expression" dxfId="5782" priority="507">
      <formula>X$9&lt;8/24</formula>
    </cfRule>
  </conditionalFormatting>
  <conditionalFormatting sqref="X48:AA48">
    <cfRule type="expression" dxfId="5781" priority="500">
      <formula>X$9&gt;=20/24</formula>
    </cfRule>
    <cfRule type="expression" dxfId="5780" priority="501">
      <formula>AND(X$9&gt;=14/24,X$9&lt;20/24)</formula>
    </cfRule>
    <cfRule type="expression" dxfId="5779" priority="502">
      <formula>AND(X$9&gt;=8/24,X$9&lt;14/24)</formula>
    </cfRule>
    <cfRule type="expression" dxfId="5778" priority="503">
      <formula>X$9&lt;8/24</formula>
    </cfRule>
  </conditionalFormatting>
  <conditionalFormatting sqref="X48:AA50">
    <cfRule type="expression" dxfId="5777" priority="499">
      <formula>X48&gt;$AG48</formula>
    </cfRule>
  </conditionalFormatting>
  <conditionalFormatting sqref="C83:AF83 C92:AF92 E11:W11">
    <cfRule type="expression" dxfId="5776" priority="495">
      <formula>C$9&gt;=20/24</formula>
    </cfRule>
    <cfRule type="expression" dxfId="5775" priority="496">
      <formula>AND(C$9&gt;=14/24,C$9&lt;20/24)</formula>
    </cfRule>
    <cfRule type="expression" dxfId="5774" priority="497">
      <formula>AND(C$9&gt;=8/24,C$9&lt;14/24)</formula>
    </cfRule>
    <cfRule type="expression" dxfId="5773" priority="498">
      <formula>C$9&lt;8/24</formula>
    </cfRule>
  </conditionalFormatting>
  <conditionalFormatting sqref="C42:L42">
    <cfRule type="expression" dxfId="5772" priority="491">
      <formula>C$9&gt;=20/24</formula>
    </cfRule>
    <cfRule type="expression" dxfId="5771" priority="492">
      <formula>AND(C$9&gt;=14/24,C$9&lt;20/24)</formula>
    </cfRule>
    <cfRule type="expression" dxfId="5770" priority="493">
      <formula>AND(C$9&gt;=8/24,C$9&lt;14/24)</formula>
    </cfRule>
    <cfRule type="expression" dxfId="5769" priority="494">
      <formula>C$9&lt;8/24</formula>
    </cfRule>
  </conditionalFormatting>
  <conditionalFormatting sqref="C42:L42 E11:W11">
    <cfRule type="expression" dxfId="5768" priority="490">
      <formula>C11&gt;$AG11</formula>
    </cfRule>
  </conditionalFormatting>
  <conditionalFormatting sqref="C49:D50 C66:D66 C41:AF41">
    <cfRule type="expression" dxfId="5767" priority="482">
      <formula>C$9&gt;=20/24</formula>
    </cfRule>
    <cfRule type="expression" dxfId="5766" priority="483">
      <formula>AND(C$9&gt;=14/24,C$9&lt;20/24)</formula>
    </cfRule>
    <cfRule type="expression" dxfId="5765" priority="484">
      <formula>AND(C$9&gt;=8/24,C$9&lt;14/24)</formula>
    </cfRule>
    <cfRule type="expression" dxfId="5764" priority="485">
      <formula>C$9&lt;8/24</formula>
    </cfRule>
  </conditionalFormatting>
  <conditionalFormatting sqref="C48">
    <cfRule type="expression" dxfId="5763" priority="478">
      <formula>C$9&gt;=20/24</formula>
    </cfRule>
    <cfRule type="expression" dxfId="5762" priority="479">
      <formula>AND(C$9&gt;=14/24,C$9&lt;20/24)</formula>
    </cfRule>
    <cfRule type="expression" dxfId="5761" priority="480">
      <formula>AND(C$9&gt;=8/24,C$9&lt;14/24)</formula>
    </cfRule>
    <cfRule type="expression" dxfId="5760" priority="481">
      <formula>C$9&lt;8/24</formula>
    </cfRule>
  </conditionalFormatting>
  <conditionalFormatting sqref="C48:C50 D49:D50 C41:AF41">
    <cfRule type="expression" dxfId="5759" priority="477">
      <formula>C41&gt;$AG41</formula>
    </cfRule>
  </conditionalFormatting>
  <conditionalFormatting sqref="C84:AF84 C65:AG65 C82:AG82 C93:AF93 C95:C101 C67:D76 C62:R64 E12:W13 E69:AF76">
    <cfRule type="expression" dxfId="5758" priority="473">
      <formula>C$9&gt;=20/24</formula>
    </cfRule>
    <cfRule type="expression" dxfId="5757" priority="474">
      <formula>AND(C$9&gt;=14/24,C$9&lt;20/24)</formula>
    </cfRule>
    <cfRule type="expression" dxfId="5756" priority="475">
      <formula>AND(C$9&gt;=8/24,C$9&lt;14/24)</formula>
    </cfRule>
    <cfRule type="expression" dxfId="5755" priority="476">
      <formula>C$9&lt;8/24</formula>
    </cfRule>
  </conditionalFormatting>
  <conditionalFormatting sqref="C43:AG43 C61:AG61 C65:AG65 C62:R64 E52:M52">
    <cfRule type="expression" dxfId="5754" priority="468">
      <formula>C43&gt;$AG43</formula>
    </cfRule>
  </conditionalFormatting>
  <conditionalFormatting sqref="E53:M53 N53:W59">
    <cfRule type="expression" dxfId="5753" priority="451">
      <formula>E$9&gt;=20/24</formula>
    </cfRule>
    <cfRule type="expression" dxfId="5752" priority="452">
      <formula>AND(E$9&gt;=14/24,E$9&lt;20/24)</formula>
    </cfRule>
    <cfRule type="expression" dxfId="5751" priority="453">
      <formula>AND(E$9&gt;=8/24,E$9&lt;14/24)</formula>
    </cfRule>
    <cfRule type="expression" dxfId="5750" priority="454">
      <formula>E$9&lt;8/24</formula>
    </cfRule>
  </conditionalFormatting>
  <conditionalFormatting sqref="E53:M53 N53:W59">
    <cfRule type="expression" dxfId="5749" priority="450">
      <formula>E53&gt;$AG53</formula>
    </cfRule>
  </conditionalFormatting>
  <conditionalFormatting sqref="A39">
    <cfRule type="expression" dxfId="5748" priority="440">
      <formula>$AH39=0</formula>
    </cfRule>
  </conditionalFormatting>
  <conditionalFormatting sqref="C77:AF77">
    <cfRule type="expression" dxfId="5747" priority="436">
      <formula>C$9&gt;=20/24</formula>
    </cfRule>
    <cfRule type="expression" dxfId="5746" priority="437">
      <formula>AND(C$9&gt;=14/24,C$9&lt;20/24)</formula>
    </cfRule>
    <cfRule type="expression" dxfId="5745" priority="438">
      <formula>AND(C$9&gt;=8/24,C$9&lt;14/24)</formula>
    </cfRule>
    <cfRule type="expression" dxfId="5744" priority="439">
      <formula>C$9&lt;8/24</formula>
    </cfRule>
  </conditionalFormatting>
  <conditionalFormatting sqref="C86:AF90">
    <cfRule type="expression" dxfId="5743" priority="432">
      <formula>C$9&gt;=20/24</formula>
    </cfRule>
    <cfRule type="expression" dxfId="5742" priority="433">
      <formula>AND(C$9&gt;=14/24,C$9&lt;20/24)</formula>
    </cfRule>
    <cfRule type="expression" dxfId="5741" priority="434">
      <formula>AND(C$9&gt;=8/24,C$9&lt;14/24)</formula>
    </cfRule>
    <cfRule type="expression" dxfId="5740" priority="435">
      <formula>C$9&lt;8/24</formula>
    </cfRule>
  </conditionalFormatting>
  <conditionalFormatting sqref="AL40 AL37 AL20:AL32 AL34:AL35 AL7:AL18">
    <cfRule type="iconSet" priority="616">
      <iconSet iconSet="3TrafficLights2" reverse="1">
        <cfvo type="percent" val="0"/>
        <cfvo type="num" val="1"/>
        <cfvo type="num" val="1"/>
      </iconSet>
    </cfRule>
  </conditionalFormatting>
  <conditionalFormatting sqref="C44:W44 E45:W46 X44:AF46">
    <cfRule type="expression" dxfId="5739" priority="428">
      <formula>C$9&gt;=20/24</formula>
    </cfRule>
    <cfRule type="expression" dxfId="5738" priority="429">
      <formula>AND(C$9&gt;=14/24,C$9&lt;20/24)</formula>
    </cfRule>
    <cfRule type="expression" dxfId="5737" priority="430">
      <formula>AND(C$9&gt;=8/24,C$9&lt;14/24)</formula>
    </cfRule>
    <cfRule type="expression" dxfId="5736" priority="431">
      <formula>C$9&lt;8/24</formula>
    </cfRule>
  </conditionalFormatting>
  <conditionalFormatting sqref="C44:W44 E45:W46 X44:AF46">
    <cfRule type="expression" dxfId="5735" priority="427">
      <formula>C44&gt;$AG44</formula>
    </cfRule>
  </conditionalFormatting>
  <conditionalFormatting sqref="C47:AG47">
    <cfRule type="expression" dxfId="5734" priority="423">
      <formula>C$9&gt;=20/24</formula>
    </cfRule>
    <cfRule type="expression" dxfId="5733" priority="424">
      <formula>AND(C$9&gt;=14/24,C$9&lt;20/24)</formula>
    </cfRule>
    <cfRule type="expression" dxfId="5732" priority="425">
      <formula>AND(C$9&gt;=8/24,C$9&lt;14/24)</formula>
    </cfRule>
    <cfRule type="expression" dxfId="5731" priority="426">
      <formula>C$9&lt;8/24</formula>
    </cfRule>
  </conditionalFormatting>
  <conditionalFormatting sqref="C47:AG47">
    <cfRule type="expression" dxfId="5730" priority="422">
      <formula>C47&gt;$AG47</formula>
    </cfRule>
  </conditionalFormatting>
  <conditionalFormatting sqref="C102:AF102">
    <cfRule type="expression" dxfId="5729" priority="418">
      <formula>C$9&gt;=20/24</formula>
    </cfRule>
    <cfRule type="expression" dxfId="5728" priority="419">
      <formula>AND(C$9&gt;=14/24,C$9&lt;20/24)</formula>
    </cfRule>
    <cfRule type="expression" dxfId="5727" priority="420">
      <formula>AND(C$9&gt;=8/24,C$9&lt;14/24)</formula>
    </cfRule>
    <cfRule type="expression" dxfId="5726" priority="421">
      <formula>C$9&lt;8/24</formula>
    </cfRule>
  </conditionalFormatting>
  <conditionalFormatting sqref="AL36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5725" priority="408">
      <formula>$AH36=0</formula>
    </cfRule>
  </conditionalFormatting>
  <conditionalFormatting sqref="A85">
    <cfRule type="expression" dxfId="5724" priority="406">
      <formula>$AH85=0</formula>
    </cfRule>
  </conditionalFormatting>
  <conditionalFormatting sqref="A82">
    <cfRule type="expression" dxfId="5723" priority="407">
      <formula>$AH82=0</formula>
    </cfRule>
  </conditionalFormatting>
  <conditionalFormatting sqref="A112">
    <cfRule type="expression" dxfId="5722" priority="397">
      <formula>$AH112=0</formula>
    </cfRule>
  </conditionalFormatting>
  <conditionalFormatting sqref="C105:AF105">
    <cfRule type="expression" dxfId="5721" priority="393">
      <formula>C$9&gt;=20/24</formula>
    </cfRule>
    <cfRule type="expression" dxfId="5720" priority="394">
      <formula>AND(C$9&gt;=14/24,C$9&lt;20/24)</formula>
    </cfRule>
    <cfRule type="expression" dxfId="5719" priority="395">
      <formula>AND(C$9&gt;=8/24,C$9&lt;14/24)</formula>
    </cfRule>
    <cfRule type="expression" dxfId="5718" priority="396">
      <formula>C$9&lt;8/24</formula>
    </cfRule>
  </conditionalFormatting>
  <conditionalFormatting sqref="A105">
    <cfRule type="expression" dxfId="5717" priority="392">
      <formula>$AH105=0</formula>
    </cfRule>
  </conditionalFormatting>
  <conditionalFormatting sqref="X55:AF59">
    <cfRule type="expression" dxfId="5716" priority="384">
      <formula>X$9&gt;=20/24</formula>
    </cfRule>
    <cfRule type="expression" dxfId="5715" priority="385">
      <formula>AND(X$9&gt;=14/24,X$9&lt;20/24)</formula>
    </cfRule>
    <cfRule type="expression" dxfId="5714" priority="386">
      <formula>AND(X$9&gt;=8/24,X$9&lt;14/24)</formula>
    </cfRule>
    <cfRule type="expression" dxfId="5713" priority="387">
      <formula>X$9&lt;8/24</formula>
    </cfRule>
  </conditionalFormatting>
  <conditionalFormatting sqref="X55:AF59">
    <cfRule type="expression" dxfId="5712" priority="383">
      <formula>X55&gt;$AG55</formula>
    </cfRule>
  </conditionalFormatting>
  <conditionalFormatting sqref="X19:AF19">
    <cfRule type="expression" dxfId="5711" priority="381">
      <formula>X19&gt;$AG19</formula>
    </cfRule>
  </conditionalFormatting>
  <conditionalFormatting sqref="A19">
    <cfRule type="expression" dxfId="5710" priority="380">
      <formula>$AH19=0</formula>
    </cfRule>
  </conditionalFormatting>
  <conditionalFormatting sqref="X19:AF19">
    <cfRule type="expression" dxfId="5709" priority="376">
      <formula>X$9&gt;=20/24</formula>
    </cfRule>
    <cfRule type="expression" dxfId="5708" priority="377">
      <formula>AND(X$9&gt;=14/24,X$9&lt;20/24)</formula>
    </cfRule>
    <cfRule type="expression" dxfId="5707" priority="378">
      <formula>AND(X$9&gt;=8/24,X$9&lt;14/24)</formula>
    </cfRule>
    <cfRule type="expression" dxfId="5706" priority="379">
      <formula>X$9&lt;8/24</formula>
    </cfRule>
  </conditionalFormatting>
  <conditionalFormatting sqref="AL19">
    <cfRule type="iconSet" priority="382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705" priority="370">
      <formula>$AH33=0</formula>
    </cfRule>
  </conditionalFormatting>
  <conditionalFormatting sqref="X33:AF33">
    <cfRule type="expression" dxfId="5704" priority="366">
      <formula>X$9&gt;=20/24</formula>
    </cfRule>
    <cfRule type="expression" dxfId="5703" priority="367">
      <formula>AND(X$9&gt;=14/24,X$9&lt;20/24)</formula>
    </cfRule>
    <cfRule type="expression" dxfId="5702" priority="368">
      <formula>AND(X$9&gt;=8/24,X$9&lt;14/24)</formula>
    </cfRule>
    <cfRule type="expression" dxfId="5701" priority="369">
      <formula>X$9&lt;8/24</formula>
    </cfRule>
  </conditionalFormatting>
  <conditionalFormatting sqref="X33:AF33">
    <cfRule type="expression" dxfId="5700" priority="365">
      <formula>X33&gt;$AG33</formula>
    </cfRule>
  </conditionalFormatting>
  <conditionalFormatting sqref="AL33">
    <cfRule type="iconSet" priority="371">
      <iconSet iconSet="3TrafficLights2" reverse="1">
        <cfvo type="percent" val="0"/>
        <cfvo type="num" val="1"/>
        <cfvo type="num" val="1"/>
      </iconSet>
    </cfRule>
  </conditionalFormatting>
  <conditionalFormatting sqref="B104 B106:B111 B11:D11 B22:O26 B17:W18 B15:W15 P22:W22 P25:W26">
    <cfRule type="expression" dxfId="5699" priority="123">
      <formula>B$9&gt;=20/24</formula>
    </cfRule>
    <cfRule type="expression" dxfId="5698" priority="124">
      <formula>AND(B$9&gt;=14/24,B$9&lt;20/24)</formula>
    </cfRule>
    <cfRule type="expression" dxfId="5697" priority="125">
      <formula>AND(B$9&gt;=8/24,B$9&lt;14/24)</formula>
    </cfRule>
    <cfRule type="expression" dxfId="5696" priority="126">
      <formula>B$9&lt;8/24</formula>
    </cfRule>
  </conditionalFormatting>
  <conditionalFormatting sqref="B42">
    <cfRule type="expression" dxfId="5695" priority="119">
      <formula>B$9&gt;=20/24</formula>
    </cfRule>
    <cfRule type="expression" dxfId="5694" priority="120">
      <formula>AND(B$9&gt;=14/24,B$9&lt;20/24)</formula>
    </cfRule>
    <cfRule type="expression" dxfId="5693" priority="121">
      <formula>AND(B$9&gt;=8/24,B$9&lt;14/24)</formula>
    </cfRule>
    <cfRule type="expression" dxfId="5692" priority="122">
      <formula>B$9&lt;8/24</formula>
    </cfRule>
  </conditionalFormatting>
  <conditionalFormatting sqref="B42 B11:D13 B22:O26 B20:W20 P22:W22 B14:W18 P25:W26 B40:W40">
    <cfRule type="expression" dxfId="5691" priority="118">
      <formula>B11&gt;$AG11</formula>
    </cfRule>
  </conditionalFormatting>
  <conditionalFormatting sqref="B94">
    <cfRule type="expression" dxfId="5690" priority="114">
      <formula>B$9&gt;=20/24</formula>
    </cfRule>
    <cfRule type="expression" dxfId="5689" priority="115">
      <formula>AND(B$9&gt;=14/24,B$9&lt;20/24)</formula>
    </cfRule>
    <cfRule type="expression" dxfId="5688" priority="116">
      <formula>AND(B$9&gt;=8/24,B$9&lt;14/24)</formula>
    </cfRule>
    <cfRule type="expression" dxfId="5687" priority="117">
      <formula>B$9&lt;8/24</formula>
    </cfRule>
  </conditionalFormatting>
  <conditionalFormatting sqref="B49:B50 B66">
    <cfRule type="expression" dxfId="5686" priority="110">
      <formula>B$9&gt;=20/24</formula>
    </cfRule>
    <cfRule type="expression" dxfId="5685" priority="111">
      <formula>AND(B$9&gt;=14/24,B$9&lt;20/24)</formula>
    </cfRule>
    <cfRule type="expression" dxfId="5684" priority="112">
      <formula>AND(B$9&gt;=8/24,B$9&lt;14/24)</formula>
    </cfRule>
    <cfRule type="expression" dxfId="5683" priority="113">
      <formula>B$9&lt;8/24</formula>
    </cfRule>
  </conditionalFormatting>
  <conditionalFormatting sqref="B48">
    <cfRule type="expression" dxfId="5682" priority="106">
      <formula>B$9&gt;=20/24</formula>
    </cfRule>
    <cfRule type="expression" dxfId="5681" priority="107">
      <formula>AND(B$9&gt;=14/24,B$9&lt;20/24)</formula>
    </cfRule>
    <cfRule type="expression" dxfId="5680" priority="108">
      <formula>AND(B$9&gt;=8/24,B$9&lt;14/24)</formula>
    </cfRule>
    <cfRule type="expression" dxfId="5679" priority="109">
      <formula>B$9&lt;8/24</formula>
    </cfRule>
  </conditionalFormatting>
  <conditionalFormatting sqref="B48:B50">
    <cfRule type="expression" dxfId="5678" priority="105">
      <formula>B48&gt;$AG48</formula>
    </cfRule>
  </conditionalFormatting>
  <conditionalFormatting sqref="B91 B78:B81 B62:B64 B95:B101 B67:B76 B12:D13 B14:W14 B20:W20 B28:W30 B32:W32 B34:W37">
    <cfRule type="expression" dxfId="5677" priority="101">
      <formula>B$9&gt;=20/24</formula>
    </cfRule>
    <cfRule type="expression" dxfId="5676" priority="102">
      <formula>AND(B$9&gt;=14/24,B$9&lt;20/24)</formula>
    </cfRule>
    <cfRule type="expression" dxfId="5675" priority="103">
      <formula>AND(B$9&gt;=8/24,B$9&lt;14/24)</formula>
    </cfRule>
    <cfRule type="expression" dxfId="5674" priority="104">
      <formula>B$9&lt;8/24</formula>
    </cfRule>
  </conditionalFormatting>
  <conditionalFormatting sqref="B38:W38">
    <cfRule type="expression" dxfId="5673" priority="97">
      <formula>B$9&gt;=20/24</formula>
    </cfRule>
    <cfRule type="expression" dxfId="5672" priority="98">
      <formula>AND(B$9&gt;=14/24,B$9&lt;20/24)</formula>
    </cfRule>
    <cfRule type="expression" dxfId="5671" priority="99">
      <formula>AND(B$9&gt;=8/24,B$9&lt;14/24)</formula>
    </cfRule>
    <cfRule type="expression" dxfId="5670" priority="100">
      <formula>B$9&lt;8/24</formula>
    </cfRule>
  </conditionalFormatting>
  <conditionalFormatting sqref="B60 B62:B64 B28:W32 B34:W38">
    <cfRule type="expression" dxfId="5669" priority="96">
      <formula>B28&gt;$AG28</formula>
    </cfRule>
  </conditionalFormatting>
  <conditionalFormatting sqref="B40:W40">
    <cfRule type="expression" dxfId="5668" priority="92">
      <formula>B$9&gt;=20/24</formula>
    </cfRule>
    <cfRule type="expression" dxfId="5667" priority="93">
      <formula>AND(B$9&gt;=14/24,B$9&lt;20/24)</formula>
    </cfRule>
    <cfRule type="expression" dxfId="5666" priority="94">
      <formula>AND(B$9&gt;=8/24,B$9&lt;14/24)</formula>
    </cfRule>
    <cfRule type="expression" dxfId="5665" priority="95">
      <formula>B$9&lt;8/24</formula>
    </cfRule>
  </conditionalFormatting>
  <conditionalFormatting sqref="B16:W16">
    <cfRule type="expression" dxfId="5664" priority="88">
      <formula>B$9&gt;=20/24</formula>
    </cfRule>
    <cfRule type="expression" dxfId="5663" priority="89">
      <formula>AND(B$9&gt;=14/24,B$9&lt;20/24)</formula>
    </cfRule>
    <cfRule type="expression" dxfId="5662" priority="90">
      <formula>AND(B$9&gt;=8/24,B$9&lt;14/24)</formula>
    </cfRule>
    <cfRule type="expression" dxfId="5661" priority="91">
      <formula>B$9&lt;8/24</formula>
    </cfRule>
  </conditionalFormatting>
  <conditionalFormatting sqref="B39:W39">
    <cfRule type="expression" dxfId="5660" priority="84">
      <formula>B$9&gt;=20/24</formula>
    </cfRule>
    <cfRule type="expression" dxfId="5659" priority="85">
      <formula>AND(B$9&gt;=14/24,B$9&lt;20/24)</formula>
    </cfRule>
    <cfRule type="expression" dxfId="5658" priority="86">
      <formula>AND(B$9&gt;=8/24,B$9&lt;14/24)</formula>
    </cfRule>
    <cfRule type="expression" dxfId="5657" priority="87">
      <formula>B$9&lt;8/24</formula>
    </cfRule>
  </conditionalFormatting>
  <conditionalFormatting sqref="B39:W39">
    <cfRule type="expression" dxfId="5656" priority="83">
      <formula>B39&gt;$AG39</formula>
    </cfRule>
  </conditionalFormatting>
  <conditionalFormatting sqref="B51:D52">
    <cfRule type="expression" dxfId="5655" priority="79">
      <formula>B$9&gt;=20/24</formula>
    </cfRule>
    <cfRule type="expression" dxfId="5654" priority="80">
      <formula>AND(B$9&gt;=14/24,B$9&lt;20/24)</formula>
    </cfRule>
    <cfRule type="expression" dxfId="5653" priority="81">
      <formula>AND(B$9&gt;=8/24,B$9&lt;14/24)</formula>
    </cfRule>
    <cfRule type="expression" dxfId="5652" priority="82">
      <formula>B$9&lt;8/24</formula>
    </cfRule>
  </conditionalFormatting>
  <conditionalFormatting sqref="B51:D52">
    <cfRule type="expression" dxfId="5651" priority="78">
      <formula>B51&gt;$AG51</formula>
    </cfRule>
  </conditionalFormatting>
  <conditionalFormatting sqref="B53:D54 E54:M54">
    <cfRule type="expression" dxfId="5650" priority="74">
      <formula>B$9&gt;=20/24</formula>
    </cfRule>
    <cfRule type="expression" dxfId="5649" priority="75">
      <formula>AND(B$9&gt;=14/24,B$9&lt;20/24)</formula>
    </cfRule>
    <cfRule type="expression" dxfId="5648" priority="76">
      <formula>AND(B$9&gt;=8/24,B$9&lt;14/24)</formula>
    </cfRule>
    <cfRule type="expression" dxfId="5647" priority="77">
      <formula>B$9&lt;8/24</formula>
    </cfRule>
  </conditionalFormatting>
  <conditionalFormatting sqref="B53:D54 E54:M54">
    <cfRule type="expression" dxfId="5646" priority="73">
      <formula>B53&gt;$AG53</formula>
    </cfRule>
  </conditionalFormatting>
  <conditionalFormatting sqref="B31:W31">
    <cfRule type="expression" dxfId="5645" priority="69">
      <formula>B$9&gt;=20/24</formula>
    </cfRule>
    <cfRule type="expression" dxfId="5644" priority="70">
      <formula>AND(B$9&gt;=14/24,B$9&lt;20/24)</formula>
    </cfRule>
    <cfRule type="expression" dxfId="5643" priority="71">
      <formula>AND(B$9&gt;=8/24,B$9&lt;14/24)</formula>
    </cfRule>
    <cfRule type="expression" dxfId="5642" priority="72">
      <formula>B$9&lt;8/24</formula>
    </cfRule>
  </conditionalFormatting>
  <conditionalFormatting sqref="B21:W21 B27:W27">
    <cfRule type="expression" dxfId="5641" priority="65">
      <formula>B$9&gt;=20/24</formula>
    </cfRule>
    <cfRule type="expression" dxfId="5640" priority="66">
      <formula>AND(B$9&gt;=14/24,B$9&lt;20/24)</formula>
    </cfRule>
    <cfRule type="expression" dxfId="5639" priority="67">
      <formula>AND(B$9&gt;=8/24,B$9&lt;14/24)</formula>
    </cfRule>
    <cfRule type="expression" dxfId="5638" priority="68">
      <formula>B$9&lt;8/24</formula>
    </cfRule>
  </conditionalFormatting>
  <conditionalFormatting sqref="B21:W21 B27:W27">
    <cfRule type="expression" dxfId="5637" priority="64">
      <formula>B21&gt;$AG21</formula>
    </cfRule>
  </conditionalFormatting>
  <conditionalFormatting sqref="B83 B92">
    <cfRule type="expression" dxfId="5636" priority="60">
      <formula>B$9&gt;=20/24</formula>
    </cfRule>
    <cfRule type="expression" dxfId="5635" priority="61">
      <formula>AND(B$9&gt;=14/24,B$9&lt;20/24)</formula>
    </cfRule>
    <cfRule type="expression" dxfId="5634" priority="62">
      <formula>AND(B$9&gt;=8/24,B$9&lt;14/24)</formula>
    </cfRule>
    <cfRule type="expression" dxfId="5633" priority="63">
      <formula>B$9&lt;8/24</formula>
    </cfRule>
  </conditionalFormatting>
  <conditionalFormatting sqref="B41">
    <cfRule type="expression" dxfId="5632" priority="56">
      <formula>B$9&gt;=20/24</formula>
    </cfRule>
    <cfRule type="expression" dxfId="5631" priority="57">
      <formula>AND(B$9&gt;=14/24,B$9&lt;20/24)</formula>
    </cfRule>
    <cfRule type="expression" dxfId="5630" priority="58">
      <formula>AND(B$9&gt;=8/24,B$9&lt;14/24)</formula>
    </cfRule>
    <cfRule type="expression" dxfId="5629" priority="59">
      <formula>B$9&lt;8/24</formula>
    </cfRule>
  </conditionalFormatting>
  <conditionalFormatting sqref="B41">
    <cfRule type="expression" dxfId="5628" priority="55">
      <formula>B41&gt;$AG41</formula>
    </cfRule>
  </conditionalFormatting>
  <conditionalFormatting sqref="B84 B65 B82 B93">
    <cfRule type="expression" dxfId="5627" priority="51">
      <formula>B$9&gt;=20/24</formula>
    </cfRule>
    <cfRule type="expression" dxfId="5626" priority="52">
      <formula>AND(B$9&gt;=14/24,B$9&lt;20/24)</formula>
    </cfRule>
    <cfRule type="expression" dxfId="5625" priority="53">
      <formula>AND(B$9&gt;=8/24,B$9&lt;14/24)</formula>
    </cfRule>
    <cfRule type="expression" dxfId="5624" priority="54">
      <formula>B$9&lt;8/24</formula>
    </cfRule>
  </conditionalFormatting>
  <conditionalFormatting sqref="B43 B61 B65">
    <cfRule type="expression" dxfId="5623" priority="50">
      <formula>B43&gt;$AG43</formula>
    </cfRule>
  </conditionalFormatting>
  <conditionalFormatting sqref="B77">
    <cfRule type="expression" dxfId="5622" priority="46">
      <formula>B$9&gt;=20/24</formula>
    </cfRule>
    <cfRule type="expression" dxfId="5621" priority="47">
      <formula>AND(B$9&gt;=14/24,B$9&lt;20/24)</formula>
    </cfRule>
    <cfRule type="expression" dxfId="5620" priority="48">
      <formula>AND(B$9&gt;=8/24,B$9&lt;14/24)</formula>
    </cfRule>
    <cfRule type="expression" dxfId="5619" priority="49">
      <formula>B$9&lt;8/24</formula>
    </cfRule>
  </conditionalFormatting>
  <conditionalFormatting sqref="B86:B90">
    <cfRule type="expression" dxfId="5618" priority="42">
      <formula>B$9&gt;=20/24</formula>
    </cfRule>
    <cfRule type="expression" dxfId="5617" priority="43">
      <formula>AND(B$9&gt;=14/24,B$9&lt;20/24)</formula>
    </cfRule>
    <cfRule type="expression" dxfId="5616" priority="44">
      <formula>AND(B$9&gt;=8/24,B$9&lt;14/24)</formula>
    </cfRule>
    <cfRule type="expression" dxfId="5615" priority="45">
      <formula>B$9&lt;8/24</formula>
    </cfRule>
  </conditionalFormatting>
  <conditionalFormatting sqref="B44:B46 C45:D46">
    <cfRule type="expression" dxfId="5614" priority="38">
      <formula>B$9&gt;=20/24</formula>
    </cfRule>
    <cfRule type="expression" dxfId="5613" priority="39">
      <formula>AND(B$9&gt;=14/24,B$9&lt;20/24)</formula>
    </cfRule>
    <cfRule type="expression" dxfId="5612" priority="40">
      <formula>AND(B$9&gt;=8/24,B$9&lt;14/24)</formula>
    </cfRule>
    <cfRule type="expression" dxfId="5611" priority="41">
      <formula>B$9&lt;8/24</formula>
    </cfRule>
  </conditionalFormatting>
  <conditionalFormatting sqref="B44:B46 C45:D46">
    <cfRule type="expression" dxfId="5610" priority="37">
      <formula>B44&gt;$AG44</formula>
    </cfRule>
  </conditionalFormatting>
  <conditionalFormatting sqref="B47">
    <cfRule type="expression" dxfId="5609" priority="33">
      <formula>B$9&gt;=20/24</formula>
    </cfRule>
    <cfRule type="expression" dxfId="5608" priority="34">
      <formula>AND(B$9&gt;=14/24,B$9&lt;20/24)</formula>
    </cfRule>
    <cfRule type="expression" dxfId="5607" priority="35">
      <formula>AND(B$9&gt;=8/24,B$9&lt;14/24)</formula>
    </cfRule>
    <cfRule type="expression" dxfId="5606" priority="36">
      <formula>B$9&lt;8/24</formula>
    </cfRule>
  </conditionalFormatting>
  <conditionalFormatting sqref="B47">
    <cfRule type="expression" dxfId="5605" priority="32">
      <formula>B47&gt;$AG47</formula>
    </cfRule>
  </conditionalFormatting>
  <conditionalFormatting sqref="B102">
    <cfRule type="expression" dxfId="5604" priority="28">
      <formula>B$9&gt;=20/24</formula>
    </cfRule>
    <cfRule type="expression" dxfId="5603" priority="29">
      <formula>AND(B$9&gt;=14/24,B$9&lt;20/24)</formula>
    </cfRule>
    <cfRule type="expression" dxfId="5602" priority="30">
      <formula>AND(B$9&gt;=8/24,B$9&lt;14/24)</formula>
    </cfRule>
    <cfRule type="expression" dxfId="5601" priority="31">
      <formula>B$9&lt;8/24</formula>
    </cfRule>
  </conditionalFormatting>
  <conditionalFormatting sqref="B105">
    <cfRule type="expression" dxfId="5600" priority="16">
      <formula>B$9&gt;=20/24</formula>
    </cfRule>
    <cfRule type="expression" dxfId="5599" priority="17">
      <formula>AND(B$9&gt;=14/24,B$9&lt;20/24)</formula>
    </cfRule>
    <cfRule type="expression" dxfId="5598" priority="18">
      <formula>AND(B$9&gt;=8/24,B$9&lt;14/24)</formula>
    </cfRule>
    <cfRule type="expression" dxfId="5597" priority="19">
      <formula>B$9&lt;8/24</formula>
    </cfRule>
  </conditionalFormatting>
  <conditionalFormatting sqref="B55:M59">
    <cfRule type="expression" dxfId="5596" priority="12">
      <formula>B$9&gt;=20/24</formula>
    </cfRule>
    <cfRule type="expression" dxfId="5595" priority="13">
      <formula>AND(B$9&gt;=14/24,B$9&lt;20/24)</formula>
    </cfRule>
    <cfRule type="expression" dxfId="5594" priority="14">
      <formula>AND(B$9&gt;=8/24,B$9&lt;14/24)</formula>
    </cfRule>
    <cfRule type="expression" dxfId="5593" priority="15">
      <formula>B$9&lt;8/24</formula>
    </cfRule>
  </conditionalFormatting>
  <conditionalFormatting sqref="B55:M59">
    <cfRule type="expression" dxfId="5592" priority="11">
      <formula>B55&gt;$AG55</formula>
    </cfRule>
  </conditionalFormatting>
  <conditionalFormatting sqref="B19:W19">
    <cfRule type="expression" dxfId="5591" priority="10">
      <formula>B19&gt;$AG19</formula>
    </cfRule>
  </conditionalFormatting>
  <conditionalFormatting sqref="B19:W19">
    <cfRule type="expression" dxfId="5590" priority="6">
      <formula>B$9&gt;=20/24</formula>
    </cfRule>
    <cfRule type="expression" dxfId="5589" priority="7">
      <formula>AND(B$9&gt;=14/24,B$9&lt;20/24)</formula>
    </cfRule>
    <cfRule type="expression" dxfId="5588" priority="8">
      <formula>AND(B$9&gt;=8/24,B$9&lt;14/24)</formula>
    </cfRule>
    <cfRule type="expression" dxfId="5587" priority="9">
      <formula>B$9&lt;8/24</formula>
    </cfRule>
  </conditionalFormatting>
  <conditionalFormatting sqref="B33:W33">
    <cfRule type="expression" dxfId="5586" priority="2">
      <formula>B$9&gt;=20/24</formula>
    </cfRule>
    <cfRule type="expression" dxfId="5585" priority="3">
      <formula>AND(B$9&gt;=14/24,B$9&lt;20/24)</formula>
    </cfRule>
    <cfRule type="expression" dxfId="5584" priority="4">
      <formula>AND(B$9&gt;=8/24,B$9&lt;14/24)</formula>
    </cfRule>
    <cfRule type="expression" dxfId="5583" priority="5">
      <formula>B$9&lt;8/24</formula>
    </cfRule>
  </conditionalFormatting>
  <conditionalFormatting sqref="B33:W33">
    <cfRule type="expression" dxfId="5582" priority="1">
      <formula>B33&gt;$AG33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09" id="{C15A4935-37CD-4E4E-BB18-AD1BC0CFC0C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0" id="{7CF0987C-2992-4EF6-8C74-788FAC2C4FD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11" id="{84EC4E95-5939-4DDF-B4A8-E3EAA034BDD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12" id="{622D2BEC-FEF9-4743-AE17-F79D1305AEB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C85:AF85</xm:sqref>
        </x14:conditionalFormatting>
        <x14:conditionalFormatting xmlns:xm="http://schemas.microsoft.com/office/excel/2006/main">
          <x14:cfRule type="expression" priority="402" id="{15CB588B-222D-4B3B-8524-01798559ACA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3" id="{D317DE38-7094-4C02-8106-8D60D41E63E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04" id="{0A63205C-2EBE-46DC-AA47-494E4DBBDDA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5" id="{061987E4-4393-4906-AE51-773CF67290D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24" id="{FFE720A9-4FAB-42EC-BAF4-337A593C7E7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" id="{B5A891F3-835B-48DD-8DA4-68A4D39B5D0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6" id="{DD1261FB-A5EA-49C5-9142-040ED46D7DC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7" id="{C237C274-71D2-447B-895E-B5E06DB9E77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</xm:sqref>
        </x14:conditionalFormatting>
        <x14:conditionalFormatting xmlns:xm="http://schemas.microsoft.com/office/excel/2006/main">
          <x14:cfRule type="expression" priority="20" id="{37F4DBEA-F030-47B6-8D02-B3DA57DBECE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4A47A1E9-ABF5-4F62-8AB4-BF7D93FD635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2B4214C7-03F0-4B98-852C-2FFF87A3D24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" id="{5225561B-6C36-4BE5-AA19-EECEB93FE92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2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M63" sqref="M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5703125" style="1" bestFit="1" customWidth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2079/08/15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9</v>
      </c>
      <c r="M5" s="30">
        <f t="shared" si="0"/>
        <v>25.6</v>
      </c>
      <c r="N5" s="30">
        <f t="shared" si="0"/>
        <v>14</v>
      </c>
      <c r="O5" s="30">
        <f t="shared" si="0"/>
        <v>25</v>
      </c>
      <c r="P5" s="30">
        <f t="shared" si="0"/>
        <v>0</v>
      </c>
      <c r="Q5" s="30">
        <f t="shared" si="0"/>
        <v>0.9</v>
      </c>
      <c r="R5" s="30">
        <f t="shared" si="0"/>
        <v>25.2</v>
      </c>
      <c r="S5" s="30">
        <f t="shared" si="0"/>
        <v>0</v>
      </c>
      <c r="T5" s="30">
        <f t="shared" si="0"/>
        <v>20</v>
      </c>
      <c r="U5" s="30">
        <f t="shared" si="0"/>
        <v>0</v>
      </c>
      <c r="V5" s="30">
        <f t="shared" si="0"/>
        <v>0</v>
      </c>
      <c r="W5" s="30">
        <f t="shared" si="0"/>
        <v>36</v>
      </c>
      <c r="X5" s="30">
        <f t="shared" si="0"/>
        <v>30</v>
      </c>
      <c r="Y5" s="30">
        <f t="shared" si="0"/>
        <v>27</v>
      </c>
      <c r="Z5" s="30">
        <f t="shared" si="0"/>
        <v>23.1</v>
      </c>
      <c r="AA5" s="30">
        <f t="shared" si="0"/>
        <v>18.100000000000001</v>
      </c>
      <c r="AB5" s="30">
        <f t="shared" si="0"/>
        <v>15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1705MW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Load=304</v>
      </c>
      <c r="B7" s="35">
        <f t="shared" ref="B7:AF7" si="1">B84</f>
        <v>1076.3400000000001</v>
      </c>
      <c r="C7" s="35">
        <f t="shared" si="1"/>
        <v>1037.2400000000002</v>
      </c>
      <c r="D7" s="35">
        <f t="shared" si="1"/>
        <v>1055.6400000000001</v>
      </c>
      <c r="E7" s="35">
        <f t="shared" si="1"/>
        <v>1051.6400000000001</v>
      </c>
      <c r="F7" s="35">
        <f t="shared" si="1"/>
        <v>1033.6400000000001</v>
      </c>
      <c r="G7" s="35">
        <f t="shared" si="1"/>
        <v>1093.6400000000001</v>
      </c>
      <c r="H7" s="35">
        <f t="shared" si="1"/>
        <v>1113.6400000000001</v>
      </c>
      <c r="I7" s="35">
        <f t="shared" si="1"/>
        <v>1147.6400000000001</v>
      </c>
      <c r="J7" s="35">
        <f t="shared" si="1"/>
        <v>1231.6400000000001</v>
      </c>
      <c r="K7" s="35">
        <f t="shared" si="1"/>
        <v>1261.6400000000001</v>
      </c>
      <c r="L7" s="35">
        <f t="shared" si="1"/>
        <v>1665.0400000000002</v>
      </c>
      <c r="M7" s="35">
        <f t="shared" si="1"/>
        <v>1705.0400000000002</v>
      </c>
      <c r="N7" s="35">
        <f t="shared" si="1"/>
        <v>1547.14</v>
      </c>
      <c r="O7" s="35">
        <f t="shared" si="1"/>
        <v>1527.64</v>
      </c>
      <c r="P7" s="35">
        <f t="shared" si="1"/>
        <v>1218.8400000000001</v>
      </c>
      <c r="Q7" s="35">
        <f t="shared" si="1"/>
        <v>1180.8400000000001</v>
      </c>
      <c r="R7" s="35">
        <f t="shared" si="1"/>
        <v>1146.7400000000002</v>
      </c>
      <c r="S7" s="35">
        <f t="shared" si="1"/>
        <v>1180.0400000000002</v>
      </c>
      <c r="T7" s="35">
        <f t="shared" si="1"/>
        <v>303.54000000000002</v>
      </c>
      <c r="U7" s="35">
        <f t="shared" si="1"/>
        <v>1175.7400000000002</v>
      </c>
      <c r="V7" s="35">
        <f t="shared" si="1"/>
        <v>1512.7400000000002</v>
      </c>
      <c r="W7" s="35">
        <f t="shared" si="1"/>
        <v>1691.4400000000003</v>
      </c>
      <c r="X7" s="35">
        <f t="shared" si="1"/>
        <v>1723.2400000000002</v>
      </c>
      <c r="Y7" s="35">
        <f t="shared" si="1"/>
        <v>1681.2400000000002</v>
      </c>
      <c r="Z7" s="35">
        <f t="shared" si="1"/>
        <v>1612.8400000000001</v>
      </c>
      <c r="AA7" s="35">
        <f t="shared" si="1"/>
        <v>1524.8400000000001</v>
      </c>
      <c r="AB7" s="35">
        <f t="shared" si="1"/>
        <v>1458.74</v>
      </c>
      <c r="AC7" s="35">
        <f t="shared" si="1"/>
        <v>1411.2400000000002</v>
      </c>
      <c r="AD7" s="35">
        <f t="shared" si="1"/>
        <v>1345.24</v>
      </c>
      <c r="AE7" s="35">
        <f t="shared" si="1"/>
        <v>1183.04</v>
      </c>
      <c r="AF7" s="35">
        <f t="shared" si="1"/>
        <v>1049.44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31</v>
      </c>
      <c r="C11" s="45">
        <v>31.9</v>
      </c>
      <c r="D11" s="45">
        <v>30.3</v>
      </c>
      <c r="E11" s="45">
        <v>30.3</v>
      </c>
      <c r="F11" s="45">
        <v>30.3</v>
      </c>
      <c r="G11" s="45">
        <v>30.3</v>
      </c>
      <c r="H11" s="45">
        <v>30.3</v>
      </c>
      <c r="I11" s="45">
        <v>30.3</v>
      </c>
      <c r="J11" s="45">
        <v>30.3</v>
      </c>
      <c r="K11" s="45">
        <v>30.3</v>
      </c>
      <c r="L11" s="45">
        <v>30.3</v>
      </c>
      <c r="M11" s="45">
        <v>30.3</v>
      </c>
      <c r="N11" s="45">
        <v>30.3</v>
      </c>
      <c r="O11" s="45">
        <v>30.3</v>
      </c>
      <c r="P11" s="45">
        <v>30.3</v>
      </c>
      <c r="Q11" s="45">
        <v>29.7</v>
      </c>
      <c r="R11" s="45">
        <v>29.7</v>
      </c>
      <c r="S11" s="45">
        <v>29.7</v>
      </c>
      <c r="T11" s="46"/>
      <c r="U11" s="45">
        <v>29.7</v>
      </c>
      <c r="V11" s="45">
        <v>29.7</v>
      </c>
      <c r="W11" s="45">
        <v>29.7</v>
      </c>
      <c r="X11" s="46">
        <v>30</v>
      </c>
      <c r="Y11" s="46">
        <v>30</v>
      </c>
      <c r="Z11" s="46">
        <v>30</v>
      </c>
      <c r="AA11" s="46">
        <v>30</v>
      </c>
      <c r="AB11" s="46">
        <v>30</v>
      </c>
      <c r="AC11" s="46">
        <v>30</v>
      </c>
      <c r="AD11" s="46">
        <v>30</v>
      </c>
      <c r="AE11" s="46">
        <v>30</v>
      </c>
      <c r="AF11" s="46">
        <v>31.8</v>
      </c>
      <c r="AG11" s="47">
        <v>52.4</v>
      </c>
      <c r="AH11" s="48">
        <f>MAX(B11:AF11)</f>
        <v>31.9</v>
      </c>
      <c r="AI11" s="49">
        <f>MIN(B11:AF11)</f>
        <v>29.7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50.3</v>
      </c>
      <c r="N12" s="45">
        <v>50.3</v>
      </c>
      <c r="O12" s="45">
        <v>50.3</v>
      </c>
      <c r="P12" s="45">
        <v>50.5</v>
      </c>
      <c r="Q12" s="45">
        <v>50.5</v>
      </c>
      <c r="R12" s="45">
        <v>50.5</v>
      </c>
      <c r="S12" s="45">
        <v>50.5</v>
      </c>
      <c r="T12" s="45"/>
      <c r="U12" s="45">
        <v>50.5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50.5</v>
      </c>
      <c r="AE12" s="45">
        <v>50.5</v>
      </c>
      <c r="AF12" s="45">
        <v>50.5</v>
      </c>
      <c r="AG12" s="51">
        <v>50</v>
      </c>
      <c r="AH12" s="48">
        <f t="shared" ref="AH12:AH78" si="2">MAX(B12:AF12)</f>
        <v>50.5</v>
      </c>
      <c r="AI12" s="49">
        <f t="shared" ref="AI12:AI78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28.9</v>
      </c>
      <c r="C13" s="45">
        <v>28.9</v>
      </c>
      <c r="D13" s="45">
        <v>28.9</v>
      </c>
      <c r="E13" s="45">
        <v>28.9</v>
      </c>
      <c r="F13" s="45">
        <v>28.9</v>
      </c>
      <c r="G13" s="45">
        <v>28.9</v>
      </c>
      <c r="H13" s="45">
        <v>28.9</v>
      </c>
      <c r="I13" s="45">
        <v>28.9</v>
      </c>
      <c r="J13" s="45">
        <v>28.9</v>
      </c>
      <c r="K13" s="45">
        <v>28.9</v>
      </c>
      <c r="L13" s="45">
        <v>28.9</v>
      </c>
      <c r="M13" s="45">
        <v>28.9</v>
      </c>
      <c r="N13" s="45">
        <v>25.6</v>
      </c>
      <c r="O13" s="45">
        <v>25.6</v>
      </c>
      <c r="P13" s="45">
        <v>25.6</v>
      </c>
      <c r="Q13" s="45">
        <v>24.6</v>
      </c>
      <c r="R13" s="45">
        <v>24.6</v>
      </c>
      <c r="S13" s="45">
        <v>24.6</v>
      </c>
      <c r="T13" s="45" t="s">
        <v>264</v>
      </c>
      <c r="U13" s="45">
        <v>24.6</v>
      </c>
      <c r="V13" s="45">
        <v>24.6</v>
      </c>
      <c r="W13" s="45">
        <v>24.6</v>
      </c>
      <c r="X13" s="45">
        <v>29.3</v>
      </c>
      <c r="Y13" s="45">
        <v>29.3</v>
      </c>
      <c r="Z13" s="45">
        <v>29.3</v>
      </c>
      <c r="AA13" s="45">
        <v>29.3</v>
      </c>
      <c r="AB13" s="45">
        <v>29.3</v>
      </c>
      <c r="AC13" s="45">
        <v>29.3</v>
      </c>
      <c r="AD13" s="45">
        <v>29.3</v>
      </c>
      <c r="AE13" s="45">
        <v>29.3</v>
      </c>
      <c r="AF13" s="45">
        <v>29.3</v>
      </c>
      <c r="AG13" s="51">
        <v>45</v>
      </c>
      <c r="AH13" s="48">
        <f t="shared" si="2"/>
        <v>29.3</v>
      </c>
      <c r="AI13" s="49">
        <f t="shared" si="3"/>
        <v>24.6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18.899999999999999</v>
      </c>
      <c r="C14" s="45">
        <v>18.899999999999999</v>
      </c>
      <c r="D14" s="45">
        <v>18.899999999999999</v>
      </c>
      <c r="E14" s="45">
        <v>18.899999999999999</v>
      </c>
      <c r="F14" s="45">
        <v>18.899999999999999</v>
      </c>
      <c r="G14" s="45">
        <v>18.899999999999999</v>
      </c>
      <c r="H14" s="45">
        <v>18.899999999999999</v>
      </c>
      <c r="I14" s="45">
        <v>18.899999999999999</v>
      </c>
      <c r="J14" s="45">
        <v>18.899999999999999</v>
      </c>
      <c r="K14" s="45">
        <v>18.899999999999999</v>
      </c>
      <c r="L14" s="45">
        <v>18.899999999999999</v>
      </c>
      <c r="M14" s="45">
        <v>18.899999999999999</v>
      </c>
      <c r="N14" s="45">
        <v>18.899999999999999</v>
      </c>
      <c r="O14" s="45">
        <v>18.899999999999999</v>
      </c>
      <c r="P14" s="45">
        <v>18.899999999999999</v>
      </c>
      <c r="Q14" s="45">
        <v>18.5</v>
      </c>
      <c r="R14" s="45">
        <v>18.5</v>
      </c>
      <c r="S14" s="45">
        <v>18.5</v>
      </c>
      <c r="T14" s="45" t="s">
        <v>265</v>
      </c>
      <c r="U14" s="45">
        <v>18.5</v>
      </c>
      <c r="V14" s="45">
        <v>18.5</v>
      </c>
      <c r="W14" s="45">
        <v>18.5</v>
      </c>
      <c r="X14" s="45">
        <v>18.5</v>
      </c>
      <c r="Y14" s="45">
        <v>18.5</v>
      </c>
      <c r="Z14" s="45">
        <v>18.5</v>
      </c>
      <c r="AA14" s="45">
        <v>18.5</v>
      </c>
      <c r="AB14" s="45">
        <v>18.5</v>
      </c>
      <c r="AC14" s="45">
        <v>18.5</v>
      </c>
      <c r="AD14" s="45">
        <v>18.5</v>
      </c>
      <c r="AE14" s="45">
        <v>18.5</v>
      </c>
      <c r="AF14" s="45">
        <v>18.5</v>
      </c>
      <c r="AG14" s="51">
        <v>42</v>
      </c>
      <c r="AH14" s="48">
        <f t="shared" si="2"/>
        <v>18.899999999999999</v>
      </c>
      <c r="AI14" s="49">
        <f t="shared" si="3"/>
        <v>18.5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 t="s">
        <v>266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15</v>
      </c>
      <c r="AG15" s="51">
        <v>36</v>
      </c>
      <c r="AH15" s="48">
        <f t="shared" si="2"/>
        <v>24</v>
      </c>
      <c r="AI15" s="49">
        <f t="shared" si="3"/>
        <v>15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17.8</v>
      </c>
      <c r="C16" s="45">
        <v>17.8</v>
      </c>
      <c r="D16" s="45">
        <v>17.8</v>
      </c>
      <c r="E16" s="45">
        <v>17.8</v>
      </c>
      <c r="F16" s="45">
        <v>17.8</v>
      </c>
      <c r="G16" s="45">
        <v>17.8</v>
      </c>
      <c r="H16" s="45">
        <v>17.8</v>
      </c>
      <c r="I16" s="45">
        <v>17.8</v>
      </c>
      <c r="J16" s="45">
        <v>17.8</v>
      </c>
      <c r="K16" s="45">
        <v>17.8</v>
      </c>
      <c r="L16" s="45">
        <v>17.8</v>
      </c>
      <c r="M16" s="45">
        <v>17.8</v>
      </c>
      <c r="N16" s="45">
        <v>15.5</v>
      </c>
      <c r="O16" s="45">
        <v>15.5</v>
      </c>
      <c r="P16" s="45">
        <v>15.5</v>
      </c>
      <c r="Q16" s="45">
        <v>15.5</v>
      </c>
      <c r="R16" s="45">
        <v>15.5</v>
      </c>
      <c r="S16" s="45">
        <v>15.5</v>
      </c>
      <c r="T16" s="45" t="s">
        <v>267</v>
      </c>
      <c r="U16" s="45">
        <v>15.5</v>
      </c>
      <c r="V16" s="45">
        <v>15.5</v>
      </c>
      <c r="W16" s="45">
        <v>15.5</v>
      </c>
      <c r="X16" s="45">
        <v>17.600000000000001</v>
      </c>
      <c r="Y16" s="45">
        <v>17.600000000000001</v>
      </c>
      <c r="Z16" s="45">
        <v>17.600000000000001</v>
      </c>
      <c r="AA16" s="45">
        <v>17.600000000000001</v>
      </c>
      <c r="AB16" s="45">
        <v>17.600000000000001</v>
      </c>
      <c r="AC16" s="45">
        <v>17.600000000000001</v>
      </c>
      <c r="AD16" s="45">
        <v>17.600000000000001</v>
      </c>
      <c r="AE16" s="45">
        <v>17.600000000000001</v>
      </c>
      <c r="AF16" s="45">
        <v>10</v>
      </c>
      <c r="AG16" s="52">
        <v>30</v>
      </c>
      <c r="AH16" s="48">
        <f t="shared" si="2"/>
        <v>17.8</v>
      </c>
      <c r="AI16" s="49">
        <f t="shared" si="3"/>
        <v>10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14.8</v>
      </c>
      <c r="C17" s="45">
        <v>14.8</v>
      </c>
      <c r="D17" s="45">
        <v>14.8</v>
      </c>
      <c r="E17" s="45">
        <v>14.8</v>
      </c>
      <c r="F17" s="45">
        <v>14.8</v>
      </c>
      <c r="G17" s="45">
        <v>14.8</v>
      </c>
      <c r="H17" s="45">
        <v>14.8</v>
      </c>
      <c r="I17" s="45">
        <v>14.8</v>
      </c>
      <c r="J17" s="45">
        <v>14.8</v>
      </c>
      <c r="K17" s="45">
        <v>14.8</v>
      </c>
      <c r="L17" s="45">
        <v>14.8</v>
      </c>
      <c r="M17" s="45">
        <v>14.8</v>
      </c>
      <c r="N17" s="45">
        <v>14.8</v>
      </c>
      <c r="O17" s="45">
        <v>14.8</v>
      </c>
      <c r="P17" s="45">
        <v>14.8</v>
      </c>
      <c r="Q17" s="45">
        <v>13.9</v>
      </c>
      <c r="R17" s="45">
        <v>13.9</v>
      </c>
      <c r="S17" s="45">
        <v>13.9</v>
      </c>
      <c r="T17" s="45" t="s">
        <v>268</v>
      </c>
      <c r="U17" s="45">
        <v>13.9</v>
      </c>
      <c r="V17" s="45">
        <v>13.9</v>
      </c>
      <c r="W17" s="45">
        <v>13.9</v>
      </c>
      <c r="X17" s="45">
        <v>14.8</v>
      </c>
      <c r="Y17" s="45">
        <v>14.8</v>
      </c>
      <c r="Z17" s="45">
        <v>14.8</v>
      </c>
      <c r="AA17" s="45">
        <v>14.8</v>
      </c>
      <c r="AB17" s="45">
        <v>14.8</v>
      </c>
      <c r="AC17" s="45">
        <v>14.8</v>
      </c>
      <c r="AD17" s="45">
        <v>14.8</v>
      </c>
      <c r="AE17" s="45">
        <v>14.8</v>
      </c>
      <c r="AF17" s="45">
        <v>14.8</v>
      </c>
      <c r="AG17" s="51">
        <v>24.2</v>
      </c>
      <c r="AH17" s="48">
        <f t="shared" si="2"/>
        <v>14.8</v>
      </c>
      <c r="AI17" s="49">
        <f t="shared" si="3"/>
        <v>13.9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15.5</v>
      </c>
      <c r="O18" s="45">
        <v>15.5</v>
      </c>
      <c r="P18" s="45">
        <v>15.5</v>
      </c>
      <c r="Q18" s="45">
        <v>15.5</v>
      </c>
      <c r="R18" s="45">
        <v>15.5</v>
      </c>
      <c r="S18" s="45">
        <v>15.5</v>
      </c>
      <c r="T18" s="45" t="s">
        <v>265</v>
      </c>
      <c r="U18" s="45">
        <v>15.5</v>
      </c>
      <c r="V18" s="45">
        <v>15.5</v>
      </c>
      <c r="W18" s="45">
        <v>15.5</v>
      </c>
      <c r="X18" s="45">
        <v>15.5</v>
      </c>
      <c r="Y18" s="45">
        <v>15.5</v>
      </c>
      <c r="Z18" s="45">
        <v>15.5</v>
      </c>
      <c r="AA18" s="45">
        <v>15.5</v>
      </c>
      <c r="AB18" s="45">
        <v>15.5</v>
      </c>
      <c r="AC18" s="45">
        <v>15.5</v>
      </c>
      <c r="AD18" s="45">
        <v>15.5</v>
      </c>
      <c r="AE18" s="45">
        <v>15.5</v>
      </c>
      <c r="AF18" s="45">
        <v>15.5</v>
      </c>
      <c r="AG18" s="51">
        <v>28</v>
      </c>
      <c r="AH18" s="48">
        <f t="shared" si="2"/>
        <v>15.5</v>
      </c>
      <c r="AI18" s="49">
        <f t="shared" si="3"/>
        <v>15.5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22</v>
      </c>
      <c r="C19" s="45">
        <v>22</v>
      </c>
      <c r="D19" s="45">
        <v>22</v>
      </c>
      <c r="E19" s="45">
        <v>22</v>
      </c>
      <c r="F19" s="45">
        <v>22</v>
      </c>
      <c r="G19" s="45">
        <v>22</v>
      </c>
      <c r="H19" s="45">
        <v>22</v>
      </c>
      <c r="I19" s="45">
        <v>22</v>
      </c>
      <c r="J19" s="45">
        <v>22</v>
      </c>
      <c r="K19" s="45">
        <v>22</v>
      </c>
      <c r="L19" s="45">
        <v>22</v>
      </c>
      <c r="M19" s="45">
        <v>16</v>
      </c>
      <c r="N19" s="45">
        <v>16</v>
      </c>
      <c r="O19" s="45">
        <v>16</v>
      </c>
      <c r="P19" s="45">
        <v>16</v>
      </c>
      <c r="Q19" s="45">
        <v>16</v>
      </c>
      <c r="R19" s="45">
        <v>16</v>
      </c>
      <c r="S19" s="45">
        <v>16</v>
      </c>
      <c r="T19" s="45" t="s">
        <v>269</v>
      </c>
      <c r="U19" s="45">
        <v>16</v>
      </c>
      <c r="V19" s="45">
        <v>16</v>
      </c>
      <c r="W19" s="45">
        <v>16</v>
      </c>
      <c r="X19" s="45">
        <v>16</v>
      </c>
      <c r="Y19" s="45">
        <v>16</v>
      </c>
      <c r="Z19" s="45">
        <v>16</v>
      </c>
      <c r="AA19" s="45">
        <v>16</v>
      </c>
      <c r="AB19" s="45">
        <v>16</v>
      </c>
      <c r="AC19" s="45">
        <v>16</v>
      </c>
      <c r="AD19" s="45">
        <v>16</v>
      </c>
      <c r="AE19" s="45">
        <v>16</v>
      </c>
      <c r="AF19" s="45">
        <v>10</v>
      </c>
      <c r="AG19" s="52">
        <v>30</v>
      </c>
      <c r="AH19" s="48">
        <f t="shared" si="2"/>
        <v>22</v>
      </c>
      <c r="AI19" s="49">
        <f t="shared" si="3"/>
        <v>10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16.8</v>
      </c>
      <c r="C20" s="45">
        <v>16.8</v>
      </c>
      <c r="D20" s="45">
        <v>16.8</v>
      </c>
      <c r="E20" s="45">
        <v>16.8</v>
      </c>
      <c r="F20" s="45">
        <v>16.8</v>
      </c>
      <c r="G20" s="45">
        <v>16.8</v>
      </c>
      <c r="H20" s="45">
        <v>16.8</v>
      </c>
      <c r="I20" s="45">
        <v>16.8</v>
      </c>
      <c r="J20" s="45">
        <v>16.8</v>
      </c>
      <c r="K20" s="45">
        <v>16.8</v>
      </c>
      <c r="L20" s="45">
        <v>16.8</v>
      </c>
      <c r="M20" s="45">
        <v>16.8</v>
      </c>
      <c r="N20" s="45">
        <v>16.8</v>
      </c>
      <c r="O20" s="45">
        <v>16.8</v>
      </c>
      <c r="P20" s="45">
        <v>16.8</v>
      </c>
      <c r="Q20" s="45">
        <v>16.8</v>
      </c>
      <c r="R20" s="45">
        <v>16.8</v>
      </c>
      <c r="S20" s="45">
        <v>16.8</v>
      </c>
      <c r="T20" s="45" t="s">
        <v>249</v>
      </c>
      <c r="U20" s="45">
        <v>16.8</v>
      </c>
      <c r="V20" s="45">
        <v>16.8</v>
      </c>
      <c r="W20" s="45">
        <v>16.8</v>
      </c>
      <c r="X20" s="45">
        <v>16.8</v>
      </c>
      <c r="Y20" s="45">
        <v>16.8</v>
      </c>
      <c r="Z20" s="45">
        <v>16.8</v>
      </c>
      <c r="AA20" s="45">
        <v>16.8</v>
      </c>
      <c r="AB20" s="45">
        <v>16.8</v>
      </c>
      <c r="AC20" s="45">
        <v>16.8</v>
      </c>
      <c r="AD20" s="45">
        <v>16.8</v>
      </c>
      <c r="AE20" s="45">
        <v>16.8</v>
      </c>
      <c r="AF20" s="45">
        <v>16.8</v>
      </c>
      <c r="AG20" s="51">
        <v>25</v>
      </c>
      <c r="AH20" s="48">
        <f t="shared" si="2"/>
        <v>16.8</v>
      </c>
      <c r="AI20" s="49">
        <f t="shared" si="3"/>
        <v>16.8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 t="s">
        <v>270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 t="s">
        <v>271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 t="s">
        <v>270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14.5</v>
      </c>
      <c r="C24" s="45">
        <v>14.5</v>
      </c>
      <c r="D24" s="45">
        <v>14.5</v>
      </c>
      <c r="E24" s="45">
        <v>14.5</v>
      </c>
      <c r="F24" s="45">
        <v>14.5</v>
      </c>
      <c r="G24" s="45">
        <v>14.5</v>
      </c>
      <c r="H24" s="45">
        <v>14.5</v>
      </c>
      <c r="I24" s="45">
        <v>14.5</v>
      </c>
      <c r="J24" s="45">
        <v>14.5</v>
      </c>
      <c r="K24" s="45">
        <v>14.5</v>
      </c>
      <c r="L24" s="45">
        <v>14.5</v>
      </c>
      <c r="M24" s="45">
        <v>14.5</v>
      </c>
      <c r="N24" s="45">
        <v>14.5</v>
      </c>
      <c r="O24" s="45">
        <v>14.5</v>
      </c>
      <c r="P24" s="45">
        <v>14.5</v>
      </c>
      <c r="Q24" s="45">
        <v>14.5</v>
      </c>
      <c r="R24" s="45">
        <v>14.5</v>
      </c>
      <c r="S24" s="45">
        <v>14.5</v>
      </c>
      <c r="T24" s="45" t="s">
        <v>267</v>
      </c>
      <c r="U24" s="45">
        <v>14.5</v>
      </c>
      <c r="V24" s="45">
        <v>14.5</v>
      </c>
      <c r="W24" s="45">
        <v>14.5</v>
      </c>
      <c r="X24" s="45">
        <v>14.5</v>
      </c>
      <c r="Y24" s="45">
        <v>14.5</v>
      </c>
      <c r="Z24" s="45">
        <v>14.5</v>
      </c>
      <c r="AA24" s="45">
        <v>14.5</v>
      </c>
      <c r="AB24" s="45">
        <v>14.5</v>
      </c>
      <c r="AC24" s="45">
        <v>14.5</v>
      </c>
      <c r="AD24" s="45">
        <v>14.5</v>
      </c>
      <c r="AE24" s="45">
        <v>14.5</v>
      </c>
      <c r="AF24" s="45">
        <v>14.5</v>
      </c>
      <c r="AG24" s="51">
        <v>23.5</v>
      </c>
      <c r="AH24" s="48">
        <f t="shared" si="2"/>
        <v>14.5</v>
      </c>
      <c r="AI24" s="49">
        <f t="shared" si="3"/>
        <v>14.5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 t="s">
        <v>272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 t="s">
        <v>273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/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 t="s">
        <v>274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 t="s">
        <v>275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5</v>
      </c>
      <c r="AG29" s="51">
        <v>20</v>
      </c>
      <c r="AH29" s="48">
        <f t="shared" si="2"/>
        <v>10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 t="s">
        <v>269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 t="s">
        <v>269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 t="s">
        <v>265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 t="s">
        <v>264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1">
        <v>12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 t="s">
        <v>270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3</v>
      </c>
      <c r="C35" s="45">
        <v>3</v>
      </c>
      <c r="D35" s="45">
        <v>3</v>
      </c>
      <c r="E35" s="45">
        <v>3</v>
      </c>
      <c r="F35" s="45">
        <v>3</v>
      </c>
      <c r="G35" s="45">
        <v>3</v>
      </c>
      <c r="H35" s="45">
        <v>3</v>
      </c>
      <c r="I35" s="45">
        <v>3</v>
      </c>
      <c r="J35" s="45">
        <v>3</v>
      </c>
      <c r="K35" s="45">
        <v>3</v>
      </c>
      <c r="L35" s="45">
        <v>3</v>
      </c>
      <c r="M35" s="45">
        <v>3</v>
      </c>
      <c r="N35" s="45">
        <v>3</v>
      </c>
      <c r="O35" s="45">
        <v>3</v>
      </c>
      <c r="P35" s="45">
        <v>3</v>
      </c>
      <c r="Q35" s="45">
        <v>3</v>
      </c>
      <c r="R35" s="45">
        <v>3</v>
      </c>
      <c r="S35" s="45">
        <v>3</v>
      </c>
      <c r="T35" s="45" t="s">
        <v>272</v>
      </c>
      <c r="U35" s="45">
        <v>3</v>
      </c>
      <c r="V35" s="45">
        <v>3</v>
      </c>
      <c r="W35" s="45">
        <v>3</v>
      </c>
      <c r="X35" s="45">
        <v>3</v>
      </c>
      <c r="Y35" s="45">
        <v>3</v>
      </c>
      <c r="Z35" s="45">
        <v>3</v>
      </c>
      <c r="AA35" s="45">
        <v>3</v>
      </c>
      <c r="AB35" s="45">
        <v>3</v>
      </c>
      <c r="AC35" s="45">
        <v>3</v>
      </c>
      <c r="AD35" s="45">
        <v>3</v>
      </c>
      <c r="AE35" s="45">
        <v>3</v>
      </c>
      <c r="AF35" s="45">
        <v>3</v>
      </c>
      <c r="AG35" s="51">
        <v>12</v>
      </c>
      <c r="AH35" s="48">
        <f t="shared" si="2"/>
        <v>3</v>
      </c>
      <c r="AI35" s="49">
        <f t="shared" si="3"/>
        <v>3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/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/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/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/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5">
        <v>10</v>
      </c>
      <c r="AH39" s="48">
        <f t="shared" si="2"/>
        <v>7</v>
      </c>
      <c r="AI39" s="49">
        <f t="shared" si="3"/>
        <v>7</v>
      </c>
      <c r="AK39" s="49">
        <f>2118*1000*4*1.6</f>
        <v>13555200</v>
      </c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/>
      <c r="U40" s="45">
        <v>2</v>
      </c>
      <c r="V40" s="45">
        <v>2</v>
      </c>
      <c r="W40" s="45">
        <v>2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250</v>
      </c>
      <c r="C41" s="57">
        <v>250</v>
      </c>
      <c r="D41" s="57">
        <v>250</v>
      </c>
      <c r="E41" s="57">
        <v>250</v>
      </c>
      <c r="F41" s="57">
        <v>250</v>
      </c>
      <c r="G41" s="57">
        <v>250</v>
      </c>
      <c r="H41" s="57">
        <v>250</v>
      </c>
      <c r="I41" s="57">
        <v>250</v>
      </c>
      <c r="J41" s="57">
        <v>250</v>
      </c>
      <c r="K41" s="57">
        <v>250</v>
      </c>
      <c r="L41" s="57">
        <v>250</v>
      </c>
      <c r="M41" s="57">
        <v>250</v>
      </c>
      <c r="N41" s="57">
        <v>250</v>
      </c>
      <c r="O41" s="57">
        <v>250</v>
      </c>
      <c r="P41" s="57">
        <v>250</v>
      </c>
      <c r="Q41" s="57">
        <v>250</v>
      </c>
      <c r="R41" s="57">
        <v>250</v>
      </c>
      <c r="S41" s="57">
        <v>250</v>
      </c>
      <c r="T41" s="57">
        <v>250</v>
      </c>
      <c r="U41" s="57">
        <v>250</v>
      </c>
      <c r="V41" s="57">
        <v>250</v>
      </c>
      <c r="W41" s="57">
        <v>250</v>
      </c>
      <c r="X41" s="57">
        <v>250</v>
      </c>
      <c r="Y41" s="57">
        <v>250</v>
      </c>
      <c r="Z41" s="57">
        <v>250</v>
      </c>
      <c r="AA41" s="57">
        <v>250</v>
      </c>
      <c r="AB41" s="57">
        <v>250</v>
      </c>
      <c r="AC41" s="57">
        <v>250</v>
      </c>
      <c r="AD41" s="57">
        <v>250</v>
      </c>
      <c r="AE41" s="57">
        <v>250</v>
      </c>
      <c r="AF41" s="57">
        <v>250</v>
      </c>
      <c r="AG41" s="55">
        <v>85</v>
      </c>
      <c r="AH41" s="48">
        <f t="shared" si="2"/>
        <v>250</v>
      </c>
      <c r="AI41" s="49">
        <f t="shared" si="3"/>
        <v>250</v>
      </c>
      <c r="AK41" s="50"/>
    </row>
    <row r="42" spans="1:88" ht="15.75" thickBot="1" x14ac:dyDescent="0.3">
      <c r="A42" s="58" t="s">
        <v>47</v>
      </c>
      <c r="B42" s="59">
        <v>82</v>
      </c>
      <c r="C42" s="59">
        <v>82</v>
      </c>
      <c r="D42" s="59">
        <v>82</v>
      </c>
      <c r="E42" s="59">
        <v>82</v>
      </c>
      <c r="F42" s="59">
        <v>82</v>
      </c>
      <c r="G42" s="59">
        <v>82</v>
      </c>
      <c r="H42" s="59">
        <v>82</v>
      </c>
      <c r="I42" s="59">
        <v>82</v>
      </c>
      <c r="J42" s="59">
        <v>82</v>
      </c>
      <c r="K42" s="59">
        <v>76</v>
      </c>
      <c r="L42" s="59">
        <v>76</v>
      </c>
      <c r="M42" s="57">
        <f>37.3+48.4</f>
        <v>85.699999999999989</v>
      </c>
      <c r="N42" s="57">
        <f>37.4+44.9</f>
        <v>82.3</v>
      </c>
      <c r="O42" s="57">
        <f>36.6+47.1</f>
        <v>83.7</v>
      </c>
      <c r="P42" s="57">
        <f>36.6+47.1</f>
        <v>83.7</v>
      </c>
      <c r="Q42" s="57">
        <f>36.5+40.3</f>
        <v>76.8</v>
      </c>
      <c r="R42" s="57">
        <f>37+38.9</f>
        <v>75.900000000000006</v>
      </c>
      <c r="S42" s="59">
        <f>38.1+30.3</f>
        <v>68.400000000000006</v>
      </c>
      <c r="T42" s="59"/>
      <c r="U42" s="59">
        <f>35.9+43.5</f>
        <v>79.400000000000006</v>
      </c>
      <c r="V42" s="59">
        <f>35.5+41.2</f>
        <v>76.7</v>
      </c>
      <c r="W42" s="59">
        <f>34.2+39.1</f>
        <v>73.300000000000011</v>
      </c>
      <c r="X42" s="59">
        <v>73.300000000000011</v>
      </c>
      <c r="Y42" s="59">
        <f>34.3+33</f>
        <v>67.3</v>
      </c>
      <c r="Z42" s="59">
        <f>34.7+33.5</f>
        <v>68.2</v>
      </c>
      <c r="AA42" s="59">
        <f>34+31.4</f>
        <v>65.400000000000006</v>
      </c>
      <c r="AB42" s="59">
        <f>35.2+30.7</f>
        <v>65.900000000000006</v>
      </c>
      <c r="AC42" s="59">
        <f>34.1+32.5</f>
        <v>66.599999999999994</v>
      </c>
      <c r="AD42" s="59">
        <f>37.1+34.2</f>
        <v>71.300000000000011</v>
      </c>
      <c r="AE42" s="59">
        <f>38.1+41</f>
        <v>79.099999999999994</v>
      </c>
      <c r="AF42" s="59">
        <f>36.8+39</f>
        <v>75.8</v>
      </c>
      <c r="AG42" s="55">
        <v>240</v>
      </c>
      <c r="AH42" s="48">
        <f t="shared" si="2"/>
        <v>85.699999999999989</v>
      </c>
      <c r="AI42" s="49">
        <f t="shared" si="3"/>
        <v>65.400000000000006</v>
      </c>
      <c r="AK42" s="50"/>
    </row>
    <row r="43" spans="1:88" ht="15.75" thickBot="1" x14ac:dyDescent="0.3">
      <c r="A43" s="60" t="s">
        <v>48</v>
      </c>
      <c r="B43" s="61">
        <f t="shared" ref="B43:AG43" si="4">SUM(B11:B41)</f>
        <v>660.2</v>
      </c>
      <c r="C43" s="61">
        <f t="shared" si="4"/>
        <v>661.10000000000014</v>
      </c>
      <c r="D43" s="61">
        <f t="shared" si="4"/>
        <v>659.50000000000011</v>
      </c>
      <c r="E43" s="61">
        <f t="shared" si="4"/>
        <v>659.50000000000011</v>
      </c>
      <c r="F43" s="61">
        <f t="shared" si="4"/>
        <v>659.50000000000011</v>
      </c>
      <c r="G43" s="61">
        <f t="shared" si="4"/>
        <v>659.50000000000011</v>
      </c>
      <c r="H43" s="61">
        <f t="shared" si="4"/>
        <v>659.50000000000011</v>
      </c>
      <c r="I43" s="61">
        <f t="shared" si="4"/>
        <v>659.50000000000011</v>
      </c>
      <c r="J43" s="61">
        <f t="shared" si="4"/>
        <v>659.50000000000011</v>
      </c>
      <c r="K43" s="61">
        <f t="shared" si="4"/>
        <v>659.50000000000011</v>
      </c>
      <c r="L43" s="61">
        <f t="shared" si="4"/>
        <v>659.50000000000011</v>
      </c>
      <c r="M43" s="61">
        <f t="shared" si="4"/>
        <v>655.50000000000011</v>
      </c>
      <c r="N43" s="61">
        <f t="shared" si="4"/>
        <v>649.90000000000009</v>
      </c>
      <c r="O43" s="61">
        <f t="shared" si="4"/>
        <v>649.90000000000009</v>
      </c>
      <c r="P43" s="61">
        <f t="shared" si="4"/>
        <v>650.10000000000014</v>
      </c>
      <c r="Q43" s="61">
        <f t="shared" si="4"/>
        <v>647.20000000000005</v>
      </c>
      <c r="R43" s="61">
        <f t="shared" si="4"/>
        <v>647.20000000000005</v>
      </c>
      <c r="S43" s="61">
        <f t="shared" si="4"/>
        <v>647.20000000000005</v>
      </c>
      <c r="T43" s="61">
        <f t="shared" si="4"/>
        <v>250</v>
      </c>
      <c r="U43" s="61">
        <f t="shared" si="4"/>
        <v>647.20000000000005</v>
      </c>
      <c r="V43" s="61">
        <f t="shared" si="4"/>
        <v>647.20000000000005</v>
      </c>
      <c r="W43" s="61">
        <f t="shared" si="4"/>
        <v>647.20000000000005</v>
      </c>
      <c r="X43" s="61">
        <f t="shared" si="4"/>
        <v>653.20000000000005</v>
      </c>
      <c r="Y43" s="61">
        <f t="shared" si="4"/>
        <v>653.20000000000005</v>
      </c>
      <c r="Z43" s="61">
        <f t="shared" si="4"/>
        <v>653.20000000000005</v>
      </c>
      <c r="AA43" s="61">
        <f t="shared" si="4"/>
        <v>653.20000000000005</v>
      </c>
      <c r="AB43" s="61">
        <f t="shared" si="4"/>
        <v>653.20000000000005</v>
      </c>
      <c r="AC43" s="61">
        <f t="shared" si="4"/>
        <v>653.20000000000005</v>
      </c>
      <c r="AD43" s="61">
        <f t="shared" si="4"/>
        <v>653.20000000000005</v>
      </c>
      <c r="AE43" s="61">
        <f t="shared" si="4"/>
        <v>653.20000000000005</v>
      </c>
      <c r="AF43" s="61">
        <f t="shared" si="4"/>
        <v>627.40000000000009</v>
      </c>
      <c r="AG43" s="62">
        <f t="shared" si="4"/>
        <v>796.78000000000009</v>
      </c>
      <c r="AH43" s="48">
        <f t="shared" si="2"/>
        <v>661.10000000000014</v>
      </c>
      <c r="AI43" s="49">
        <f t="shared" si="3"/>
        <v>250</v>
      </c>
      <c r="AK43" s="50"/>
    </row>
    <row r="44" spans="1:88" x14ac:dyDescent="0.25">
      <c r="A44" s="63" t="s">
        <v>49</v>
      </c>
      <c r="B44" s="45">
        <v>80</v>
      </c>
      <c r="C44" s="45">
        <v>40</v>
      </c>
      <c r="D44" s="45">
        <v>60</v>
      </c>
      <c r="E44" s="45">
        <v>60</v>
      </c>
      <c r="F44" s="45">
        <v>60</v>
      </c>
      <c r="G44" s="45">
        <v>60</v>
      </c>
      <c r="H44" s="45">
        <v>60</v>
      </c>
      <c r="I44" s="45">
        <v>60</v>
      </c>
      <c r="J44" s="45">
        <v>120</v>
      </c>
      <c r="K44" s="45">
        <v>150</v>
      </c>
      <c r="L44" s="45">
        <v>456</v>
      </c>
      <c r="M44" s="45">
        <v>456</v>
      </c>
      <c r="N44" s="45">
        <v>380</v>
      </c>
      <c r="O44" s="45">
        <v>350</v>
      </c>
      <c r="P44" s="45">
        <v>60</v>
      </c>
      <c r="Q44" s="45">
        <v>50</v>
      </c>
      <c r="R44" s="45">
        <v>15</v>
      </c>
      <c r="S44" s="45">
        <v>25</v>
      </c>
      <c r="T44" s="45">
        <v>50</v>
      </c>
      <c r="U44" s="45">
        <v>50</v>
      </c>
      <c r="V44" s="45">
        <v>380</v>
      </c>
      <c r="W44" s="45">
        <v>456</v>
      </c>
      <c r="X44" s="45">
        <v>456</v>
      </c>
      <c r="Y44" s="45">
        <v>420</v>
      </c>
      <c r="Z44" s="45">
        <v>390</v>
      </c>
      <c r="AA44" s="45">
        <v>340</v>
      </c>
      <c r="AB44" s="45">
        <v>280</v>
      </c>
      <c r="AC44" s="45">
        <v>250</v>
      </c>
      <c r="AD44" s="45">
        <v>200</v>
      </c>
      <c r="AE44" s="45">
        <v>110</v>
      </c>
      <c r="AF44" s="45">
        <v>40</v>
      </c>
      <c r="AG44" s="52">
        <v>456</v>
      </c>
      <c r="AH44" s="48">
        <f t="shared" si="2"/>
        <v>456</v>
      </c>
      <c r="AI44" s="49">
        <f t="shared" si="3"/>
        <v>15</v>
      </c>
      <c r="AK44" s="50"/>
    </row>
    <row r="45" spans="1:88" x14ac:dyDescent="0.25">
      <c r="A45" s="64" t="s">
        <v>50</v>
      </c>
      <c r="B45" s="65">
        <v>57</v>
      </c>
      <c r="C45" s="65">
        <v>57</v>
      </c>
      <c r="D45" s="65">
        <v>57</v>
      </c>
      <c r="E45" s="65">
        <v>57</v>
      </c>
      <c r="F45" s="65">
        <v>57</v>
      </c>
      <c r="G45" s="65">
        <v>57</v>
      </c>
      <c r="H45" s="65">
        <v>57</v>
      </c>
      <c r="I45" s="65">
        <v>57</v>
      </c>
      <c r="J45" s="65">
        <v>57</v>
      </c>
      <c r="K45" s="65">
        <v>57</v>
      </c>
      <c r="L45" s="65">
        <v>57</v>
      </c>
      <c r="M45" s="65">
        <v>57</v>
      </c>
      <c r="N45" s="65">
        <v>57</v>
      </c>
      <c r="O45" s="65">
        <v>57</v>
      </c>
      <c r="P45" s="65">
        <v>57</v>
      </c>
      <c r="Q45" s="65">
        <v>57</v>
      </c>
      <c r="R45" s="65">
        <v>57</v>
      </c>
      <c r="S45" s="65">
        <v>57</v>
      </c>
      <c r="T45" s="65"/>
      <c r="U45" s="65">
        <v>57</v>
      </c>
      <c r="V45" s="65">
        <v>57</v>
      </c>
      <c r="W45" s="65">
        <v>57</v>
      </c>
      <c r="X45" s="65">
        <v>57</v>
      </c>
      <c r="Y45" s="65">
        <v>57</v>
      </c>
      <c r="Z45" s="65">
        <v>57</v>
      </c>
      <c r="AA45" s="65">
        <v>57</v>
      </c>
      <c r="AB45" s="65">
        <v>57</v>
      </c>
      <c r="AC45" s="65">
        <v>57</v>
      </c>
      <c r="AD45" s="65">
        <v>57</v>
      </c>
      <c r="AE45" s="65">
        <v>57</v>
      </c>
      <c r="AF45" s="65">
        <v>57</v>
      </c>
      <c r="AG45" s="55">
        <v>60</v>
      </c>
      <c r="AH45" s="48">
        <f t="shared" si="2"/>
        <v>57</v>
      </c>
      <c r="AI45" s="49">
        <f t="shared" si="3"/>
        <v>57</v>
      </c>
      <c r="AK45" s="50"/>
    </row>
    <row r="46" spans="1:88" ht="15.75" thickBot="1" x14ac:dyDescent="0.3">
      <c r="A46" s="66" t="s">
        <v>51</v>
      </c>
      <c r="B46" s="67">
        <v>22</v>
      </c>
      <c r="C46" s="67">
        <v>22</v>
      </c>
      <c r="D46" s="67">
        <v>22</v>
      </c>
      <c r="E46" s="67">
        <v>22</v>
      </c>
      <c r="F46" s="67">
        <v>22</v>
      </c>
      <c r="G46" s="67">
        <v>22</v>
      </c>
      <c r="H46" s="67">
        <v>22</v>
      </c>
      <c r="I46" s="67">
        <v>22</v>
      </c>
      <c r="J46" s="67">
        <v>22</v>
      </c>
      <c r="K46" s="67">
        <v>22</v>
      </c>
      <c r="L46" s="67">
        <v>22</v>
      </c>
      <c r="M46" s="67">
        <v>22</v>
      </c>
      <c r="N46" s="67">
        <v>20.100000000000001</v>
      </c>
      <c r="O46" s="67">
        <v>21</v>
      </c>
      <c r="P46" s="67">
        <v>21</v>
      </c>
      <c r="Q46" s="67">
        <v>21</v>
      </c>
      <c r="R46" s="67">
        <v>21</v>
      </c>
      <c r="S46" s="67">
        <v>20</v>
      </c>
      <c r="T46" s="67"/>
      <c r="U46" s="67">
        <v>22</v>
      </c>
      <c r="V46" s="67">
        <v>22</v>
      </c>
      <c r="W46" s="67">
        <v>22</v>
      </c>
      <c r="X46" s="67">
        <v>22</v>
      </c>
      <c r="Y46" s="67">
        <v>22</v>
      </c>
      <c r="Z46" s="67">
        <v>22</v>
      </c>
      <c r="AA46" s="67">
        <v>22</v>
      </c>
      <c r="AB46" s="67">
        <v>22</v>
      </c>
      <c r="AC46" s="67">
        <v>22.2</v>
      </c>
      <c r="AD46" s="67">
        <v>20.100000000000001</v>
      </c>
      <c r="AE46" s="67">
        <v>20</v>
      </c>
      <c r="AF46" s="67">
        <v>20</v>
      </c>
      <c r="AG46" s="68">
        <v>22.1</v>
      </c>
      <c r="AH46" s="48">
        <f t="shared" si="2"/>
        <v>22.2</v>
      </c>
      <c r="AI46" s="49">
        <f t="shared" si="3"/>
        <v>20</v>
      </c>
      <c r="AK46" s="50"/>
    </row>
    <row r="47" spans="1:88" ht="15.75" thickBot="1" x14ac:dyDescent="0.3">
      <c r="A47" s="69" t="s">
        <v>52</v>
      </c>
      <c r="B47" s="61">
        <f t="shared" ref="B47:AG47" si="5">SUM(B44:B46)</f>
        <v>159</v>
      </c>
      <c r="C47" s="61">
        <f t="shared" si="5"/>
        <v>119</v>
      </c>
      <c r="D47" s="61">
        <f t="shared" si="5"/>
        <v>139</v>
      </c>
      <c r="E47" s="61">
        <f t="shared" si="5"/>
        <v>139</v>
      </c>
      <c r="F47" s="61">
        <f t="shared" si="5"/>
        <v>139</v>
      </c>
      <c r="G47" s="61">
        <f t="shared" si="5"/>
        <v>139</v>
      </c>
      <c r="H47" s="61">
        <f t="shared" si="5"/>
        <v>139</v>
      </c>
      <c r="I47" s="61">
        <f t="shared" si="5"/>
        <v>139</v>
      </c>
      <c r="J47" s="61">
        <f t="shared" si="5"/>
        <v>199</v>
      </c>
      <c r="K47" s="61">
        <f t="shared" si="5"/>
        <v>229</v>
      </c>
      <c r="L47" s="61">
        <f t="shared" si="5"/>
        <v>535</v>
      </c>
      <c r="M47" s="61">
        <f t="shared" si="5"/>
        <v>535</v>
      </c>
      <c r="N47" s="61">
        <f t="shared" si="5"/>
        <v>457.1</v>
      </c>
      <c r="O47" s="61">
        <f t="shared" si="5"/>
        <v>428</v>
      </c>
      <c r="P47" s="61">
        <f t="shared" si="5"/>
        <v>138</v>
      </c>
      <c r="Q47" s="61">
        <f t="shared" si="5"/>
        <v>128</v>
      </c>
      <c r="R47" s="61">
        <f t="shared" si="5"/>
        <v>93</v>
      </c>
      <c r="S47" s="61">
        <f t="shared" si="5"/>
        <v>102</v>
      </c>
      <c r="T47" s="61">
        <f t="shared" si="5"/>
        <v>50</v>
      </c>
      <c r="U47" s="61">
        <f t="shared" si="5"/>
        <v>129</v>
      </c>
      <c r="V47" s="61">
        <f t="shared" si="5"/>
        <v>459</v>
      </c>
      <c r="W47" s="61">
        <f t="shared" si="5"/>
        <v>535</v>
      </c>
      <c r="X47" s="61">
        <f t="shared" si="5"/>
        <v>535</v>
      </c>
      <c r="Y47" s="61">
        <f t="shared" si="5"/>
        <v>499</v>
      </c>
      <c r="Z47" s="61">
        <f t="shared" si="5"/>
        <v>469</v>
      </c>
      <c r="AA47" s="61">
        <f t="shared" si="5"/>
        <v>419</v>
      </c>
      <c r="AB47" s="61">
        <f t="shared" si="5"/>
        <v>359</v>
      </c>
      <c r="AC47" s="61">
        <f t="shared" si="5"/>
        <v>329.2</v>
      </c>
      <c r="AD47" s="61">
        <f t="shared" si="5"/>
        <v>277.10000000000002</v>
      </c>
      <c r="AE47" s="61">
        <f t="shared" si="5"/>
        <v>187</v>
      </c>
      <c r="AF47" s="61">
        <f t="shared" si="5"/>
        <v>117</v>
      </c>
      <c r="AG47" s="62">
        <f t="shared" si="5"/>
        <v>538.1</v>
      </c>
      <c r="AH47" s="48">
        <f t="shared" si="2"/>
        <v>535</v>
      </c>
      <c r="AI47" s="49">
        <f t="shared" si="3"/>
        <v>50</v>
      </c>
      <c r="AK47" s="50"/>
    </row>
    <row r="48" spans="1:88" x14ac:dyDescent="0.25">
      <c r="A48" s="44" t="s">
        <v>53</v>
      </c>
      <c r="B48" s="45">
        <v>60</v>
      </c>
      <c r="C48" s="45">
        <v>60</v>
      </c>
      <c r="D48" s="45">
        <v>60</v>
      </c>
      <c r="E48" s="45">
        <v>60</v>
      </c>
      <c r="F48" s="45">
        <v>52</v>
      </c>
      <c r="G48" s="45">
        <v>90</v>
      </c>
      <c r="H48" s="45">
        <v>110</v>
      </c>
      <c r="I48" s="45">
        <v>130</v>
      </c>
      <c r="J48" s="45">
        <v>144</v>
      </c>
      <c r="K48" s="45">
        <v>144</v>
      </c>
      <c r="L48" s="45">
        <v>144</v>
      </c>
      <c r="M48" s="45">
        <v>144</v>
      </c>
      <c r="N48" s="45">
        <v>144</v>
      </c>
      <c r="O48" s="45">
        <v>143.5</v>
      </c>
      <c r="P48" s="45">
        <v>143.5</v>
      </c>
      <c r="Q48" s="45">
        <v>143.6</v>
      </c>
      <c r="R48" s="45">
        <v>143.6</v>
      </c>
      <c r="S48" s="45">
        <v>143.6</v>
      </c>
      <c r="T48" s="45"/>
      <c r="U48" s="45">
        <v>91.8</v>
      </c>
      <c r="V48" s="45">
        <v>93.7</v>
      </c>
      <c r="W48" s="45">
        <v>144.80000000000001</v>
      </c>
      <c r="X48" s="45">
        <v>144.80000000000001</v>
      </c>
      <c r="Y48" s="45">
        <v>144.80000000000001</v>
      </c>
      <c r="Z48" s="45">
        <v>144.80000000000001</v>
      </c>
      <c r="AA48" s="45">
        <v>144.80000000000001</v>
      </c>
      <c r="AB48" s="45">
        <v>144.80000000000001</v>
      </c>
      <c r="AC48" s="45">
        <v>144.80000000000001</v>
      </c>
      <c r="AD48" s="45">
        <v>144.80000000000001</v>
      </c>
      <c r="AE48" s="45">
        <v>110</v>
      </c>
      <c r="AF48" s="45">
        <v>80</v>
      </c>
      <c r="AG48" s="52">
        <v>144</v>
      </c>
      <c r="AH48" s="48">
        <f t="shared" si="2"/>
        <v>144.80000000000001</v>
      </c>
      <c r="AI48" s="49">
        <f t="shared" si="3"/>
        <v>52</v>
      </c>
      <c r="AK48" s="50"/>
    </row>
    <row r="49" spans="1:41" x14ac:dyDescent="0.25">
      <c r="A49" s="54" t="s">
        <v>54</v>
      </c>
      <c r="B49" s="65">
        <v>24</v>
      </c>
      <c r="C49" s="65">
        <v>24</v>
      </c>
      <c r="D49" s="65">
        <v>24</v>
      </c>
      <c r="E49" s="65">
        <v>24</v>
      </c>
      <c r="F49" s="65">
        <v>24</v>
      </c>
      <c r="G49" s="65">
        <v>46</v>
      </c>
      <c r="H49" s="65">
        <v>46</v>
      </c>
      <c r="I49" s="65">
        <v>60</v>
      </c>
      <c r="J49" s="65">
        <v>70</v>
      </c>
      <c r="K49" s="65">
        <v>70</v>
      </c>
      <c r="L49" s="65">
        <v>70</v>
      </c>
      <c r="M49" s="65">
        <v>70</v>
      </c>
      <c r="N49" s="65">
        <v>70</v>
      </c>
      <c r="O49" s="45">
        <v>71.2</v>
      </c>
      <c r="P49" s="45">
        <v>71.2</v>
      </c>
      <c r="Q49" s="45">
        <v>72.099999999999994</v>
      </c>
      <c r="R49" s="45">
        <v>72.099999999999994</v>
      </c>
      <c r="S49" s="45">
        <v>72.099999999999994</v>
      </c>
      <c r="T49" s="65"/>
      <c r="U49" s="65">
        <v>68.5</v>
      </c>
      <c r="V49" s="65">
        <v>61.4</v>
      </c>
      <c r="W49" s="65">
        <v>71</v>
      </c>
      <c r="X49" s="65">
        <v>71</v>
      </c>
      <c r="Y49" s="65">
        <v>71</v>
      </c>
      <c r="Z49" s="65">
        <v>71</v>
      </c>
      <c r="AA49" s="65">
        <v>71</v>
      </c>
      <c r="AB49" s="65">
        <v>71</v>
      </c>
      <c r="AC49" s="65">
        <v>71</v>
      </c>
      <c r="AD49" s="65">
        <v>72.2</v>
      </c>
      <c r="AE49" s="65">
        <v>34.799999999999997</v>
      </c>
      <c r="AF49" s="65">
        <v>36.4</v>
      </c>
      <c r="AG49" s="55">
        <v>70</v>
      </c>
      <c r="AH49" s="48">
        <f t="shared" si="2"/>
        <v>72.2</v>
      </c>
      <c r="AI49" s="49">
        <f t="shared" si="3"/>
        <v>24</v>
      </c>
      <c r="AK49" s="50"/>
    </row>
    <row r="50" spans="1:41" x14ac:dyDescent="0.25">
      <c r="A50" s="54" t="s">
        <v>55</v>
      </c>
      <c r="B50" s="65">
        <v>56</v>
      </c>
      <c r="C50" s="65">
        <v>56</v>
      </c>
      <c r="D50" s="65">
        <v>56</v>
      </c>
      <c r="E50" s="65">
        <v>52</v>
      </c>
      <c r="F50" s="65">
        <v>42</v>
      </c>
      <c r="G50" s="65">
        <v>42</v>
      </c>
      <c r="H50" s="65">
        <v>42</v>
      </c>
      <c r="I50" s="65">
        <v>42</v>
      </c>
      <c r="J50" s="65">
        <v>42</v>
      </c>
      <c r="K50" s="65">
        <v>42</v>
      </c>
      <c r="L50" s="65">
        <v>42</v>
      </c>
      <c r="M50" s="65">
        <v>42</v>
      </c>
      <c r="N50" s="65">
        <v>42</v>
      </c>
      <c r="O50" s="45">
        <v>68.900000000000006</v>
      </c>
      <c r="P50" s="45">
        <v>68.900000000000006</v>
      </c>
      <c r="Q50" s="45">
        <v>67.8</v>
      </c>
      <c r="R50" s="45">
        <v>67.8</v>
      </c>
      <c r="S50" s="45">
        <v>67.8</v>
      </c>
      <c r="T50" s="65"/>
      <c r="U50" s="65">
        <v>70</v>
      </c>
      <c r="V50" s="65">
        <v>70</v>
      </c>
      <c r="W50" s="65">
        <v>69.400000000000006</v>
      </c>
      <c r="X50" s="65">
        <v>69.400000000000006</v>
      </c>
      <c r="Y50" s="65">
        <v>69.400000000000006</v>
      </c>
      <c r="Z50" s="65">
        <v>69.400000000000006</v>
      </c>
      <c r="AA50" s="65">
        <v>69.400000000000006</v>
      </c>
      <c r="AB50" s="65">
        <v>69.400000000000006</v>
      </c>
      <c r="AC50" s="65">
        <v>69.400000000000006</v>
      </c>
      <c r="AD50" s="65">
        <v>68.900000000000006</v>
      </c>
      <c r="AE50" s="65">
        <v>69.2</v>
      </c>
      <c r="AF50" s="65">
        <v>61</v>
      </c>
      <c r="AG50" s="55">
        <v>69</v>
      </c>
      <c r="AH50" s="48">
        <f t="shared" si="2"/>
        <v>70</v>
      </c>
      <c r="AI50" s="49">
        <f t="shared" si="3"/>
        <v>42</v>
      </c>
      <c r="AK50" s="50"/>
    </row>
    <row r="51" spans="1:41" x14ac:dyDescent="0.25">
      <c r="A51" s="54" t="s">
        <v>56</v>
      </c>
      <c r="B51" s="57">
        <v>60.9</v>
      </c>
      <c r="C51" s="57">
        <v>60.9</v>
      </c>
      <c r="D51" s="57">
        <v>60.9</v>
      </c>
      <c r="E51" s="57">
        <v>60.9</v>
      </c>
      <c r="F51" s="57">
        <v>60.9</v>
      </c>
      <c r="G51" s="57">
        <v>60.9</v>
      </c>
      <c r="H51" s="57">
        <v>60.9</v>
      </c>
      <c r="I51" s="57">
        <v>60.9</v>
      </c>
      <c r="J51" s="57">
        <v>60.9</v>
      </c>
      <c r="K51" s="57">
        <v>60.9</v>
      </c>
      <c r="L51" s="57">
        <v>60.9</v>
      </c>
      <c r="M51" s="57">
        <v>60.9</v>
      </c>
      <c r="N51" s="57">
        <v>60.9</v>
      </c>
      <c r="O51" s="45">
        <v>60.9</v>
      </c>
      <c r="P51" s="45">
        <v>60.9</v>
      </c>
      <c r="Q51" s="45">
        <v>60.9</v>
      </c>
      <c r="R51" s="45">
        <v>60.9</v>
      </c>
      <c r="S51" s="45">
        <v>60.9</v>
      </c>
      <c r="T51" s="45"/>
      <c r="U51" s="45">
        <v>59.5</v>
      </c>
      <c r="V51" s="45">
        <v>59.5</v>
      </c>
      <c r="W51" s="65">
        <v>60</v>
      </c>
      <c r="X51" s="65">
        <v>60</v>
      </c>
      <c r="Y51" s="65">
        <v>60</v>
      </c>
      <c r="Z51" s="65">
        <v>60</v>
      </c>
      <c r="AA51" s="65">
        <v>60</v>
      </c>
      <c r="AB51" s="65">
        <v>60</v>
      </c>
      <c r="AC51" s="65">
        <v>60</v>
      </c>
      <c r="AD51" s="65">
        <v>60.2</v>
      </c>
      <c r="AE51" s="57">
        <v>60</v>
      </c>
      <c r="AF51" s="57">
        <v>60.2</v>
      </c>
      <c r="AG51" s="55">
        <v>60</v>
      </c>
      <c r="AH51" s="48">
        <f t="shared" si="2"/>
        <v>60.9</v>
      </c>
      <c r="AI51" s="49">
        <f t="shared" si="3"/>
        <v>59.5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45">
        <v>30</v>
      </c>
      <c r="N52" s="45">
        <v>30</v>
      </c>
      <c r="O52" s="45">
        <v>30</v>
      </c>
      <c r="P52" s="45">
        <v>0</v>
      </c>
      <c r="Q52" s="45">
        <v>0</v>
      </c>
      <c r="R52" s="45">
        <v>0</v>
      </c>
      <c r="S52" s="45">
        <v>0</v>
      </c>
      <c r="T52" s="45"/>
      <c r="U52" s="45">
        <v>28</v>
      </c>
      <c r="V52" s="45">
        <v>28</v>
      </c>
      <c r="W52" s="65">
        <v>30</v>
      </c>
      <c r="X52" s="65">
        <v>30</v>
      </c>
      <c r="Y52" s="65">
        <v>30</v>
      </c>
      <c r="Z52" s="65">
        <v>15</v>
      </c>
      <c r="AA52" s="65">
        <v>15</v>
      </c>
      <c r="AB52" s="65">
        <v>15</v>
      </c>
      <c r="AC52" s="65">
        <v>15</v>
      </c>
      <c r="AD52" s="65">
        <v>14.9</v>
      </c>
      <c r="AE52" s="65">
        <v>14.9</v>
      </c>
      <c r="AF52" s="57">
        <v>13.5</v>
      </c>
      <c r="AG52" s="55">
        <v>30</v>
      </c>
      <c r="AH52" s="48">
        <f t="shared" si="2"/>
        <v>30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5</v>
      </c>
      <c r="N53" s="65">
        <v>5</v>
      </c>
      <c r="O53" s="65">
        <v>5</v>
      </c>
      <c r="P53" s="65">
        <v>5</v>
      </c>
      <c r="Q53" s="65">
        <v>5</v>
      </c>
      <c r="R53" s="65">
        <v>5</v>
      </c>
      <c r="S53" s="65">
        <v>5</v>
      </c>
      <c r="T53" s="45"/>
      <c r="U53" s="45">
        <v>10</v>
      </c>
      <c r="V53" s="45">
        <v>10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65">
        <v>0</v>
      </c>
      <c r="AG53" s="55">
        <v>25</v>
      </c>
      <c r="AH53" s="48">
        <f t="shared" si="2"/>
        <v>10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17.5</v>
      </c>
      <c r="C54" s="65">
        <v>17.5</v>
      </c>
      <c r="D54" s="65">
        <v>17.5</v>
      </c>
      <c r="E54" s="65">
        <v>17.5</v>
      </c>
      <c r="F54" s="65">
        <v>17.5</v>
      </c>
      <c r="G54" s="65">
        <v>17.5</v>
      </c>
      <c r="H54" s="65">
        <v>17.5</v>
      </c>
      <c r="I54" s="65">
        <v>17.5</v>
      </c>
      <c r="J54" s="65">
        <v>17.5</v>
      </c>
      <c r="K54" s="65">
        <v>17.5</v>
      </c>
      <c r="L54" s="65">
        <v>17.5</v>
      </c>
      <c r="M54" s="65">
        <v>17.5</v>
      </c>
      <c r="N54" s="65">
        <v>17.5</v>
      </c>
      <c r="O54" s="65">
        <v>17.5</v>
      </c>
      <c r="P54" s="65">
        <v>17.5</v>
      </c>
      <c r="Q54" s="65">
        <v>17.5</v>
      </c>
      <c r="R54" s="65">
        <v>17.5</v>
      </c>
      <c r="S54" s="65">
        <v>17.5</v>
      </c>
      <c r="T54" s="45"/>
      <c r="U54" s="45">
        <v>16.5</v>
      </c>
      <c r="V54" s="45">
        <v>16.5</v>
      </c>
      <c r="W54" s="45">
        <v>17.3</v>
      </c>
      <c r="X54" s="45">
        <v>17.3</v>
      </c>
      <c r="Y54" s="45">
        <v>17.3</v>
      </c>
      <c r="Z54" s="45">
        <v>17.3</v>
      </c>
      <c r="AA54" s="45">
        <v>17.3</v>
      </c>
      <c r="AB54" s="45">
        <v>17.3</v>
      </c>
      <c r="AC54" s="45">
        <v>17.3</v>
      </c>
      <c r="AD54" s="45">
        <v>17.3</v>
      </c>
      <c r="AE54" s="45">
        <v>17.3</v>
      </c>
      <c r="AF54" s="45">
        <v>17.3</v>
      </c>
      <c r="AG54" s="55">
        <v>24</v>
      </c>
      <c r="AH54" s="48">
        <f t="shared" si="2"/>
        <v>17.5</v>
      </c>
      <c r="AI54" s="49">
        <f t="shared" si="3"/>
        <v>16.5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45"/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14.3</v>
      </c>
      <c r="C56" s="65">
        <v>14.3</v>
      </c>
      <c r="D56" s="65">
        <v>14.3</v>
      </c>
      <c r="E56" s="65">
        <v>14.3</v>
      </c>
      <c r="F56" s="65">
        <v>14.3</v>
      </c>
      <c r="G56" s="65">
        <v>14.3</v>
      </c>
      <c r="H56" s="65">
        <v>14.3</v>
      </c>
      <c r="I56" s="65">
        <v>14.3</v>
      </c>
      <c r="J56" s="65">
        <v>14.3</v>
      </c>
      <c r="K56" s="65">
        <v>14.3</v>
      </c>
      <c r="L56" s="65">
        <v>14.3</v>
      </c>
      <c r="M56" s="65">
        <v>14.3</v>
      </c>
      <c r="N56" s="65">
        <v>14.3</v>
      </c>
      <c r="O56" s="65">
        <v>14.3</v>
      </c>
      <c r="P56" s="65">
        <v>14.3</v>
      </c>
      <c r="Q56" s="65">
        <v>14.3</v>
      </c>
      <c r="R56" s="65">
        <v>14.3</v>
      </c>
      <c r="S56" s="65">
        <v>14.3</v>
      </c>
      <c r="T56" s="45"/>
      <c r="U56" s="65">
        <v>14.3</v>
      </c>
      <c r="V56" s="65">
        <v>14.3</v>
      </c>
      <c r="W56" s="65">
        <v>13.6</v>
      </c>
      <c r="X56" s="65">
        <v>13.6</v>
      </c>
      <c r="Y56" s="65">
        <v>13.6</v>
      </c>
      <c r="Z56" s="65">
        <v>13.6</v>
      </c>
      <c r="AA56" s="65">
        <v>13.6</v>
      </c>
      <c r="AB56" s="65">
        <v>13.6</v>
      </c>
      <c r="AC56" s="65">
        <v>13.6</v>
      </c>
      <c r="AD56" s="65">
        <v>14.3</v>
      </c>
      <c r="AE56" s="65">
        <v>14.3</v>
      </c>
      <c r="AF56" s="65">
        <v>14.3</v>
      </c>
      <c r="AG56" s="55">
        <v>14.1</v>
      </c>
      <c r="AH56" s="48">
        <f t="shared" si="2"/>
        <v>14.3</v>
      </c>
      <c r="AI56" s="49">
        <f t="shared" si="3"/>
        <v>13.6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8.1</v>
      </c>
      <c r="C57" s="65">
        <v>8.1</v>
      </c>
      <c r="D57" s="65">
        <v>8.1</v>
      </c>
      <c r="E57" s="65">
        <v>8.1</v>
      </c>
      <c r="F57" s="65">
        <v>8.1</v>
      </c>
      <c r="G57" s="65">
        <v>8.1</v>
      </c>
      <c r="H57" s="65">
        <v>8.1</v>
      </c>
      <c r="I57" s="65">
        <v>8.1</v>
      </c>
      <c r="J57" s="65">
        <v>8.1</v>
      </c>
      <c r="K57" s="65">
        <v>8.1</v>
      </c>
      <c r="L57" s="65">
        <v>8.1</v>
      </c>
      <c r="M57" s="65">
        <v>8.1</v>
      </c>
      <c r="N57" s="65">
        <v>8.1</v>
      </c>
      <c r="O57" s="65">
        <v>8.1</v>
      </c>
      <c r="P57" s="65">
        <v>8.1</v>
      </c>
      <c r="Q57" s="65">
        <v>8.1</v>
      </c>
      <c r="R57" s="65">
        <v>8.1</v>
      </c>
      <c r="S57" s="65">
        <v>8.1</v>
      </c>
      <c r="T57" s="45"/>
      <c r="U57" s="65">
        <v>7.1</v>
      </c>
      <c r="V57" s="65">
        <v>7.1</v>
      </c>
      <c r="W57" s="65">
        <v>8.8000000000000007</v>
      </c>
      <c r="X57" s="65">
        <v>8.8000000000000007</v>
      </c>
      <c r="Y57" s="65">
        <v>8.8000000000000007</v>
      </c>
      <c r="Z57" s="65">
        <v>8.8000000000000007</v>
      </c>
      <c r="AA57" s="65">
        <v>8.8000000000000007</v>
      </c>
      <c r="AB57" s="65">
        <v>8.8000000000000007</v>
      </c>
      <c r="AC57" s="65">
        <v>8.8000000000000007</v>
      </c>
      <c r="AD57" s="65">
        <v>8.4</v>
      </c>
      <c r="AE57" s="65">
        <v>8.4</v>
      </c>
      <c r="AF57" s="65">
        <v>8.4</v>
      </c>
      <c r="AG57" s="55">
        <v>14</v>
      </c>
      <c r="AH57" s="48">
        <f t="shared" si="2"/>
        <v>8.8000000000000007</v>
      </c>
      <c r="AI57" s="49">
        <f t="shared" si="3"/>
        <v>7.1</v>
      </c>
      <c r="AK57" s="50"/>
    </row>
    <row r="58" spans="1:41" x14ac:dyDescent="0.25">
      <c r="A58" s="54" t="s">
        <v>63</v>
      </c>
      <c r="B58" s="65">
        <v>8.6</v>
      </c>
      <c r="C58" s="65">
        <v>8.6</v>
      </c>
      <c r="D58" s="65">
        <v>8.6</v>
      </c>
      <c r="E58" s="65">
        <v>8.6</v>
      </c>
      <c r="F58" s="65">
        <v>8.6</v>
      </c>
      <c r="G58" s="65">
        <v>8.6</v>
      </c>
      <c r="H58" s="65">
        <v>8.6</v>
      </c>
      <c r="I58" s="65">
        <v>8.6</v>
      </c>
      <c r="J58" s="65">
        <v>8.6</v>
      </c>
      <c r="K58" s="65">
        <v>8.6</v>
      </c>
      <c r="L58" s="65">
        <v>8.6</v>
      </c>
      <c r="M58" s="65">
        <v>8.6</v>
      </c>
      <c r="N58" s="65">
        <v>8.6</v>
      </c>
      <c r="O58" s="65">
        <v>8.6</v>
      </c>
      <c r="P58" s="65">
        <v>8.6</v>
      </c>
      <c r="Q58" s="65">
        <v>8.6</v>
      </c>
      <c r="R58" s="65">
        <v>8.6</v>
      </c>
      <c r="S58" s="65">
        <v>8.6</v>
      </c>
      <c r="T58" s="45"/>
      <c r="U58" s="65">
        <v>6.1</v>
      </c>
      <c r="V58" s="65">
        <v>6.1</v>
      </c>
      <c r="W58" s="65">
        <v>6.2</v>
      </c>
      <c r="X58" s="65">
        <v>6.2</v>
      </c>
      <c r="Y58" s="65">
        <v>6.2</v>
      </c>
      <c r="Z58" s="65">
        <v>6.2</v>
      </c>
      <c r="AA58" s="65">
        <v>6.2</v>
      </c>
      <c r="AB58" s="65">
        <v>6.2</v>
      </c>
      <c r="AC58" s="65">
        <v>6.2</v>
      </c>
      <c r="AD58" s="65">
        <v>6.2</v>
      </c>
      <c r="AE58" s="65">
        <v>6.2</v>
      </c>
      <c r="AF58" s="65">
        <v>6.2</v>
      </c>
      <c r="AG58" s="55">
        <v>10.050000000000001</v>
      </c>
      <c r="AH58" s="48">
        <f t="shared" si="2"/>
        <v>8.6</v>
      </c>
      <c r="AI58" s="49">
        <f t="shared" si="3"/>
        <v>6.1</v>
      </c>
      <c r="AK58" s="50"/>
    </row>
    <row r="59" spans="1:41" x14ac:dyDescent="0.25">
      <c r="A59" s="54" t="s">
        <v>64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45"/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5">
        <v>6.2</v>
      </c>
      <c r="AH59" s="48">
        <f t="shared" si="2"/>
        <v>4.2</v>
      </c>
      <c r="AI59" s="49">
        <f t="shared" si="3"/>
        <v>4.2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:AG61" si="6">SUM(B48:B60)</f>
        <v>257.14</v>
      </c>
      <c r="C61" s="61">
        <f t="shared" si="6"/>
        <v>257.14</v>
      </c>
      <c r="D61" s="61">
        <f t="shared" si="6"/>
        <v>257.14</v>
      </c>
      <c r="E61" s="61">
        <f t="shared" si="6"/>
        <v>253.14</v>
      </c>
      <c r="F61" s="61">
        <f t="shared" si="6"/>
        <v>235.14</v>
      </c>
      <c r="G61" s="61">
        <f t="shared" si="6"/>
        <v>295.14000000000004</v>
      </c>
      <c r="H61" s="61">
        <f t="shared" si="6"/>
        <v>315.14000000000004</v>
      </c>
      <c r="I61" s="61">
        <f t="shared" si="6"/>
        <v>349.14000000000004</v>
      </c>
      <c r="J61" s="61">
        <f t="shared" si="6"/>
        <v>373.14000000000004</v>
      </c>
      <c r="K61" s="61">
        <f t="shared" si="6"/>
        <v>373.14000000000004</v>
      </c>
      <c r="L61" s="61">
        <f t="shared" si="6"/>
        <v>373.14000000000004</v>
      </c>
      <c r="M61" s="61">
        <f t="shared" si="6"/>
        <v>408.14000000000004</v>
      </c>
      <c r="N61" s="61">
        <f t="shared" si="6"/>
        <v>408.14000000000004</v>
      </c>
      <c r="O61" s="61">
        <f t="shared" si="6"/>
        <v>435.74000000000007</v>
      </c>
      <c r="P61" s="61">
        <f t="shared" si="6"/>
        <v>405.74000000000007</v>
      </c>
      <c r="Q61" s="61">
        <f t="shared" si="6"/>
        <v>405.64000000000004</v>
      </c>
      <c r="R61" s="61">
        <f t="shared" si="6"/>
        <v>405.64000000000004</v>
      </c>
      <c r="S61" s="61">
        <f t="shared" si="6"/>
        <v>405.64000000000004</v>
      </c>
      <c r="T61" s="61">
        <f t="shared" si="6"/>
        <v>3.54</v>
      </c>
      <c r="U61" s="61">
        <f t="shared" si="6"/>
        <v>379.54000000000008</v>
      </c>
      <c r="V61" s="61">
        <f t="shared" si="6"/>
        <v>374.34000000000009</v>
      </c>
      <c r="W61" s="61">
        <f t="shared" si="6"/>
        <v>428.84000000000009</v>
      </c>
      <c r="X61" s="61">
        <f t="shared" si="6"/>
        <v>428.84000000000009</v>
      </c>
      <c r="Y61" s="61">
        <f t="shared" si="6"/>
        <v>428.84000000000009</v>
      </c>
      <c r="Z61" s="61">
        <f t="shared" si="6"/>
        <v>413.84000000000009</v>
      </c>
      <c r="AA61" s="61">
        <f t="shared" si="6"/>
        <v>413.84000000000009</v>
      </c>
      <c r="AB61" s="61">
        <f t="shared" si="6"/>
        <v>413.84000000000009</v>
      </c>
      <c r="AC61" s="61">
        <f t="shared" si="6"/>
        <v>413.84000000000009</v>
      </c>
      <c r="AD61" s="61">
        <f t="shared" si="6"/>
        <v>414.93999999999994</v>
      </c>
      <c r="AE61" s="61">
        <f t="shared" si="6"/>
        <v>342.84</v>
      </c>
      <c r="AF61" s="61">
        <f t="shared" si="6"/>
        <v>305.04000000000002</v>
      </c>
      <c r="AG61" s="62">
        <f t="shared" si="6"/>
        <v>489.91</v>
      </c>
      <c r="AH61" s="48">
        <f t="shared" si="2"/>
        <v>435.74000000000007</v>
      </c>
      <c r="AI61" s="49">
        <f t="shared" si="3"/>
        <v>3.54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59.5</v>
      </c>
      <c r="M62" s="45">
        <v>59.5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/>
      <c r="T62" s="45"/>
      <c r="U62" s="45"/>
      <c r="V62" s="45">
        <v>24</v>
      </c>
      <c r="W62" s="45">
        <v>50</v>
      </c>
      <c r="X62" s="45">
        <v>35.200000000000003</v>
      </c>
      <c r="Y62" s="45">
        <v>35.200000000000003</v>
      </c>
      <c r="Z62" s="45">
        <v>29.7</v>
      </c>
      <c r="AA62" s="45">
        <v>9.3000000000000007</v>
      </c>
      <c r="AB62" s="45">
        <v>9.6999999999999993</v>
      </c>
      <c r="AC62" s="45">
        <v>0</v>
      </c>
      <c r="AD62" s="45">
        <v>0</v>
      </c>
      <c r="AE62" s="45">
        <v>0</v>
      </c>
      <c r="AF62" s="45">
        <v>0</v>
      </c>
      <c r="AG62" s="52">
        <v>60</v>
      </c>
      <c r="AH62" s="48">
        <f t="shared" si="2"/>
        <v>59.5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27.8</v>
      </c>
      <c r="M63" s="65">
        <v>27.8</v>
      </c>
      <c r="N63" s="65">
        <v>4.7</v>
      </c>
      <c r="O63" s="65">
        <v>0</v>
      </c>
      <c r="P63" s="65">
        <v>0</v>
      </c>
      <c r="Q63" s="65">
        <v>0</v>
      </c>
      <c r="R63" s="65">
        <v>0</v>
      </c>
      <c r="S63" s="65"/>
      <c r="T63" s="65"/>
      <c r="U63" s="65"/>
      <c r="V63" s="65">
        <v>6</v>
      </c>
      <c r="W63" s="65">
        <v>22.3</v>
      </c>
      <c r="X63" s="65">
        <v>26</v>
      </c>
      <c r="Y63" s="65">
        <v>26</v>
      </c>
      <c r="Z63" s="65">
        <v>14.7</v>
      </c>
      <c r="AA63" s="65">
        <v>4.7</v>
      </c>
      <c r="AB63" s="65">
        <v>3.6</v>
      </c>
      <c r="AC63" s="65">
        <v>0</v>
      </c>
      <c r="AD63" s="65">
        <v>0</v>
      </c>
      <c r="AE63" s="65">
        <v>0</v>
      </c>
      <c r="AF63" s="65">
        <v>0</v>
      </c>
      <c r="AG63" s="55">
        <v>32</v>
      </c>
      <c r="AH63" s="48">
        <f t="shared" si="2"/>
        <v>27.8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10.1</v>
      </c>
      <c r="M64" s="67">
        <v>10.1</v>
      </c>
      <c r="N64" s="67">
        <v>1.7</v>
      </c>
      <c r="O64" s="67">
        <v>0</v>
      </c>
      <c r="P64" s="67">
        <v>0</v>
      </c>
      <c r="Q64" s="67">
        <v>0</v>
      </c>
      <c r="R64" s="67">
        <v>0</v>
      </c>
      <c r="S64" s="67"/>
      <c r="T64" s="67"/>
      <c r="U64" s="67"/>
      <c r="V64" s="67">
        <v>2.2000000000000002</v>
      </c>
      <c r="W64" s="67">
        <v>8.1</v>
      </c>
      <c r="X64" s="67">
        <v>9</v>
      </c>
      <c r="Y64" s="67">
        <v>9</v>
      </c>
      <c r="Z64" s="67">
        <v>5.4</v>
      </c>
      <c r="AA64" s="67">
        <v>1.7</v>
      </c>
      <c r="AB64" s="67">
        <v>1.3</v>
      </c>
      <c r="AC64" s="67">
        <v>0</v>
      </c>
      <c r="AD64" s="67">
        <v>0</v>
      </c>
      <c r="AE64" s="67">
        <v>0</v>
      </c>
      <c r="AF64" s="67">
        <v>0</v>
      </c>
      <c r="AG64" s="68">
        <v>14</v>
      </c>
      <c r="AH64" s="48">
        <f t="shared" si="2"/>
        <v>10.1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:AG65" si="7">SUM(B62:B64)</f>
        <v>0</v>
      </c>
      <c r="C65" s="61">
        <f t="shared" si="7"/>
        <v>0</v>
      </c>
      <c r="D65" s="61">
        <f t="shared" si="7"/>
        <v>0</v>
      </c>
      <c r="E65" s="61">
        <f t="shared" si="7"/>
        <v>0</v>
      </c>
      <c r="F65" s="61">
        <f t="shared" si="7"/>
        <v>0</v>
      </c>
      <c r="G65" s="61">
        <f t="shared" si="7"/>
        <v>0</v>
      </c>
      <c r="H65" s="61">
        <f t="shared" si="7"/>
        <v>0</v>
      </c>
      <c r="I65" s="61">
        <f t="shared" si="7"/>
        <v>0</v>
      </c>
      <c r="J65" s="61">
        <f t="shared" si="7"/>
        <v>0</v>
      </c>
      <c r="K65" s="61">
        <f t="shared" si="7"/>
        <v>0</v>
      </c>
      <c r="L65" s="61">
        <f t="shared" si="7"/>
        <v>97.399999999999991</v>
      </c>
      <c r="M65" s="61">
        <f t="shared" si="7"/>
        <v>97.399999999999991</v>
      </c>
      <c r="N65" s="61">
        <f t="shared" si="7"/>
        <v>6.4</v>
      </c>
      <c r="O65" s="61">
        <f t="shared" si="7"/>
        <v>0</v>
      </c>
      <c r="P65" s="61">
        <f t="shared" si="7"/>
        <v>0</v>
      </c>
      <c r="Q65" s="61">
        <f t="shared" si="7"/>
        <v>0</v>
      </c>
      <c r="R65" s="61">
        <f t="shared" si="7"/>
        <v>0</v>
      </c>
      <c r="S65" s="61">
        <f t="shared" si="7"/>
        <v>0</v>
      </c>
      <c r="T65" s="61">
        <f t="shared" si="7"/>
        <v>0</v>
      </c>
      <c r="U65" s="61">
        <f t="shared" si="7"/>
        <v>0</v>
      </c>
      <c r="V65" s="61">
        <f t="shared" si="7"/>
        <v>32.200000000000003</v>
      </c>
      <c r="W65" s="61">
        <f t="shared" si="7"/>
        <v>80.399999999999991</v>
      </c>
      <c r="X65" s="61">
        <f t="shared" si="7"/>
        <v>70.2</v>
      </c>
      <c r="Y65" s="61">
        <f t="shared" si="7"/>
        <v>70.2</v>
      </c>
      <c r="Z65" s="61">
        <f t="shared" si="7"/>
        <v>49.8</v>
      </c>
      <c r="AA65" s="61">
        <f t="shared" si="7"/>
        <v>15.7</v>
      </c>
      <c r="AB65" s="61">
        <f t="shared" si="7"/>
        <v>14.6</v>
      </c>
      <c r="AC65" s="61">
        <f t="shared" si="7"/>
        <v>0</v>
      </c>
      <c r="AD65" s="61">
        <f t="shared" si="7"/>
        <v>0</v>
      </c>
      <c r="AE65" s="61">
        <f t="shared" si="7"/>
        <v>0</v>
      </c>
      <c r="AF65" s="61">
        <f t="shared" si="7"/>
        <v>0</v>
      </c>
      <c r="AG65" s="62">
        <f t="shared" si="7"/>
        <v>106</v>
      </c>
      <c r="AH65" s="48">
        <f t="shared" si="2"/>
        <v>97.399999999999991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0</v>
      </c>
      <c r="J66" s="45">
        <v>0</v>
      </c>
      <c r="K66" s="45">
        <v>0</v>
      </c>
      <c r="L66" s="45">
        <v>0</v>
      </c>
      <c r="M66" s="45">
        <v>9</v>
      </c>
      <c r="N66" s="45">
        <v>25.6</v>
      </c>
      <c r="O66" s="45">
        <v>14</v>
      </c>
      <c r="P66" s="45">
        <v>25</v>
      </c>
      <c r="Q66" s="45">
        <v>0</v>
      </c>
      <c r="R66" s="45">
        <v>0</v>
      </c>
      <c r="S66" s="45">
        <v>0</v>
      </c>
      <c r="T66" s="45"/>
      <c r="U66" s="45">
        <v>0</v>
      </c>
      <c r="V66" s="45">
        <v>0</v>
      </c>
      <c r="W66" s="45">
        <v>0</v>
      </c>
      <c r="X66" s="45">
        <v>36</v>
      </c>
      <c r="Y66" s="45">
        <v>30</v>
      </c>
      <c r="Z66" s="45">
        <v>27</v>
      </c>
      <c r="AA66" s="45">
        <v>23.1</v>
      </c>
      <c r="AB66" s="45">
        <v>18.100000000000001</v>
      </c>
      <c r="AC66" s="45">
        <v>15</v>
      </c>
      <c r="AD66" s="45">
        <v>0</v>
      </c>
      <c r="AE66" s="45">
        <v>0</v>
      </c>
      <c r="AF66" s="45">
        <v>0</v>
      </c>
      <c r="AG66" s="52"/>
      <c r="AH66" s="48">
        <f t="shared" si="2"/>
        <v>36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/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-83</v>
      </c>
      <c r="C68" s="65">
        <v>-75</v>
      </c>
      <c r="D68" s="65">
        <v>-82</v>
      </c>
      <c r="E68" s="65">
        <v>-81</v>
      </c>
      <c r="F68" s="65">
        <v>-76</v>
      </c>
      <c r="G68" s="65">
        <v>-52</v>
      </c>
      <c r="H68" s="65">
        <v>-72</v>
      </c>
      <c r="I68" s="65">
        <v>-54</v>
      </c>
      <c r="J68" s="65">
        <v>-82</v>
      </c>
      <c r="K68" s="65">
        <v>-150</v>
      </c>
      <c r="L68" s="65">
        <v>-200</v>
      </c>
      <c r="M68" s="65">
        <v>-245</v>
      </c>
      <c r="N68" s="65">
        <v>-238.6</v>
      </c>
      <c r="O68" s="65">
        <v>-118.7</v>
      </c>
      <c r="P68" s="65">
        <v>0</v>
      </c>
      <c r="Q68" s="65">
        <v>0</v>
      </c>
      <c r="R68" s="65">
        <v>0.9</v>
      </c>
      <c r="S68" s="65">
        <v>25.2</v>
      </c>
      <c r="T68" s="65"/>
      <c r="U68" s="65">
        <v>20</v>
      </c>
      <c r="V68" s="65">
        <v>-162</v>
      </c>
      <c r="W68" s="65">
        <v>-225</v>
      </c>
      <c r="X68" s="65">
        <v>-210</v>
      </c>
      <c r="Y68" s="65">
        <v>-200</v>
      </c>
      <c r="Z68" s="65">
        <v>-205</v>
      </c>
      <c r="AA68" s="65">
        <v>-200</v>
      </c>
      <c r="AB68" s="65">
        <v>-200.9</v>
      </c>
      <c r="AC68" s="65">
        <v>-217.8</v>
      </c>
      <c r="AD68" s="65">
        <v>-217</v>
      </c>
      <c r="AE68" s="65">
        <v>-198.6</v>
      </c>
      <c r="AF68" s="65">
        <v>-104.5</v>
      </c>
      <c r="AG68" s="75"/>
      <c r="AH68" s="48">
        <f t="shared" si="2"/>
        <v>25.2</v>
      </c>
      <c r="AI68" s="49">
        <f t="shared" si="3"/>
        <v>-245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/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45"/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7"/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7"/>
      <c r="U72" s="76">
        <v>0</v>
      </c>
      <c r="V72" s="76">
        <v>0</v>
      </c>
      <c r="W72" s="76">
        <v>0</v>
      </c>
      <c r="X72" s="76">
        <v>0</v>
      </c>
      <c r="Y72" s="76">
        <v>0</v>
      </c>
      <c r="Z72" s="76">
        <v>0</v>
      </c>
      <c r="AA72" s="76">
        <v>0</v>
      </c>
      <c r="AB72" s="76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/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/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9"/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9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6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9"/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:AF77" si="8">SUMIF(B66:B76,"&gt;0")</f>
        <v>0</v>
      </c>
      <c r="C77" s="61">
        <f t="shared" si="8"/>
        <v>0</v>
      </c>
      <c r="D77" s="61">
        <f t="shared" si="8"/>
        <v>0</v>
      </c>
      <c r="E77" s="61">
        <f t="shared" si="8"/>
        <v>0</v>
      </c>
      <c r="F77" s="61">
        <f t="shared" si="8"/>
        <v>0</v>
      </c>
      <c r="G77" s="61">
        <f t="shared" si="8"/>
        <v>0</v>
      </c>
      <c r="H77" s="61">
        <f t="shared" si="8"/>
        <v>0</v>
      </c>
      <c r="I77" s="61">
        <f t="shared" si="8"/>
        <v>0</v>
      </c>
      <c r="J77" s="61">
        <f t="shared" si="8"/>
        <v>0</v>
      </c>
      <c r="K77" s="61">
        <f t="shared" si="8"/>
        <v>0</v>
      </c>
      <c r="L77" s="61">
        <f t="shared" si="8"/>
        <v>0</v>
      </c>
      <c r="M77" s="61">
        <f t="shared" si="8"/>
        <v>9</v>
      </c>
      <c r="N77" s="61">
        <f t="shared" si="8"/>
        <v>25.6</v>
      </c>
      <c r="O77" s="61">
        <f t="shared" si="8"/>
        <v>14</v>
      </c>
      <c r="P77" s="61">
        <f t="shared" si="8"/>
        <v>25</v>
      </c>
      <c r="Q77" s="61">
        <f t="shared" si="8"/>
        <v>0</v>
      </c>
      <c r="R77" s="61">
        <f t="shared" si="8"/>
        <v>0.9</v>
      </c>
      <c r="S77" s="61">
        <f t="shared" si="8"/>
        <v>25.2</v>
      </c>
      <c r="T77" s="61">
        <f t="shared" si="8"/>
        <v>0</v>
      </c>
      <c r="U77" s="61">
        <f t="shared" si="8"/>
        <v>20</v>
      </c>
      <c r="V77" s="61">
        <f t="shared" si="8"/>
        <v>0</v>
      </c>
      <c r="W77" s="61">
        <f t="shared" si="8"/>
        <v>0</v>
      </c>
      <c r="X77" s="61">
        <f>SUMIF(X66:X76,"&gt;0")</f>
        <v>36</v>
      </c>
      <c r="Y77" s="61">
        <f>SUMIF(Y66:Y76,"&gt;0")</f>
        <v>30</v>
      </c>
      <c r="Z77" s="61">
        <f t="shared" si="8"/>
        <v>27</v>
      </c>
      <c r="AA77" s="61">
        <f t="shared" si="8"/>
        <v>23.1</v>
      </c>
      <c r="AB77" s="61">
        <f t="shared" si="8"/>
        <v>18.100000000000001</v>
      </c>
      <c r="AC77" s="61">
        <f t="shared" si="8"/>
        <v>15</v>
      </c>
      <c r="AD77" s="61">
        <f t="shared" si="8"/>
        <v>0</v>
      </c>
      <c r="AE77" s="61">
        <f t="shared" si="8"/>
        <v>0</v>
      </c>
      <c r="AF77" s="61">
        <f t="shared" si="8"/>
        <v>0</v>
      </c>
      <c r="AG77" s="81">
        <f>SUM(AG66:AG76)</f>
        <v>0</v>
      </c>
      <c r="AH77" s="48">
        <f t="shared" si="2"/>
        <v>36</v>
      </c>
      <c r="AI77" s="49">
        <f t="shared" si="3"/>
        <v>0</v>
      </c>
      <c r="AK77" s="50"/>
    </row>
    <row r="78" spans="1:37" x14ac:dyDescent="0.25">
      <c r="A78" s="44" t="s">
        <v>83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>
        <v>14.4</v>
      </c>
      <c r="AH79" s="48">
        <f t="shared" ref="AH79:AH112" si="9">MAX(B79:AF79)</f>
        <v>0</v>
      </c>
      <c r="AI79" s="49">
        <f t="shared" ref="AI79:AI112" si="10">MIN(B79:AF79)</f>
        <v>0</v>
      </c>
      <c r="AK79" s="50"/>
    </row>
    <row r="80" spans="1:37" ht="15.75" thickBot="1" x14ac:dyDescent="0.3">
      <c r="A80" s="78" t="s">
        <v>85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80">
        <v>2</v>
      </c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87</v>
      </c>
      <c r="B82" s="83">
        <f t="shared" ref="B82:AG82" si="11">B43+B47+B65+B61+B77+B81</f>
        <v>1076.3400000000001</v>
      </c>
      <c r="C82" s="83">
        <f t="shared" si="11"/>
        <v>1037.2400000000002</v>
      </c>
      <c r="D82" s="83">
        <f t="shared" si="11"/>
        <v>1055.6400000000001</v>
      </c>
      <c r="E82" s="83">
        <f t="shared" si="11"/>
        <v>1051.6400000000001</v>
      </c>
      <c r="F82" s="83">
        <f t="shared" si="11"/>
        <v>1033.6400000000001</v>
      </c>
      <c r="G82" s="83">
        <f t="shared" si="11"/>
        <v>1093.6400000000001</v>
      </c>
      <c r="H82" s="83">
        <f t="shared" si="11"/>
        <v>1113.6400000000001</v>
      </c>
      <c r="I82" s="83">
        <f t="shared" si="11"/>
        <v>1147.6400000000001</v>
      </c>
      <c r="J82" s="83">
        <f t="shared" si="11"/>
        <v>1231.6400000000001</v>
      </c>
      <c r="K82" s="83">
        <f t="shared" si="11"/>
        <v>1261.6400000000001</v>
      </c>
      <c r="L82" s="83">
        <f t="shared" si="11"/>
        <v>1665.0400000000002</v>
      </c>
      <c r="M82" s="83">
        <f t="shared" si="11"/>
        <v>1705.0400000000002</v>
      </c>
      <c r="N82" s="83">
        <f t="shared" si="11"/>
        <v>1547.14</v>
      </c>
      <c r="O82" s="83">
        <f t="shared" si="11"/>
        <v>1527.64</v>
      </c>
      <c r="P82" s="83">
        <f t="shared" si="11"/>
        <v>1218.8400000000001</v>
      </c>
      <c r="Q82" s="83">
        <f t="shared" si="11"/>
        <v>1180.8400000000001</v>
      </c>
      <c r="R82" s="83">
        <f t="shared" si="11"/>
        <v>1146.7400000000002</v>
      </c>
      <c r="S82" s="83">
        <f t="shared" si="11"/>
        <v>1180.0400000000002</v>
      </c>
      <c r="T82" s="83">
        <f t="shared" si="11"/>
        <v>303.54000000000002</v>
      </c>
      <c r="U82" s="83">
        <f t="shared" si="11"/>
        <v>1175.7400000000002</v>
      </c>
      <c r="V82" s="83">
        <f t="shared" si="11"/>
        <v>1512.7400000000002</v>
      </c>
      <c r="W82" s="83">
        <f t="shared" si="11"/>
        <v>1691.4400000000003</v>
      </c>
      <c r="X82" s="83">
        <f t="shared" si="11"/>
        <v>1723.2400000000002</v>
      </c>
      <c r="Y82" s="83">
        <f t="shared" si="11"/>
        <v>1681.2400000000002</v>
      </c>
      <c r="Z82" s="83">
        <f t="shared" si="11"/>
        <v>1612.8400000000001</v>
      </c>
      <c r="AA82" s="83">
        <f t="shared" si="11"/>
        <v>1524.8400000000001</v>
      </c>
      <c r="AB82" s="83">
        <f t="shared" si="11"/>
        <v>1458.74</v>
      </c>
      <c r="AC82" s="83">
        <f t="shared" si="11"/>
        <v>1411.2400000000002</v>
      </c>
      <c r="AD82" s="83">
        <f t="shared" si="11"/>
        <v>1345.24</v>
      </c>
      <c r="AE82" s="83">
        <f t="shared" si="11"/>
        <v>1183.04</v>
      </c>
      <c r="AF82" s="83">
        <f t="shared" si="11"/>
        <v>1049.44</v>
      </c>
      <c r="AG82" s="62">
        <f t="shared" si="11"/>
        <v>1986.1900000000003</v>
      </c>
      <c r="AH82" s="48">
        <f t="shared" si="9"/>
        <v>1723.2400000000002</v>
      </c>
      <c r="AI82" s="49">
        <f t="shared" si="10"/>
        <v>303.54000000000002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9"/>
        <v>0</v>
      </c>
      <c r="AI83" s="49">
        <f t="shared" si="10"/>
        <v>0</v>
      </c>
    </row>
    <row r="84" spans="1:37" ht="15.75" thickBot="1" x14ac:dyDescent="0.3">
      <c r="A84" s="74" t="s">
        <v>89</v>
      </c>
      <c r="B84" s="83">
        <f t="shared" ref="B84:AF84" si="12">B82+B83</f>
        <v>1076.3400000000001</v>
      </c>
      <c r="C84" s="83">
        <f t="shared" si="12"/>
        <v>1037.2400000000002</v>
      </c>
      <c r="D84" s="83">
        <f t="shared" si="12"/>
        <v>1055.6400000000001</v>
      </c>
      <c r="E84" s="83">
        <f t="shared" si="12"/>
        <v>1051.6400000000001</v>
      </c>
      <c r="F84" s="83">
        <f t="shared" si="12"/>
        <v>1033.6400000000001</v>
      </c>
      <c r="G84" s="83">
        <f t="shared" si="12"/>
        <v>1093.6400000000001</v>
      </c>
      <c r="H84" s="83">
        <f t="shared" si="12"/>
        <v>1113.6400000000001</v>
      </c>
      <c r="I84" s="83">
        <f t="shared" si="12"/>
        <v>1147.6400000000001</v>
      </c>
      <c r="J84" s="83">
        <f t="shared" si="12"/>
        <v>1231.6400000000001</v>
      </c>
      <c r="K84" s="83">
        <f t="shared" si="12"/>
        <v>1261.6400000000001</v>
      </c>
      <c r="L84" s="83">
        <f t="shared" si="12"/>
        <v>1665.0400000000002</v>
      </c>
      <c r="M84" s="83">
        <f t="shared" si="12"/>
        <v>1705.0400000000002</v>
      </c>
      <c r="N84" s="83">
        <f t="shared" si="12"/>
        <v>1547.14</v>
      </c>
      <c r="O84" s="83">
        <f t="shared" si="12"/>
        <v>1527.64</v>
      </c>
      <c r="P84" s="83">
        <f t="shared" si="12"/>
        <v>1218.8400000000001</v>
      </c>
      <c r="Q84" s="83">
        <f t="shared" si="12"/>
        <v>1180.8400000000001</v>
      </c>
      <c r="R84" s="83">
        <f t="shared" si="12"/>
        <v>1146.7400000000002</v>
      </c>
      <c r="S84" s="83">
        <f t="shared" si="12"/>
        <v>1180.0400000000002</v>
      </c>
      <c r="T84" s="83">
        <f t="shared" si="12"/>
        <v>303.54000000000002</v>
      </c>
      <c r="U84" s="83">
        <f t="shared" si="12"/>
        <v>1175.7400000000002</v>
      </c>
      <c r="V84" s="83">
        <f t="shared" si="12"/>
        <v>1512.7400000000002</v>
      </c>
      <c r="W84" s="83">
        <f t="shared" si="12"/>
        <v>1691.4400000000003</v>
      </c>
      <c r="X84" s="83">
        <f t="shared" si="12"/>
        <v>1723.2400000000002</v>
      </c>
      <c r="Y84" s="83">
        <f t="shared" si="12"/>
        <v>1681.2400000000002</v>
      </c>
      <c r="Z84" s="83">
        <f t="shared" si="12"/>
        <v>1612.8400000000001</v>
      </c>
      <c r="AA84" s="83">
        <f t="shared" si="12"/>
        <v>1524.8400000000001</v>
      </c>
      <c r="AB84" s="83">
        <f t="shared" si="12"/>
        <v>1458.74</v>
      </c>
      <c r="AC84" s="83">
        <f t="shared" si="12"/>
        <v>1411.2400000000002</v>
      </c>
      <c r="AD84" s="83">
        <f t="shared" si="12"/>
        <v>1345.24</v>
      </c>
      <c r="AE84" s="83">
        <f t="shared" si="12"/>
        <v>1183.04</v>
      </c>
      <c r="AF84" s="83">
        <f t="shared" si="12"/>
        <v>1049.44</v>
      </c>
      <c r="AG84" s="81">
        <f>AG81+AG77+AG65+AG61+AG43+AG83</f>
        <v>1448.0900000000001</v>
      </c>
      <c r="AH84" s="48">
        <f t="shared" si="9"/>
        <v>1723.2400000000002</v>
      </c>
      <c r="AI84" s="49">
        <f t="shared" si="10"/>
        <v>303.54000000000002</v>
      </c>
    </row>
    <row r="85" spans="1:37" ht="15.75" thickBot="1" x14ac:dyDescent="0.3">
      <c r="A85" s="74" t="s">
        <v>90</v>
      </c>
      <c r="B85" s="83">
        <f t="shared" ref="B85:AF85" si="13">B84-B92</f>
        <v>993.34000000000015</v>
      </c>
      <c r="C85" s="83">
        <f t="shared" si="13"/>
        <v>962.24000000000024</v>
      </c>
      <c r="D85" s="83">
        <f t="shared" si="13"/>
        <v>973.6400000000001</v>
      </c>
      <c r="E85" s="83">
        <f t="shared" si="13"/>
        <v>970.6400000000001</v>
      </c>
      <c r="F85" s="83">
        <f t="shared" si="13"/>
        <v>957.6400000000001</v>
      </c>
      <c r="G85" s="83">
        <f t="shared" si="13"/>
        <v>1041.6400000000001</v>
      </c>
      <c r="H85" s="83">
        <f t="shared" si="13"/>
        <v>1041.6400000000001</v>
      </c>
      <c r="I85" s="83">
        <f t="shared" si="13"/>
        <v>1093.6400000000001</v>
      </c>
      <c r="J85" s="83">
        <f t="shared" si="13"/>
        <v>1149.6400000000001</v>
      </c>
      <c r="K85" s="83">
        <f t="shared" si="13"/>
        <v>1111.6400000000001</v>
      </c>
      <c r="L85" s="83">
        <f t="shared" si="13"/>
        <v>1465.0400000000002</v>
      </c>
      <c r="M85" s="83">
        <f t="shared" si="13"/>
        <v>1460.0400000000002</v>
      </c>
      <c r="N85" s="83">
        <f t="shared" si="13"/>
        <v>1308.5400000000002</v>
      </c>
      <c r="O85" s="83">
        <f t="shared" si="13"/>
        <v>1408.94</v>
      </c>
      <c r="P85" s="83">
        <f t="shared" si="13"/>
        <v>1218.8400000000001</v>
      </c>
      <c r="Q85" s="83">
        <f t="shared" si="13"/>
        <v>1180.8400000000001</v>
      </c>
      <c r="R85" s="83">
        <f t="shared" si="13"/>
        <v>1146.7400000000002</v>
      </c>
      <c r="S85" s="83">
        <f t="shared" si="13"/>
        <v>1180.0400000000002</v>
      </c>
      <c r="T85" s="83">
        <f t="shared" si="13"/>
        <v>303.54000000000002</v>
      </c>
      <c r="U85" s="83">
        <f t="shared" si="13"/>
        <v>1175.7400000000002</v>
      </c>
      <c r="V85" s="83">
        <f t="shared" si="13"/>
        <v>1350.7400000000002</v>
      </c>
      <c r="W85" s="83">
        <f t="shared" si="13"/>
        <v>1466.4400000000003</v>
      </c>
      <c r="X85" s="83">
        <f t="shared" si="13"/>
        <v>1513.2400000000002</v>
      </c>
      <c r="Y85" s="83">
        <f t="shared" si="13"/>
        <v>1481.2400000000002</v>
      </c>
      <c r="Z85" s="83">
        <f t="shared" si="13"/>
        <v>1407.8400000000001</v>
      </c>
      <c r="AA85" s="83">
        <f t="shared" si="13"/>
        <v>1324.8400000000001</v>
      </c>
      <c r="AB85" s="83">
        <f t="shared" si="13"/>
        <v>1257.8399999999999</v>
      </c>
      <c r="AC85" s="83">
        <f t="shared" si="13"/>
        <v>1193.4400000000003</v>
      </c>
      <c r="AD85" s="83">
        <f t="shared" si="13"/>
        <v>1128.24</v>
      </c>
      <c r="AE85" s="83">
        <f t="shared" si="13"/>
        <v>984.43999999999994</v>
      </c>
      <c r="AF85" s="83">
        <f t="shared" si="13"/>
        <v>944.94</v>
      </c>
      <c r="AG85" s="81"/>
      <c r="AH85" s="48">
        <f t="shared" si="9"/>
        <v>1513.2400000000002</v>
      </c>
      <c r="AI85" s="49">
        <f t="shared" si="10"/>
        <v>303.54000000000002</v>
      </c>
    </row>
    <row r="86" spans="1:37" x14ac:dyDescent="0.25">
      <c r="A86" s="44" t="s">
        <v>74</v>
      </c>
      <c r="B86" s="76">
        <f t="shared" ref="B86:AF86" si="14">IF(B69&lt;0,B69*-1,0)</f>
        <v>0</v>
      </c>
      <c r="C86" s="76">
        <f t="shared" si="14"/>
        <v>0</v>
      </c>
      <c r="D86" s="76">
        <f t="shared" si="14"/>
        <v>0</v>
      </c>
      <c r="E86" s="76">
        <f t="shared" si="14"/>
        <v>0</v>
      </c>
      <c r="F86" s="76">
        <f t="shared" si="14"/>
        <v>0</v>
      </c>
      <c r="G86" s="76">
        <f t="shared" si="14"/>
        <v>0</v>
      </c>
      <c r="H86" s="76">
        <f t="shared" si="14"/>
        <v>0</v>
      </c>
      <c r="I86" s="76">
        <f t="shared" si="14"/>
        <v>0</v>
      </c>
      <c r="J86" s="76">
        <f t="shared" si="14"/>
        <v>0</v>
      </c>
      <c r="K86" s="76">
        <f t="shared" si="14"/>
        <v>0</v>
      </c>
      <c r="L86" s="76">
        <f t="shared" si="14"/>
        <v>0</v>
      </c>
      <c r="M86" s="76">
        <f t="shared" si="14"/>
        <v>0</v>
      </c>
      <c r="N86" s="76">
        <f t="shared" si="14"/>
        <v>0</v>
      </c>
      <c r="O86" s="76">
        <f t="shared" si="14"/>
        <v>0</v>
      </c>
      <c r="P86" s="76">
        <f t="shared" si="14"/>
        <v>0</v>
      </c>
      <c r="Q86" s="76">
        <f t="shared" si="14"/>
        <v>0</v>
      </c>
      <c r="R86" s="76">
        <f t="shared" si="14"/>
        <v>0</v>
      </c>
      <c r="S86" s="76">
        <f t="shared" si="14"/>
        <v>0</v>
      </c>
      <c r="T86" s="76">
        <f t="shared" si="14"/>
        <v>0</v>
      </c>
      <c r="U86" s="76">
        <f t="shared" si="14"/>
        <v>0</v>
      </c>
      <c r="V86" s="76">
        <f t="shared" si="14"/>
        <v>0</v>
      </c>
      <c r="W86" s="76">
        <f t="shared" si="14"/>
        <v>0</v>
      </c>
      <c r="X86" s="76">
        <f>IF(X69&lt;0,X69*-1,0)</f>
        <v>0</v>
      </c>
      <c r="Y86" s="76">
        <f>IF(Y69&lt;0,Y69*-1,0)</f>
        <v>0</v>
      </c>
      <c r="Z86" s="76">
        <f t="shared" si="14"/>
        <v>0</v>
      </c>
      <c r="AA86" s="76">
        <f t="shared" si="14"/>
        <v>0</v>
      </c>
      <c r="AB86" s="76">
        <f t="shared" si="14"/>
        <v>0</v>
      </c>
      <c r="AC86" s="76">
        <f t="shared" si="14"/>
        <v>0</v>
      </c>
      <c r="AD86" s="76">
        <f t="shared" si="14"/>
        <v>0</v>
      </c>
      <c r="AE86" s="76">
        <f t="shared" si="14"/>
        <v>0</v>
      </c>
      <c r="AF86" s="76">
        <f t="shared" si="14"/>
        <v>0</v>
      </c>
      <c r="AG86" s="52"/>
      <c r="AH86" s="48">
        <f t="shared" si="9"/>
        <v>0</v>
      </c>
      <c r="AI86" s="49">
        <f t="shared" si="10"/>
        <v>0</v>
      </c>
    </row>
    <row r="87" spans="1:37" x14ac:dyDescent="0.25">
      <c r="A87" s="54" t="s">
        <v>72</v>
      </c>
      <c r="B87" s="76">
        <f t="shared" ref="B87:AF87" si="15">IF(B67&lt;0,B67*-1,0)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f>IF(X67&lt;0,X67*-1,0)</f>
        <v>0</v>
      </c>
      <c r="Y87" s="76">
        <f>IF(Y67&lt;0,Y67*-1,0)</f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5"/>
      <c r="AH87" s="48">
        <f t="shared" si="9"/>
        <v>0</v>
      </c>
      <c r="AI87" s="49">
        <f t="shared" si="10"/>
        <v>0</v>
      </c>
    </row>
    <row r="88" spans="1:37" x14ac:dyDescent="0.25">
      <c r="A88" s="78" t="s">
        <v>91</v>
      </c>
      <c r="B88" s="76">
        <f t="shared" ref="B88:AF88" si="16">IF(B70&lt;0,B70*-1,0)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f>IF(X70&lt;0,X70*-1,0)</f>
        <v>0</v>
      </c>
      <c r="Y88" s="76">
        <f>IF(Y70&lt;0,Y70*-1,0)</f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86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92</v>
      </c>
      <c r="B89" s="76">
        <f t="shared" ref="B89:AF89" si="17">IF(B68&lt;0,B68*-1,0)</f>
        <v>83</v>
      </c>
      <c r="C89" s="76">
        <f t="shared" si="17"/>
        <v>75</v>
      </c>
      <c r="D89" s="76">
        <f t="shared" si="17"/>
        <v>82</v>
      </c>
      <c r="E89" s="76">
        <f t="shared" si="17"/>
        <v>81</v>
      </c>
      <c r="F89" s="76">
        <f t="shared" si="17"/>
        <v>76</v>
      </c>
      <c r="G89" s="76">
        <f t="shared" si="17"/>
        <v>52</v>
      </c>
      <c r="H89" s="76">
        <f t="shared" si="17"/>
        <v>72</v>
      </c>
      <c r="I89" s="76">
        <f t="shared" si="17"/>
        <v>54</v>
      </c>
      <c r="J89" s="76">
        <f t="shared" si="17"/>
        <v>82</v>
      </c>
      <c r="K89" s="76">
        <f t="shared" si="17"/>
        <v>150</v>
      </c>
      <c r="L89" s="76">
        <f t="shared" si="17"/>
        <v>200</v>
      </c>
      <c r="M89" s="76">
        <f t="shared" si="17"/>
        <v>245</v>
      </c>
      <c r="N89" s="76">
        <f t="shared" si="17"/>
        <v>238.6</v>
      </c>
      <c r="O89" s="76">
        <f t="shared" si="17"/>
        <v>118.7</v>
      </c>
      <c r="P89" s="76">
        <f t="shared" si="17"/>
        <v>0</v>
      </c>
      <c r="Q89" s="76">
        <f t="shared" si="17"/>
        <v>0</v>
      </c>
      <c r="R89" s="76">
        <f t="shared" si="17"/>
        <v>0</v>
      </c>
      <c r="S89" s="76">
        <f t="shared" si="17"/>
        <v>0</v>
      </c>
      <c r="T89" s="76">
        <f t="shared" si="17"/>
        <v>0</v>
      </c>
      <c r="U89" s="76">
        <f t="shared" si="17"/>
        <v>0</v>
      </c>
      <c r="V89" s="76">
        <f t="shared" si="17"/>
        <v>162</v>
      </c>
      <c r="W89" s="76">
        <f t="shared" si="17"/>
        <v>225</v>
      </c>
      <c r="X89" s="76">
        <f>IF(X68&lt;0,X68*-1,0)</f>
        <v>210</v>
      </c>
      <c r="Y89" s="76">
        <f>IF(Y68&lt;0,Y68*-1,0)</f>
        <v>200</v>
      </c>
      <c r="Z89" s="76">
        <f t="shared" si="17"/>
        <v>205</v>
      </c>
      <c r="AA89" s="76">
        <f t="shared" si="17"/>
        <v>200</v>
      </c>
      <c r="AB89" s="76">
        <f t="shared" si="17"/>
        <v>200.9</v>
      </c>
      <c r="AC89" s="76">
        <f t="shared" si="17"/>
        <v>217.8</v>
      </c>
      <c r="AD89" s="76">
        <f t="shared" si="17"/>
        <v>217</v>
      </c>
      <c r="AE89" s="76">
        <f t="shared" si="17"/>
        <v>198.6</v>
      </c>
      <c r="AF89" s="76">
        <f t="shared" si="17"/>
        <v>104.5</v>
      </c>
      <c r="AG89" s="86"/>
      <c r="AH89" s="48">
        <f t="shared" si="9"/>
        <v>245</v>
      </c>
      <c r="AI89" s="49">
        <f t="shared" si="10"/>
        <v>0</v>
      </c>
    </row>
    <row r="90" spans="1:37" x14ac:dyDescent="0.25">
      <c r="A90" s="78" t="s">
        <v>71</v>
      </c>
      <c r="B90" s="76">
        <f t="shared" ref="B90:AF90" si="18">IF(B66&lt;0,B66*-1,0)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0</v>
      </c>
      <c r="K90" s="76">
        <f t="shared" si="18"/>
        <v>0</v>
      </c>
      <c r="L90" s="76">
        <f t="shared" si="18"/>
        <v>0</v>
      </c>
      <c r="M90" s="76">
        <f t="shared" si="18"/>
        <v>0</v>
      </c>
      <c r="N90" s="76">
        <f t="shared" si="18"/>
        <v>0</v>
      </c>
      <c r="O90" s="76">
        <f t="shared" si="18"/>
        <v>0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0</v>
      </c>
      <c r="T90" s="76">
        <f t="shared" si="18"/>
        <v>0</v>
      </c>
      <c r="U90" s="76">
        <f t="shared" si="18"/>
        <v>0</v>
      </c>
      <c r="V90" s="76">
        <f t="shared" si="18"/>
        <v>0</v>
      </c>
      <c r="W90" s="76">
        <f t="shared" si="18"/>
        <v>0</v>
      </c>
      <c r="X90" s="76">
        <f>IF(X66&lt;0,X66*-1,0)</f>
        <v>0</v>
      </c>
      <c r="Y90" s="76">
        <f>IF(Y66&lt;0,Y66*-1,0)</f>
        <v>0</v>
      </c>
      <c r="Z90" s="76">
        <f t="shared" si="18"/>
        <v>0</v>
      </c>
      <c r="AA90" s="76">
        <f t="shared" si="18"/>
        <v>0</v>
      </c>
      <c r="AB90" s="76">
        <f t="shared" si="18"/>
        <v>0</v>
      </c>
      <c r="AC90" s="76">
        <f t="shared" si="18"/>
        <v>0</v>
      </c>
      <c r="AD90" s="76">
        <f t="shared" si="18"/>
        <v>0</v>
      </c>
      <c r="AE90" s="76">
        <f t="shared" si="18"/>
        <v>0</v>
      </c>
      <c r="AF90" s="76">
        <f t="shared" si="18"/>
        <v>0</v>
      </c>
      <c r="AG90" s="86"/>
      <c r="AH90" s="48">
        <f t="shared" si="9"/>
        <v>0</v>
      </c>
      <c r="AI90" s="49">
        <f t="shared" si="10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87" t="s">
        <v>94</v>
      </c>
      <c r="B92" s="61">
        <f t="shared" ref="B92:AF92" si="19">SUM(B86:B91)</f>
        <v>83</v>
      </c>
      <c r="C92" s="61">
        <f t="shared" si="19"/>
        <v>75</v>
      </c>
      <c r="D92" s="61">
        <f t="shared" si="19"/>
        <v>82</v>
      </c>
      <c r="E92" s="61">
        <f t="shared" si="19"/>
        <v>81</v>
      </c>
      <c r="F92" s="61">
        <f t="shared" si="19"/>
        <v>76</v>
      </c>
      <c r="G92" s="61">
        <f t="shared" si="19"/>
        <v>52</v>
      </c>
      <c r="H92" s="61">
        <f t="shared" si="19"/>
        <v>72</v>
      </c>
      <c r="I92" s="61">
        <f t="shared" si="19"/>
        <v>54</v>
      </c>
      <c r="J92" s="61">
        <f t="shared" si="19"/>
        <v>82</v>
      </c>
      <c r="K92" s="61">
        <f t="shared" si="19"/>
        <v>150</v>
      </c>
      <c r="L92" s="61">
        <f t="shared" si="19"/>
        <v>200</v>
      </c>
      <c r="M92" s="61">
        <f t="shared" si="19"/>
        <v>245</v>
      </c>
      <c r="N92" s="61">
        <f t="shared" si="19"/>
        <v>238.6</v>
      </c>
      <c r="O92" s="61">
        <f t="shared" si="19"/>
        <v>118.7</v>
      </c>
      <c r="P92" s="61">
        <f t="shared" si="19"/>
        <v>0</v>
      </c>
      <c r="Q92" s="61">
        <f t="shared" si="19"/>
        <v>0</v>
      </c>
      <c r="R92" s="61">
        <f t="shared" si="19"/>
        <v>0</v>
      </c>
      <c r="S92" s="61">
        <f t="shared" si="19"/>
        <v>0</v>
      </c>
      <c r="T92" s="61">
        <f t="shared" si="19"/>
        <v>0</v>
      </c>
      <c r="U92" s="61">
        <f t="shared" si="19"/>
        <v>0</v>
      </c>
      <c r="V92" s="61">
        <f t="shared" si="19"/>
        <v>162</v>
      </c>
      <c r="W92" s="61">
        <f t="shared" si="19"/>
        <v>225</v>
      </c>
      <c r="X92" s="61">
        <f t="shared" si="19"/>
        <v>210</v>
      </c>
      <c r="Y92" s="61">
        <f t="shared" si="19"/>
        <v>200</v>
      </c>
      <c r="Z92" s="61">
        <f t="shared" si="19"/>
        <v>205</v>
      </c>
      <c r="AA92" s="61">
        <f t="shared" si="19"/>
        <v>200</v>
      </c>
      <c r="AB92" s="61">
        <f t="shared" si="19"/>
        <v>200.9</v>
      </c>
      <c r="AC92" s="61">
        <f t="shared" si="19"/>
        <v>217.8</v>
      </c>
      <c r="AD92" s="61">
        <f t="shared" si="19"/>
        <v>217</v>
      </c>
      <c r="AE92" s="61">
        <f t="shared" si="19"/>
        <v>198.6</v>
      </c>
      <c r="AF92" s="61">
        <f t="shared" si="19"/>
        <v>104.5</v>
      </c>
      <c r="AG92" s="81"/>
      <c r="AH92" s="48">
        <f t="shared" si="9"/>
        <v>245</v>
      </c>
      <c r="AI92" s="49">
        <f t="shared" si="10"/>
        <v>0</v>
      </c>
      <c r="AK92" s="50"/>
    </row>
    <row r="93" spans="1:37" ht="15.75" thickBot="1" x14ac:dyDescent="0.3">
      <c r="A93" s="74" t="s">
        <v>95</v>
      </c>
      <c r="B93" s="61">
        <f t="shared" ref="B93:AF93" si="20">B77-B92</f>
        <v>-83</v>
      </c>
      <c r="C93" s="61">
        <f t="shared" si="20"/>
        <v>-75</v>
      </c>
      <c r="D93" s="61">
        <f t="shared" si="20"/>
        <v>-82</v>
      </c>
      <c r="E93" s="61">
        <f t="shared" si="20"/>
        <v>-81</v>
      </c>
      <c r="F93" s="61">
        <f t="shared" si="20"/>
        <v>-76</v>
      </c>
      <c r="G93" s="61">
        <f t="shared" si="20"/>
        <v>-52</v>
      </c>
      <c r="H93" s="61">
        <f t="shared" si="20"/>
        <v>-72</v>
      </c>
      <c r="I93" s="61">
        <f t="shared" si="20"/>
        <v>-54</v>
      </c>
      <c r="J93" s="61">
        <f t="shared" si="20"/>
        <v>-82</v>
      </c>
      <c r="K93" s="61">
        <f t="shared" si="20"/>
        <v>-150</v>
      </c>
      <c r="L93" s="61">
        <f t="shared" si="20"/>
        <v>-200</v>
      </c>
      <c r="M93" s="61">
        <f t="shared" si="20"/>
        <v>-236</v>
      </c>
      <c r="N93" s="61">
        <f t="shared" si="20"/>
        <v>-213</v>
      </c>
      <c r="O93" s="61">
        <f t="shared" si="20"/>
        <v>-104.7</v>
      </c>
      <c r="P93" s="61">
        <f t="shared" si="20"/>
        <v>25</v>
      </c>
      <c r="Q93" s="61">
        <f t="shared" si="20"/>
        <v>0</v>
      </c>
      <c r="R93" s="61">
        <f t="shared" si="20"/>
        <v>0.9</v>
      </c>
      <c r="S93" s="61">
        <f t="shared" si="20"/>
        <v>25.2</v>
      </c>
      <c r="T93" s="61">
        <f t="shared" si="20"/>
        <v>0</v>
      </c>
      <c r="U93" s="61">
        <f t="shared" si="20"/>
        <v>20</v>
      </c>
      <c r="V93" s="61">
        <f t="shared" si="20"/>
        <v>-162</v>
      </c>
      <c r="W93" s="61">
        <f t="shared" si="20"/>
        <v>-225</v>
      </c>
      <c r="X93" s="61">
        <f t="shared" si="20"/>
        <v>-174</v>
      </c>
      <c r="Y93" s="61">
        <f t="shared" si="20"/>
        <v>-170</v>
      </c>
      <c r="Z93" s="61">
        <f t="shared" si="20"/>
        <v>-178</v>
      </c>
      <c r="AA93" s="61">
        <f t="shared" si="20"/>
        <v>-176.9</v>
      </c>
      <c r="AB93" s="61">
        <f t="shared" si="20"/>
        <v>-182.8</v>
      </c>
      <c r="AC93" s="61">
        <f t="shared" si="20"/>
        <v>-202.8</v>
      </c>
      <c r="AD93" s="61">
        <f t="shared" si="20"/>
        <v>-217</v>
      </c>
      <c r="AE93" s="61">
        <f t="shared" si="20"/>
        <v>-198.6</v>
      </c>
      <c r="AF93" s="61">
        <f t="shared" si="20"/>
        <v>-104.5</v>
      </c>
      <c r="AG93" s="81"/>
      <c r="AH93" s="48">
        <f t="shared" si="9"/>
        <v>25.2</v>
      </c>
      <c r="AI93" s="49">
        <f t="shared" si="10"/>
        <v>-236</v>
      </c>
    </row>
    <row r="94" spans="1:37" x14ac:dyDescent="0.25">
      <c r="A94" s="88" t="s">
        <v>96</v>
      </c>
      <c r="B94" s="89">
        <v>50.04</v>
      </c>
      <c r="C94" s="89">
        <v>50.045999999999999</v>
      </c>
      <c r="D94" s="89">
        <v>50.03</v>
      </c>
      <c r="E94" s="89">
        <v>50.03</v>
      </c>
      <c r="F94" s="89">
        <v>49.97</v>
      </c>
      <c r="G94" s="89">
        <v>49.96</v>
      </c>
      <c r="H94" s="89">
        <v>49.96</v>
      </c>
      <c r="I94" s="89">
        <v>49.96</v>
      </c>
      <c r="J94" s="89">
        <v>49.96</v>
      </c>
      <c r="K94" s="89">
        <v>49.96</v>
      </c>
      <c r="L94" s="89">
        <v>49.97</v>
      </c>
      <c r="M94" s="89">
        <v>50.036999999999999</v>
      </c>
      <c r="N94" s="89">
        <v>50.030999999999999</v>
      </c>
      <c r="O94" s="89">
        <v>50.017000000000003</v>
      </c>
      <c r="P94" s="89">
        <v>49.944000000000003</v>
      </c>
      <c r="Q94" s="89">
        <v>49.954999999999998</v>
      </c>
      <c r="R94" s="89">
        <v>49.816000000000003</v>
      </c>
      <c r="S94" s="89">
        <v>49.976999999999997</v>
      </c>
      <c r="T94" s="89"/>
      <c r="U94" s="89">
        <v>49.941000000000003</v>
      </c>
      <c r="V94" s="89">
        <v>49.994</v>
      </c>
      <c r="W94" s="89">
        <v>50.057000000000002</v>
      </c>
      <c r="X94" s="89">
        <v>50.03</v>
      </c>
      <c r="Y94" s="89">
        <v>50.06</v>
      </c>
      <c r="Z94" s="89">
        <v>50.026000000000003</v>
      </c>
      <c r="AA94" s="89">
        <v>49.939</v>
      </c>
      <c r="AB94" s="89">
        <v>49.98</v>
      </c>
      <c r="AC94" s="89">
        <v>49.938000000000002</v>
      </c>
      <c r="AD94" s="89">
        <v>50.003999999999998</v>
      </c>
      <c r="AE94" s="89">
        <v>50.024000000000001</v>
      </c>
      <c r="AF94" s="89">
        <v>49.92</v>
      </c>
      <c r="AG94" s="90"/>
      <c r="AH94" s="48">
        <f t="shared" si="9"/>
        <v>50.06</v>
      </c>
      <c r="AI94" s="49">
        <f t="shared" si="10"/>
        <v>49.816000000000003</v>
      </c>
    </row>
    <row r="95" spans="1:37" x14ac:dyDescent="0.25">
      <c r="A95" s="91" t="s">
        <v>97</v>
      </c>
      <c r="B95" s="65">
        <v>127</v>
      </c>
      <c r="C95" s="65">
        <v>127</v>
      </c>
      <c r="D95" s="65">
        <v>127</v>
      </c>
      <c r="E95" s="65">
        <v>127</v>
      </c>
      <c r="F95" s="65">
        <v>125.9</v>
      </c>
      <c r="G95" s="65">
        <v>15.7</v>
      </c>
      <c r="H95" s="65">
        <v>15.7</v>
      </c>
      <c r="I95" s="65">
        <v>15.7</v>
      </c>
      <c r="J95" s="65">
        <v>15.7</v>
      </c>
      <c r="K95" s="65">
        <v>15.7</v>
      </c>
      <c r="L95" s="65">
        <v>124.7</v>
      </c>
      <c r="M95" s="65">
        <v>124.7</v>
      </c>
      <c r="N95" s="65">
        <v>123.6</v>
      </c>
      <c r="O95" s="65">
        <v>124.2</v>
      </c>
      <c r="P95" s="65">
        <v>124.4</v>
      </c>
      <c r="Q95" s="65">
        <v>124.5</v>
      </c>
      <c r="R95" s="65">
        <v>124</v>
      </c>
      <c r="S95" s="65">
        <v>124.9</v>
      </c>
      <c r="T95" s="65"/>
      <c r="U95" s="65">
        <v>123.7</v>
      </c>
      <c r="V95" s="65">
        <v>124.5</v>
      </c>
      <c r="W95" s="65">
        <v>125.8</v>
      </c>
      <c r="X95" s="65">
        <v>127.5</v>
      </c>
      <c r="Y95" s="65">
        <v>127.1</v>
      </c>
      <c r="Z95" s="65">
        <v>127.5</v>
      </c>
      <c r="AA95" s="65">
        <v>127.1</v>
      </c>
      <c r="AB95" s="65">
        <v>126.4</v>
      </c>
      <c r="AC95" s="65">
        <v>126.9</v>
      </c>
      <c r="AD95" s="65">
        <v>126.7</v>
      </c>
      <c r="AE95" s="65">
        <v>126.3</v>
      </c>
      <c r="AF95" s="65">
        <v>126.8</v>
      </c>
      <c r="AG95" s="92"/>
      <c r="AH95" s="48">
        <f t="shared" si="9"/>
        <v>127.5</v>
      </c>
      <c r="AI95" s="49">
        <f t="shared" si="10"/>
        <v>15.7</v>
      </c>
    </row>
    <row r="96" spans="1:37" x14ac:dyDescent="0.25">
      <c r="A96" s="91" t="s">
        <v>98</v>
      </c>
      <c r="B96" s="65">
        <v>131</v>
      </c>
      <c r="C96" s="65">
        <v>131</v>
      </c>
      <c r="D96" s="65">
        <v>131</v>
      </c>
      <c r="E96" s="65">
        <v>131</v>
      </c>
      <c r="F96" s="65">
        <v>13.9</v>
      </c>
      <c r="G96" s="65">
        <v>130</v>
      </c>
      <c r="H96" s="65">
        <v>130</v>
      </c>
      <c r="I96" s="65">
        <v>130</v>
      </c>
      <c r="J96" s="65">
        <v>130</v>
      </c>
      <c r="K96" s="65">
        <v>130</v>
      </c>
      <c r="L96" s="65">
        <v>127.2</v>
      </c>
      <c r="M96" s="65">
        <v>127.5</v>
      </c>
      <c r="N96" s="65">
        <v>126.3</v>
      </c>
      <c r="O96" s="65">
        <v>127</v>
      </c>
      <c r="P96" s="65">
        <v>127</v>
      </c>
      <c r="Q96" s="65">
        <v>127.5</v>
      </c>
      <c r="R96" s="65">
        <v>127.3</v>
      </c>
      <c r="S96" s="65">
        <v>128.19999999999999</v>
      </c>
      <c r="T96" s="65"/>
      <c r="U96" s="65">
        <v>127.1</v>
      </c>
      <c r="V96" s="65">
        <v>128.19999999999999</v>
      </c>
      <c r="W96" s="65">
        <v>128.1</v>
      </c>
      <c r="X96" s="65">
        <v>129.30000000000001</v>
      </c>
      <c r="Y96" s="65">
        <v>129.30000000000001</v>
      </c>
      <c r="Z96" s="65">
        <v>130</v>
      </c>
      <c r="AA96" s="65">
        <v>129.69999999999999</v>
      </c>
      <c r="AB96" s="65">
        <v>129.30000000000001</v>
      </c>
      <c r="AC96" s="65">
        <v>129.80000000000001</v>
      </c>
      <c r="AD96" s="65">
        <v>129.6</v>
      </c>
      <c r="AE96" s="65">
        <v>130</v>
      </c>
      <c r="AF96" s="65">
        <v>131</v>
      </c>
      <c r="AG96" s="92"/>
      <c r="AH96" s="48">
        <f t="shared" si="9"/>
        <v>131</v>
      </c>
      <c r="AI96" s="49">
        <f t="shared" si="10"/>
        <v>13.9</v>
      </c>
    </row>
    <row r="97" spans="1:35" x14ac:dyDescent="0.25">
      <c r="A97" s="91" t="s">
        <v>99</v>
      </c>
      <c r="B97" s="65">
        <v>130</v>
      </c>
      <c r="C97" s="65">
        <v>130</v>
      </c>
      <c r="D97" s="65">
        <v>130</v>
      </c>
      <c r="E97" s="65">
        <v>130</v>
      </c>
      <c r="F97" s="65">
        <v>130.6</v>
      </c>
      <c r="G97" s="65">
        <v>128</v>
      </c>
      <c r="H97" s="65">
        <v>128</v>
      </c>
      <c r="I97" s="65">
        <v>128</v>
      </c>
      <c r="J97" s="65">
        <v>128</v>
      </c>
      <c r="K97" s="65">
        <v>128</v>
      </c>
      <c r="L97" s="65">
        <v>127.8</v>
      </c>
      <c r="M97" s="65">
        <v>129.4</v>
      </c>
      <c r="N97" s="65">
        <v>129.19999999999999</v>
      </c>
      <c r="O97" s="65">
        <v>130</v>
      </c>
      <c r="P97" s="65">
        <v>130.80000000000001</v>
      </c>
      <c r="Q97" s="65">
        <v>130.19999999999999</v>
      </c>
      <c r="R97" s="65">
        <v>129.9</v>
      </c>
      <c r="S97" s="65">
        <v>129.19999999999999</v>
      </c>
      <c r="T97" s="65"/>
      <c r="U97" s="65">
        <v>128.30000000000001</v>
      </c>
      <c r="V97" s="65">
        <v>127.4</v>
      </c>
      <c r="W97" s="65">
        <v>125.1</v>
      </c>
      <c r="X97" s="65">
        <v>129.6</v>
      </c>
      <c r="Y97" s="65">
        <v>131.19999999999999</v>
      </c>
      <c r="Z97" s="65">
        <v>131.1</v>
      </c>
      <c r="AA97" s="65">
        <v>131.9</v>
      </c>
      <c r="AB97" s="65">
        <v>131.80000000000001</v>
      </c>
      <c r="AC97" s="65">
        <v>129.19999999999999</v>
      </c>
      <c r="AD97" s="65">
        <v>131.69999999999999</v>
      </c>
      <c r="AE97" s="65">
        <v>132.30000000000001</v>
      </c>
      <c r="AF97" s="65">
        <v>132.6</v>
      </c>
      <c r="AG97" s="92"/>
      <c r="AH97" s="48">
        <f t="shared" si="9"/>
        <v>132.6</v>
      </c>
      <c r="AI97" s="49">
        <f t="shared" si="10"/>
        <v>125.1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9"/>
        <v>0</v>
      </c>
      <c r="AI98" s="49">
        <f t="shared" si="10"/>
        <v>0</v>
      </c>
    </row>
    <row r="99" spans="1:35" x14ac:dyDescent="0.25">
      <c r="A99" s="93" t="s">
        <v>101</v>
      </c>
      <c r="B99" s="94">
        <v>131</v>
      </c>
      <c r="C99" s="94">
        <v>131</v>
      </c>
      <c r="D99" s="94">
        <v>131</v>
      </c>
      <c r="E99" s="94">
        <v>134</v>
      </c>
      <c r="F99" s="94">
        <v>134.19999999999999</v>
      </c>
      <c r="G99" s="94">
        <v>129</v>
      </c>
      <c r="H99" s="94">
        <v>129</v>
      </c>
      <c r="I99" s="94">
        <v>129</v>
      </c>
      <c r="J99" s="94">
        <v>129</v>
      </c>
      <c r="K99" s="94">
        <v>129</v>
      </c>
      <c r="L99" s="94">
        <v>136</v>
      </c>
      <c r="M99" s="94">
        <v>134.30000000000001</v>
      </c>
      <c r="N99" s="94">
        <v>132.69999999999999</v>
      </c>
      <c r="O99" s="94">
        <v>134.69999999999999</v>
      </c>
      <c r="P99" s="94">
        <v>135</v>
      </c>
      <c r="Q99" s="94">
        <v>134.69999999999999</v>
      </c>
      <c r="R99" s="94">
        <v>133.4</v>
      </c>
      <c r="S99" s="94">
        <v>133.9</v>
      </c>
      <c r="T99" s="94"/>
      <c r="U99" s="94">
        <v>133.30000000000001</v>
      </c>
      <c r="V99" s="94">
        <v>133.6</v>
      </c>
      <c r="W99" s="94">
        <v>132.1</v>
      </c>
      <c r="X99" s="94">
        <v>134.80000000000001</v>
      </c>
      <c r="Y99" s="94">
        <v>134.19999999999999</v>
      </c>
      <c r="Z99" s="94">
        <v>132.9</v>
      </c>
      <c r="AA99" s="94">
        <v>134.5</v>
      </c>
      <c r="AB99" s="94">
        <v>133.4</v>
      </c>
      <c r="AC99" s="94">
        <v>132.9</v>
      </c>
      <c r="AD99" s="94">
        <v>132.80000000000001</v>
      </c>
      <c r="AE99" s="94">
        <v>132.6</v>
      </c>
      <c r="AF99" s="94">
        <v>133.80000000000001</v>
      </c>
      <c r="AG99" s="95"/>
      <c r="AH99" s="48">
        <f t="shared" si="9"/>
        <v>136</v>
      </c>
      <c r="AI99" s="49">
        <f t="shared" si="10"/>
        <v>129</v>
      </c>
    </row>
    <row r="100" spans="1:35" x14ac:dyDescent="0.25">
      <c r="A100" s="91" t="s">
        <v>102</v>
      </c>
      <c r="B100" s="65">
        <v>129</v>
      </c>
      <c r="C100" s="65">
        <v>129</v>
      </c>
      <c r="D100" s="65">
        <v>129</v>
      </c>
      <c r="E100" s="65">
        <v>132</v>
      </c>
      <c r="F100" s="65">
        <v>133</v>
      </c>
      <c r="G100" s="65">
        <v>128</v>
      </c>
      <c r="H100" s="65">
        <v>128</v>
      </c>
      <c r="I100" s="65">
        <v>128</v>
      </c>
      <c r="J100" s="65">
        <v>128</v>
      </c>
      <c r="K100" s="65">
        <v>128</v>
      </c>
      <c r="L100" s="65">
        <v>135</v>
      </c>
      <c r="M100" s="65">
        <v>134.5</v>
      </c>
      <c r="N100" s="65">
        <v>133.30000000000001</v>
      </c>
      <c r="O100" s="65">
        <v>133.9</v>
      </c>
      <c r="P100" s="65">
        <v>131.69999999999999</v>
      </c>
      <c r="Q100" s="65">
        <v>133.1</v>
      </c>
      <c r="R100" s="65">
        <v>130.9</v>
      </c>
      <c r="S100" s="65">
        <v>129.80000000000001</v>
      </c>
      <c r="T100" s="65"/>
      <c r="U100" s="65"/>
      <c r="V100" s="65">
        <v>129.1</v>
      </c>
      <c r="W100" s="65">
        <v>128.69999999999999</v>
      </c>
      <c r="X100" s="65">
        <v>129.6</v>
      </c>
      <c r="Y100" s="65">
        <v>134</v>
      </c>
      <c r="Z100" s="65">
        <v>129.1</v>
      </c>
      <c r="AA100" s="65">
        <v>131.1</v>
      </c>
      <c r="AB100" s="65">
        <v>131.4</v>
      </c>
      <c r="AC100" s="65">
        <v>130.19999999999999</v>
      </c>
      <c r="AD100" s="65">
        <v>132</v>
      </c>
      <c r="AE100" s="65">
        <v>131.30000000000001</v>
      </c>
      <c r="AF100" s="65">
        <v>132.5</v>
      </c>
      <c r="AG100" s="92"/>
      <c r="AH100" s="48">
        <f t="shared" si="9"/>
        <v>135</v>
      </c>
      <c r="AI100" s="49">
        <f t="shared" si="10"/>
        <v>128</v>
      </c>
    </row>
    <row r="101" spans="1:35" ht="15.75" thickBot="1" x14ac:dyDescent="0.3">
      <c r="A101" s="91" t="s">
        <v>104</v>
      </c>
      <c r="B101" s="96">
        <v>66.3</v>
      </c>
      <c r="C101" s="96">
        <v>66.3</v>
      </c>
      <c r="D101" s="96">
        <v>66.3</v>
      </c>
      <c r="E101" s="96">
        <v>66.3</v>
      </c>
      <c r="F101" s="96">
        <v>66.3</v>
      </c>
      <c r="G101" s="96">
        <v>65.599999999999994</v>
      </c>
      <c r="H101" s="96">
        <v>65.599999999999994</v>
      </c>
      <c r="I101" s="96">
        <v>65.599999999999994</v>
      </c>
      <c r="J101" s="96">
        <v>65.599999999999994</v>
      </c>
      <c r="K101" s="96">
        <v>65.599999999999994</v>
      </c>
      <c r="L101" s="96">
        <v>64.2</v>
      </c>
      <c r="M101" s="96">
        <v>64.2</v>
      </c>
      <c r="N101" s="96">
        <v>63.6</v>
      </c>
      <c r="O101" s="96">
        <v>63.8</v>
      </c>
      <c r="P101" s="96">
        <v>64</v>
      </c>
      <c r="Q101" s="96">
        <v>64.2</v>
      </c>
      <c r="R101" s="96">
        <v>64</v>
      </c>
      <c r="S101" s="96">
        <v>64.599999999999994</v>
      </c>
      <c r="T101" s="96"/>
      <c r="U101" s="96">
        <v>64</v>
      </c>
      <c r="V101" s="96">
        <v>64.599999999999994</v>
      </c>
      <c r="W101" s="96">
        <v>64.400000000000006</v>
      </c>
      <c r="X101" s="96">
        <v>65</v>
      </c>
      <c r="Y101" s="96">
        <v>65.3</v>
      </c>
      <c r="Z101" s="96">
        <v>65.7</v>
      </c>
      <c r="AA101" s="96">
        <v>65.400000000000006</v>
      </c>
      <c r="AB101" s="96">
        <v>65.400000000000006</v>
      </c>
      <c r="AC101" s="96">
        <v>65.599999999999994</v>
      </c>
      <c r="AD101" s="96">
        <v>65.400000000000006</v>
      </c>
      <c r="AE101" s="96">
        <v>65.599999999999994</v>
      </c>
      <c r="AF101" s="96">
        <v>66.2</v>
      </c>
      <c r="AG101" s="97"/>
      <c r="AH101" s="48">
        <f t="shared" si="9"/>
        <v>66.3</v>
      </c>
      <c r="AI101" s="49">
        <f t="shared" si="10"/>
        <v>63.6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9"/>
        <v>0</v>
      </c>
      <c r="AI102" s="49">
        <f t="shared" si="10"/>
        <v>0</v>
      </c>
    </row>
    <row r="103" spans="1:35" ht="15.75" thickBot="1" x14ac:dyDescent="0.3">
      <c r="A103" s="99" t="s">
        <v>105</v>
      </c>
      <c r="B103" s="100">
        <f t="shared" ref="B103:AF103" si="21">SUM(B16,B22,B25:B26,B51,B53:B54,B56,B58,B104:B108,B130,B136,B142,B151,B153,B165,B172,B175:B176,B183,B185,B187,B191:B193,B195:B197,B202,B208:B209,B211:B213,B221,B226)</f>
        <v>72.199999999999989</v>
      </c>
      <c r="C103" s="100">
        <f t="shared" si="21"/>
        <v>73.139999999999986</v>
      </c>
      <c r="D103" s="100">
        <f t="shared" si="21"/>
        <v>63.139999999999986</v>
      </c>
      <c r="E103" s="100">
        <f t="shared" si="21"/>
        <v>60.44</v>
      </c>
      <c r="F103" s="100">
        <f t="shared" si="21"/>
        <v>60.44</v>
      </c>
      <c r="G103" s="100">
        <f t="shared" si="21"/>
        <v>111.63999999999997</v>
      </c>
      <c r="H103" s="100">
        <f t="shared" si="21"/>
        <v>111.63999999999997</v>
      </c>
      <c r="I103" s="100">
        <f t="shared" si="21"/>
        <v>111.63999999999997</v>
      </c>
      <c r="J103" s="100">
        <f t="shared" si="21"/>
        <v>115.63999999999997</v>
      </c>
      <c r="K103" s="100">
        <f t="shared" si="21"/>
        <v>226.14</v>
      </c>
      <c r="L103" s="100">
        <f t="shared" si="21"/>
        <v>241.34000000000003</v>
      </c>
      <c r="M103" s="100">
        <f t="shared" si="21"/>
        <v>270.24000000000007</v>
      </c>
      <c r="N103" s="100">
        <f t="shared" si="21"/>
        <v>250.64000000000004</v>
      </c>
      <c r="O103" s="100">
        <f t="shared" si="21"/>
        <v>244.44000000000003</v>
      </c>
      <c r="P103" s="100">
        <f t="shared" si="21"/>
        <v>226.33999999999997</v>
      </c>
      <c r="Q103" s="100">
        <f t="shared" si="21"/>
        <v>206.30000000000004</v>
      </c>
      <c r="R103" s="100">
        <f t="shared" si="21"/>
        <v>197.3</v>
      </c>
      <c r="S103" s="100">
        <f t="shared" si="21"/>
        <v>197.8</v>
      </c>
      <c r="T103" s="100">
        <f t="shared" si="21"/>
        <v>0</v>
      </c>
      <c r="U103" s="100">
        <f t="shared" si="21"/>
        <v>210.70000000000002</v>
      </c>
      <c r="V103" s="100">
        <f t="shared" si="21"/>
        <v>246.5</v>
      </c>
      <c r="W103" s="100">
        <f t="shared" si="21"/>
        <v>300.8</v>
      </c>
      <c r="X103" s="100">
        <f t="shared" si="21"/>
        <v>321.8</v>
      </c>
      <c r="Y103" s="100">
        <f t="shared" si="21"/>
        <v>317.79999999999995</v>
      </c>
      <c r="Z103" s="100">
        <f t="shared" si="21"/>
        <v>295.60000000000002</v>
      </c>
      <c r="AA103" s="100">
        <f t="shared" si="21"/>
        <v>278.89999999999998</v>
      </c>
      <c r="AB103" s="100">
        <f t="shared" si="21"/>
        <v>257.5</v>
      </c>
      <c r="AC103" s="100">
        <f t="shared" si="21"/>
        <v>228.49999999999994</v>
      </c>
      <c r="AD103" s="100">
        <f t="shared" si="21"/>
        <v>203.50000000000003</v>
      </c>
      <c r="AE103" s="100">
        <f t="shared" si="21"/>
        <v>141</v>
      </c>
      <c r="AF103" s="100">
        <f t="shared" si="21"/>
        <v>97.699999999999989</v>
      </c>
      <c r="AG103" s="101"/>
      <c r="AH103" s="48">
        <f t="shared" si="9"/>
        <v>321.8</v>
      </c>
      <c r="AI103" s="49">
        <f t="shared" si="10"/>
        <v>0</v>
      </c>
    </row>
    <row r="104" spans="1:35" x14ac:dyDescent="0.25">
      <c r="A104" s="88" t="s">
        <v>106</v>
      </c>
      <c r="B104" s="102">
        <v>23</v>
      </c>
      <c r="C104" s="102">
        <v>23</v>
      </c>
      <c r="D104" s="102">
        <v>19</v>
      </c>
      <c r="E104" s="102">
        <v>24.3</v>
      </c>
      <c r="F104" s="102">
        <v>24.3</v>
      </c>
      <c r="G104" s="102">
        <v>28</v>
      </c>
      <c r="H104" s="102">
        <v>28</v>
      </c>
      <c r="I104" s="102">
        <v>28</v>
      </c>
      <c r="J104" s="102">
        <v>32</v>
      </c>
      <c r="K104" s="102">
        <v>44</v>
      </c>
      <c r="L104" s="102">
        <v>42.8</v>
      </c>
      <c r="M104" s="102">
        <v>50</v>
      </c>
      <c r="N104" s="102">
        <v>54.7</v>
      </c>
      <c r="O104" s="102">
        <v>53.2</v>
      </c>
      <c r="P104" s="102">
        <v>55.4</v>
      </c>
      <c r="Q104" s="102">
        <v>52.3</v>
      </c>
      <c r="R104" s="102">
        <v>54.1</v>
      </c>
      <c r="S104" s="102">
        <v>51.2</v>
      </c>
      <c r="T104" s="102"/>
      <c r="U104" s="102">
        <v>47.1</v>
      </c>
      <c r="V104" s="102">
        <v>32.4</v>
      </c>
      <c r="W104" s="102">
        <v>42.3</v>
      </c>
      <c r="X104" s="102">
        <v>42.2</v>
      </c>
      <c r="Y104" s="102">
        <v>45</v>
      </c>
      <c r="Z104" s="102">
        <v>49.4</v>
      </c>
      <c r="AA104" s="102">
        <v>55.1</v>
      </c>
      <c r="AB104" s="102">
        <v>59.6</v>
      </c>
      <c r="AC104" s="102">
        <v>60.5</v>
      </c>
      <c r="AD104" s="102">
        <v>61.9</v>
      </c>
      <c r="AE104" s="102">
        <v>51.6</v>
      </c>
      <c r="AF104" s="102">
        <v>37.6</v>
      </c>
      <c r="AG104" s="103">
        <v>75</v>
      </c>
      <c r="AH104" s="48">
        <f t="shared" si="9"/>
        <v>61.9</v>
      </c>
      <c r="AI104" s="49">
        <f t="shared" si="10"/>
        <v>19</v>
      </c>
    </row>
    <row r="105" spans="1:35" x14ac:dyDescent="0.25">
      <c r="A105" s="91" t="s">
        <v>107</v>
      </c>
      <c r="B105" s="104">
        <v>41</v>
      </c>
      <c r="C105" s="104">
        <v>41</v>
      </c>
      <c r="D105" s="104">
        <v>35</v>
      </c>
      <c r="E105" s="104">
        <v>42.1</v>
      </c>
      <c r="F105" s="104">
        <v>42.1</v>
      </c>
      <c r="G105" s="104">
        <v>52.5</v>
      </c>
      <c r="H105" s="104">
        <v>52.5</v>
      </c>
      <c r="I105" s="104">
        <v>52.5</v>
      </c>
      <c r="J105" s="104">
        <v>52.5</v>
      </c>
      <c r="K105" s="104">
        <v>68</v>
      </c>
      <c r="L105" s="104">
        <v>64.599999999999994</v>
      </c>
      <c r="M105" s="104">
        <v>74</v>
      </c>
      <c r="N105" s="104">
        <v>81.099999999999994</v>
      </c>
      <c r="O105" s="104">
        <v>80</v>
      </c>
      <c r="P105" s="104">
        <v>84.1</v>
      </c>
      <c r="Q105" s="104">
        <v>79.900000000000006</v>
      </c>
      <c r="R105" s="104">
        <v>82.8</v>
      </c>
      <c r="S105" s="104">
        <v>79.2</v>
      </c>
      <c r="T105" s="104"/>
      <c r="U105" s="104">
        <v>68</v>
      </c>
      <c r="V105" s="104">
        <v>47.1</v>
      </c>
      <c r="W105" s="104">
        <v>60</v>
      </c>
      <c r="X105" s="104">
        <v>59.7</v>
      </c>
      <c r="Y105" s="104">
        <v>64</v>
      </c>
      <c r="Z105" s="104">
        <v>70.3</v>
      </c>
      <c r="AA105" s="104">
        <v>78</v>
      </c>
      <c r="AB105" s="104">
        <v>85.8</v>
      </c>
      <c r="AC105" s="104">
        <v>87</v>
      </c>
      <c r="AD105" s="104">
        <v>86.7</v>
      </c>
      <c r="AE105" s="104">
        <v>75.400000000000006</v>
      </c>
      <c r="AF105" s="104">
        <v>59.1</v>
      </c>
      <c r="AG105" s="103">
        <v>240</v>
      </c>
      <c r="AH105" s="48">
        <f t="shared" si="9"/>
        <v>87</v>
      </c>
      <c r="AI105" s="49">
        <f t="shared" si="10"/>
        <v>35</v>
      </c>
    </row>
    <row r="106" spans="1:35" x14ac:dyDescent="0.25">
      <c r="A106" s="91" t="s">
        <v>108</v>
      </c>
      <c r="B106" s="104">
        <v>-130</v>
      </c>
      <c r="C106" s="104">
        <v>-130</v>
      </c>
      <c r="D106" s="104">
        <v>-128</v>
      </c>
      <c r="E106" s="104">
        <f>-68.3-73.8</f>
        <v>-142.1</v>
      </c>
      <c r="F106" s="104">
        <f t="shared" ref="F106" si="22">-68.3-73.8</f>
        <v>-142.1</v>
      </c>
      <c r="G106" s="104">
        <f>-54.7-58.1</f>
        <v>-112.80000000000001</v>
      </c>
      <c r="H106" s="104">
        <f t="shared" ref="H106:J106" si="23">-54.7-58.1</f>
        <v>-112.80000000000001</v>
      </c>
      <c r="I106" s="104">
        <f t="shared" si="23"/>
        <v>-112.80000000000001</v>
      </c>
      <c r="J106" s="104">
        <f t="shared" si="23"/>
        <v>-112.80000000000001</v>
      </c>
      <c r="K106" s="104">
        <v>-29.8</v>
      </c>
      <c r="L106" s="104">
        <f>-47.5-17</f>
        <v>-64.5</v>
      </c>
      <c r="M106" s="104">
        <f>-15.2-22.7</f>
        <v>-37.9</v>
      </c>
      <c r="N106" s="104">
        <f>-22.1-25.6</f>
        <v>-47.7</v>
      </c>
      <c r="O106" s="104">
        <v>-51.6</v>
      </c>
      <c r="P106" s="104">
        <v>-75.2</v>
      </c>
      <c r="Q106" s="104">
        <f>-41.2-43.5</f>
        <v>-84.7</v>
      </c>
      <c r="R106" s="104">
        <f>-46.4-49.7</f>
        <v>-96.1</v>
      </c>
      <c r="S106" s="104">
        <f>-43-46</f>
        <v>-89</v>
      </c>
      <c r="T106" s="104"/>
      <c r="U106" s="104">
        <f>-31-35</f>
        <v>-66</v>
      </c>
      <c r="V106" s="104">
        <f>-10-13</f>
        <v>-23</v>
      </c>
      <c r="W106" s="104">
        <f>5-2</f>
        <v>3</v>
      </c>
      <c r="X106" s="104">
        <f>16+10</f>
        <v>26</v>
      </c>
      <c r="Y106" s="104">
        <v>15</v>
      </c>
      <c r="Z106" s="104">
        <f>-3-8</f>
        <v>-11</v>
      </c>
      <c r="AA106" s="104">
        <f>-12-14</f>
        <v>-26</v>
      </c>
      <c r="AB106" s="104">
        <f>-25-29</f>
        <v>-54</v>
      </c>
      <c r="AC106" s="104">
        <v>-75.8</v>
      </c>
      <c r="AD106" s="104">
        <v>-95.1</v>
      </c>
      <c r="AE106" s="104">
        <v>-128</v>
      </c>
      <c r="AF106" s="104">
        <v>-130</v>
      </c>
      <c r="AG106" s="103">
        <v>240</v>
      </c>
      <c r="AH106" s="48">
        <f t="shared" si="9"/>
        <v>26</v>
      </c>
      <c r="AI106" s="49">
        <f t="shared" si="10"/>
        <v>-142.1</v>
      </c>
    </row>
    <row r="107" spans="1:35" x14ac:dyDescent="0.25">
      <c r="A107" s="91" t="s">
        <v>109</v>
      </c>
      <c r="B107" s="104">
        <v>-11</v>
      </c>
      <c r="C107" s="104">
        <v>-11</v>
      </c>
      <c r="D107" s="104">
        <v>-13</v>
      </c>
      <c r="E107" s="104">
        <v>-14</v>
      </c>
      <c r="F107" s="104">
        <v>-14</v>
      </c>
      <c r="G107" s="104">
        <v>-6.2</v>
      </c>
      <c r="H107" s="104">
        <v>-6.2</v>
      </c>
      <c r="I107" s="104">
        <v>-6.2</v>
      </c>
      <c r="J107" s="104">
        <v>-6.2</v>
      </c>
      <c r="K107" s="104">
        <v>-6.2</v>
      </c>
      <c r="L107" s="104">
        <v>48.3</v>
      </c>
      <c r="M107" s="104">
        <v>29</v>
      </c>
      <c r="N107" s="104">
        <v>9.6999999999999993</v>
      </c>
      <c r="O107" s="104">
        <v>10</v>
      </c>
      <c r="P107" s="104">
        <v>9.1999999999999993</v>
      </c>
      <c r="Q107" s="104">
        <v>6.9</v>
      </c>
      <c r="R107" s="104">
        <v>4.5999999999999996</v>
      </c>
      <c r="S107" s="104">
        <v>4.5</v>
      </c>
      <c r="T107" s="104"/>
      <c r="U107" s="104">
        <v>9.6</v>
      </c>
      <c r="V107" s="104">
        <v>38</v>
      </c>
      <c r="W107" s="104">
        <v>52.8</v>
      </c>
      <c r="X107" s="104">
        <v>49.1</v>
      </c>
      <c r="Y107" s="104">
        <v>49</v>
      </c>
      <c r="Z107" s="104">
        <v>42.1</v>
      </c>
      <c r="AA107" s="104">
        <v>27</v>
      </c>
      <c r="AB107" s="104">
        <v>21.3</v>
      </c>
      <c r="AC107" s="104">
        <v>12</v>
      </c>
      <c r="AD107" s="104">
        <v>4.3</v>
      </c>
      <c r="AE107" s="104">
        <v>-3.5</v>
      </c>
      <c r="AF107" s="104">
        <v>-7.1</v>
      </c>
      <c r="AG107" s="103">
        <v>60</v>
      </c>
      <c r="AH107" s="48">
        <f t="shared" si="9"/>
        <v>52.8</v>
      </c>
      <c r="AI107" s="49">
        <f t="shared" si="10"/>
        <v>-14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/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9"/>
        <v>0</v>
      </c>
      <c r="AI108" s="49">
        <f t="shared" si="10"/>
        <v>0</v>
      </c>
    </row>
    <row r="109" spans="1:35" x14ac:dyDescent="0.25">
      <c r="A109" s="105" t="s">
        <v>111</v>
      </c>
      <c r="B109" s="106">
        <v>6</v>
      </c>
      <c r="C109" s="106">
        <v>6</v>
      </c>
      <c r="D109" s="106">
        <v>9</v>
      </c>
      <c r="E109" s="106">
        <v>2.4</v>
      </c>
      <c r="F109" s="106">
        <v>2.4</v>
      </c>
      <c r="G109" s="106">
        <v>22</v>
      </c>
      <c r="H109" s="106">
        <v>22</v>
      </c>
      <c r="I109" s="106">
        <v>22</v>
      </c>
      <c r="J109" s="106">
        <v>22</v>
      </c>
      <c r="K109" s="106">
        <v>100</v>
      </c>
      <c r="L109" s="106">
        <v>66.8</v>
      </c>
      <c r="M109" s="106">
        <v>45.5</v>
      </c>
      <c r="N109" s="106">
        <v>43.5</v>
      </c>
      <c r="O109" s="106">
        <v>36.799999999999997</v>
      </c>
      <c r="P109" s="106">
        <v>15.7</v>
      </c>
      <c r="Q109" s="106">
        <v>20.5</v>
      </c>
      <c r="R109" s="106">
        <v>16.600000000000001</v>
      </c>
      <c r="S109" s="106">
        <v>23</v>
      </c>
      <c r="T109" s="106"/>
      <c r="U109" s="106">
        <v>44</v>
      </c>
      <c r="V109" s="106">
        <v>75</v>
      </c>
      <c r="W109" s="106">
        <v>70</v>
      </c>
      <c r="X109" s="106">
        <v>84.3</v>
      </c>
      <c r="Y109" s="106">
        <v>73</v>
      </c>
      <c r="Z109" s="106">
        <v>42.5</v>
      </c>
      <c r="AA109" s="106">
        <v>39</v>
      </c>
      <c r="AB109" s="106">
        <v>15</v>
      </c>
      <c r="AC109" s="106">
        <v>4.5999999999999996</v>
      </c>
      <c r="AD109" s="106">
        <v>-8.6999999999999993</v>
      </c>
      <c r="AE109" s="106">
        <v>-31.4</v>
      </c>
      <c r="AF109" s="106">
        <v>-6.8</v>
      </c>
      <c r="AG109" s="107"/>
      <c r="AH109" s="48">
        <f t="shared" si="9"/>
        <v>100</v>
      </c>
      <c r="AI109" s="49">
        <f t="shared" si="10"/>
        <v>-31.4</v>
      </c>
    </row>
    <row r="110" spans="1:35" x14ac:dyDescent="0.25">
      <c r="A110" s="105" t="s">
        <v>112</v>
      </c>
      <c r="B110" s="106">
        <v>29</v>
      </c>
      <c r="C110" s="106">
        <v>29</v>
      </c>
      <c r="D110" s="106">
        <v>32</v>
      </c>
      <c r="E110" s="106">
        <v>14</v>
      </c>
      <c r="F110" s="106">
        <v>14</v>
      </c>
      <c r="G110" s="106">
        <v>28</v>
      </c>
      <c r="H110" s="106">
        <v>28</v>
      </c>
      <c r="I110" s="106">
        <v>28</v>
      </c>
      <c r="J110" s="106">
        <v>28</v>
      </c>
      <c r="K110" s="106">
        <v>28</v>
      </c>
      <c r="L110" s="106">
        <v>24</v>
      </c>
      <c r="M110" s="106">
        <v>3.6</v>
      </c>
      <c r="N110" s="106">
        <v>-6.6</v>
      </c>
      <c r="O110" s="106">
        <v>0.3</v>
      </c>
      <c r="P110" s="106">
        <v>-3.8</v>
      </c>
      <c r="Q110" s="106">
        <v>2.8</v>
      </c>
      <c r="R110" s="106">
        <v>-5.8</v>
      </c>
      <c r="S110" s="106">
        <v>5.8</v>
      </c>
      <c r="T110" s="106"/>
      <c r="U110" s="106">
        <v>19.5</v>
      </c>
      <c r="V110" s="106">
        <v>54</v>
      </c>
      <c r="W110" s="106">
        <v>36</v>
      </c>
      <c r="X110" s="106">
        <v>45.4</v>
      </c>
      <c r="Y110" s="106">
        <v>36</v>
      </c>
      <c r="Z110" s="106">
        <v>20.5</v>
      </c>
      <c r="AA110" s="106">
        <v>7.2</v>
      </c>
      <c r="AB110" s="106">
        <v>-4.7</v>
      </c>
      <c r="AC110" s="106">
        <v>-1.2</v>
      </c>
      <c r="AD110" s="106">
        <v>-12.9</v>
      </c>
      <c r="AE110" s="106">
        <v>-14.3</v>
      </c>
      <c r="AF110" s="106">
        <v>4.9000000000000004</v>
      </c>
      <c r="AG110" s="108"/>
      <c r="AH110" s="48">
        <f t="shared" si="9"/>
        <v>54</v>
      </c>
      <c r="AI110" s="49">
        <f t="shared" si="10"/>
        <v>-14.3</v>
      </c>
    </row>
    <row r="111" spans="1:35" x14ac:dyDescent="0.25">
      <c r="A111" s="109" t="s">
        <v>113</v>
      </c>
      <c r="B111" s="94">
        <v>49</v>
      </c>
      <c r="C111" s="94">
        <v>49</v>
      </c>
      <c r="D111" s="94">
        <v>54</v>
      </c>
      <c r="E111" s="94">
        <v>56</v>
      </c>
      <c r="F111" s="94">
        <v>56</v>
      </c>
      <c r="G111" s="94">
        <v>46.4</v>
      </c>
      <c r="H111" s="94">
        <v>46.4</v>
      </c>
      <c r="I111" s="94">
        <v>46.4</v>
      </c>
      <c r="J111" s="94">
        <v>46.4</v>
      </c>
      <c r="K111" s="94">
        <v>46.4</v>
      </c>
      <c r="L111" s="94">
        <v>25.8</v>
      </c>
      <c r="M111" s="94">
        <v>31.6</v>
      </c>
      <c r="N111" s="94">
        <v>31.9</v>
      </c>
      <c r="O111" s="94">
        <v>39.4</v>
      </c>
      <c r="P111" s="94">
        <v>40.9</v>
      </c>
      <c r="Q111" s="94">
        <v>32.5</v>
      </c>
      <c r="R111" s="94">
        <v>37.1</v>
      </c>
      <c r="S111" s="94">
        <v>26.5</v>
      </c>
      <c r="T111" s="94"/>
      <c r="U111" s="94">
        <v>32.700000000000003</v>
      </c>
      <c r="V111" s="94">
        <v>20</v>
      </c>
      <c r="W111" s="94">
        <v>7.8</v>
      </c>
      <c r="X111" s="94">
        <v>7.9</v>
      </c>
      <c r="Y111" s="94">
        <v>13</v>
      </c>
      <c r="Z111" s="94">
        <v>16.3</v>
      </c>
      <c r="AA111" s="94">
        <v>17.2</v>
      </c>
      <c r="AB111" s="94">
        <v>22.2</v>
      </c>
      <c r="AC111" s="94">
        <v>26</v>
      </c>
      <c r="AD111" s="94">
        <v>32.700000000000003</v>
      </c>
      <c r="AE111" s="94">
        <v>45.1</v>
      </c>
      <c r="AF111" s="94">
        <v>42.6</v>
      </c>
      <c r="AG111" s="108"/>
      <c r="AH111" s="48">
        <f t="shared" si="9"/>
        <v>56</v>
      </c>
      <c r="AI111" s="49">
        <f t="shared" si="10"/>
        <v>7.8</v>
      </c>
    </row>
    <row r="112" spans="1:35" ht="15.75" thickBot="1" x14ac:dyDescent="0.3">
      <c r="A112" s="109" t="s">
        <v>114</v>
      </c>
      <c r="B112" s="94">
        <v>95</v>
      </c>
      <c r="C112" s="94">
        <v>98</v>
      </c>
      <c r="D112" s="94">
        <v>90</v>
      </c>
      <c r="E112" s="94">
        <v>100</v>
      </c>
      <c r="F112" s="94">
        <v>100</v>
      </c>
      <c r="G112" s="94">
        <v>88</v>
      </c>
      <c r="H112" s="94">
        <v>88</v>
      </c>
      <c r="I112" s="94">
        <v>88</v>
      </c>
      <c r="J112" s="94">
        <v>88</v>
      </c>
      <c r="K112" s="94">
        <v>32</v>
      </c>
      <c r="L112" s="94">
        <v>51.7</v>
      </c>
      <c r="M112" s="94">
        <v>54.7</v>
      </c>
      <c r="N112" s="94">
        <v>49.3</v>
      </c>
      <c r="O112" s="94">
        <v>49.3</v>
      </c>
      <c r="P112" s="94">
        <v>68.599999999999994</v>
      </c>
      <c r="Q112" s="94">
        <v>69.900000000000006</v>
      </c>
      <c r="R112" s="94">
        <v>79.8</v>
      </c>
      <c r="S112" s="94">
        <v>70.8</v>
      </c>
      <c r="T112" s="94"/>
      <c r="U112" s="94">
        <v>51</v>
      </c>
      <c r="V112" s="94">
        <v>22.3</v>
      </c>
      <c r="W112" s="94">
        <v>20.8</v>
      </c>
      <c r="X112" s="94">
        <v>0</v>
      </c>
      <c r="Y112" s="94">
        <v>13.4</v>
      </c>
      <c r="Z112" s="94">
        <v>30.9</v>
      </c>
      <c r="AA112" s="94">
        <v>36</v>
      </c>
      <c r="AB112" s="94">
        <v>56</v>
      </c>
      <c r="AC112" s="94">
        <v>65.400000000000006</v>
      </c>
      <c r="AD112" s="94">
        <v>81</v>
      </c>
      <c r="AE112" s="94">
        <v>100</v>
      </c>
      <c r="AF112" s="94">
        <v>98</v>
      </c>
      <c r="AG112" s="108"/>
      <c r="AH112" s="48">
        <f t="shared" si="9"/>
        <v>100</v>
      </c>
      <c r="AI112" s="49">
        <f t="shared" si="10"/>
        <v>0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24">SUM(B114:B218)</f>
        <v>0</v>
      </c>
      <c r="C219" s="125">
        <f t="shared" si="24"/>
        <v>0</v>
      </c>
      <c r="D219" s="125">
        <f t="shared" si="24"/>
        <v>0</v>
      </c>
      <c r="E219" s="125">
        <f t="shared" si="24"/>
        <v>0</v>
      </c>
      <c r="F219" s="125">
        <f t="shared" si="24"/>
        <v>0</v>
      </c>
      <c r="G219" s="125">
        <f t="shared" si="24"/>
        <v>0</v>
      </c>
      <c r="H219" s="125">
        <f t="shared" si="24"/>
        <v>0</v>
      </c>
      <c r="I219" s="125">
        <f t="shared" si="24"/>
        <v>0</v>
      </c>
      <c r="J219" s="125">
        <f t="shared" si="24"/>
        <v>0</v>
      </c>
      <c r="K219" s="125">
        <f t="shared" si="24"/>
        <v>0</v>
      </c>
      <c r="L219" s="125">
        <f t="shared" si="24"/>
        <v>0</v>
      </c>
      <c r="M219" s="125">
        <f t="shared" si="24"/>
        <v>0</v>
      </c>
      <c r="N219" s="125">
        <f t="shared" si="24"/>
        <v>0</v>
      </c>
      <c r="O219" s="125">
        <f t="shared" si="24"/>
        <v>0</v>
      </c>
      <c r="P219" s="125">
        <f t="shared" si="24"/>
        <v>0</v>
      </c>
      <c r="Q219" s="125">
        <f t="shared" si="24"/>
        <v>0</v>
      </c>
      <c r="R219" s="125">
        <f t="shared" si="24"/>
        <v>0</v>
      </c>
      <c r="S219" s="125">
        <f t="shared" si="24"/>
        <v>0</v>
      </c>
      <c r="T219" s="125">
        <f t="shared" si="24"/>
        <v>0</v>
      </c>
      <c r="U219" s="125">
        <f t="shared" si="24"/>
        <v>0</v>
      </c>
      <c r="V219" s="125">
        <f t="shared" si="24"/>
        <v>0</v>
      </c>
      <c r="W219" s="125">
        <f t="shared" si="24"/>
        <v>0</v>
      </c>
      <c r="X219" s="125">
        <f t="shared" si="24"/>
        <v>0</v>
      </c>
      <c r="Y219" s="125">
        <f t="shared" si="24"/>
        <v>0</v>
      </c>
      <c r="Z219" s="125">
        <f t="shared" si="24"/>
        <v>0</v>
      </c>
      <c r="AA219" s="125">
        <f t="shared" si="24"/>
        <v>0</v>
      </c>
      <c r="AB219" s="125">
        <f t="shared" si="24"/>
        <v>0</v>
      </c>
      <c r="AC219" s="125">
        <f t="shared" si="24"/>
        <v>0</v>
      </c>
      <c r="AD219" s="125">
        <f t="shared" si="24"/>
        <v>0</v>
      </c>
      <c r="AE219" s="125">
        <f t="shared" si="24"/>
        <v>0</v>
      </c>
      <c r="AF219" s="126">
        <f t="shared" si="24"/>
        <v>0</v>
      </c>
      <c r="AG219" s="127">
        <f t="shared" si="24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25">AF221</f>
        <v>0</v>
      </c>
      <c r="C221" s="129">
        <v>0.3</v>
      </c>
      <c r="D221" s="129">
        <f t="shared" ref="D221:P226" si="26">C221</f>
        <v>0.3</v>
      </c>
      <c r="E221" s="129">
        <f t="shared" si="26"/>
        <v>0.3</v>
      </c>
      <c r="F221" s="129">
        <f t="shared" si="26"/>
        <v>0.3</v>
      </c>
      <c r="G221" s="129">
        <f t="shared" si="26"/>
        <v>0.3</v>
      </c>
      <c r="H221" s="129">
        <f t="shared" si="26"/>
        <v>0.3</v>
      </c>
      <c r="I221" s="129">
        <f t="shared" si="26"/>
        <v>0.3</v>
      </c>
      <c r="J221" s="129">
        <f t="shared" si="26"/>
        <v>0.3</v>
      </c>
      <c r="K221" s="129">
        <f t="shared" si="26"/>
        <v>0.3</v>
      </c>
      <c r="L221" s="129">
        <f t="shared" si="26"/>
        <v>0.3</v>
      </c>
      <c r="M221" s="129">
        <f t="shared" si="26"/>
        <v>0.3</v>
      </c>
      <c r="N221" s="129">
        <f t="shared" si="26"/>
        <v>0.3</v>
      </c>
      <c r="O221" s="129">
        <f t="shared" si="26"/>
        <v>0.3</v>
      </c>
      <c r="P221" s="129">
        <f t="shared" si="26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25"/>
        <v>0</v>
      </c>
      <c r="C222" s="117">
        <v>0.4</v>
      </c>
      <c r="D222" s="117">
        <f t="shared" si="26"/>
        <v>0.4</v>
      </c>
      <c r="E222" s="117">
        <f t="shared" si="26"/>
        <v>0.4</v>
      </c>
      <c r="F222" s="117">
        <f t="shared" si="26"/>
        <v>0.4</v>
      </c>
      <c r="G222" s="117">
        <f t="shared" si="26"/>
        <v>0.4</v>
      </c>
      <c r="H222" s="117">
        <f t="shared" si="26"/>
        <v>0.4</v>
      </c>
      <c r="I222" s="117">
        <f t="shared" si="26"/>
        <v>0.4</v>
      </c>
      <c r="J222" s="117">
        <f t="shared" si="26"/>
        <v>0.4</v>
      </c>
      <c r="K222" s="117">
        <f t="shared" si="26"/>
        <v>0.4</v>
      </c>
      <c r="L222" s="117">
        <f t="shared" si="26"/>
        <v>0.4</v>
      </c>
      <c r="M222" s="117">
        <f t="shared" si="26"/>
        <v>0.4</v>
      </c>
      <c r="N222" s="117">
        <f t="shared" si="26"/>
        <v>0.4</v>
      </c>
      <c r="O222" s="117">
        <f t="shared" si="26"/>
        <v>0.4</v>
      </c>
      <c r="P222" s="117">
        <f t="shared" si="26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25"/>
        <v>0</v>
      </c>
      <c r="C223" s="117">
        <v>1.5</v>
      </c>
      <c r="D223" s="117">
        <f t="shared" si="26"/>
        <v>1.5</v>
      </c>
      <c r="E223" s="117">
        <f t="shared" si="26"/>
        <v>1.5</v>
      </c>
      <c r="F223" s="117">
        <f t="shared" si="26"/>
        <v>1.5</v>
      </c>
      <c r="G223" s="117">
        <f t="shared" si="26"/>
        <v>1.5</v>
      </c>
      <c r="H223" s="117">
        <f t="shared" si="26"/>
        <v>1.5</v>
      </c>
      <c r="I223" s="117">
        <f t="shared" si="26"/>
        <v>1.5</v>
      </c>
      <c r="J223" s="117">
        <f t="shared" si="26"/>
        <v>1.5</v>
      </c>
      <c r="K223" s="117">
        <f t="shared" si="26"/>
        <v>1.5</v>
      </c>
      <c r="L223" s="117">
        <f t="shared" si="26"/>
        <v>1.5</v>
      </c>
      <c r="M223" s="117">
        <f t="shared" si="26"/>
        <v>1.5</v>
      </c>
      <c r="N223" s="117">
        <f t="shared" si="26"/>
        <v>1.5</v>
      </c>
      <c r="O223" s="117">
        <f t="shared" si="26"/>
        <v>1.5</v>
      </c>
      <c r="P223" s="117">
        <f t="shared" si="26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25"/>
        <v>0</v>
      </c>
      <c r="C224" s="117">
        <v>0.3</v>
      </c>
      <c r="D224" s="117">
        <f t="shared" si="26"/>
        <v>0.3</v>
      </c>
      <c r="E224" s="117">
        <f t="shared" si="26"/>
        <v>0.3</v>
      </c>
      <c r="F224" s="117">
        <f t="shared" si="26"/>
        <v>0.3</v>
      </c>
      <c r="G224" s="117">
        <f t="shared" si="26"/>
        <v>0.3</v>
      </c>
      <c r="H224" s="117">
        <f t="shared" si="26"/>
        <v>0.3</v>
      </c>
      <c r="I224" s="117">
        <f t="shared" si="26"/>
        <v>0.3</v>
      </c>
      <c r="J224" s="117">
        <f t="shared" si="26"/>
        <v>0.3</v>
      </c>
      <c r="K224" s="117">
        <f t="shared" si="26"/>
        <v>0.3</v>
      </c>
      <c r="L224" s="117">
        <f t="shared" si="26"/>
        <v>0.3</v>
      </c>
      <c r="M224" s="117">
        <f t="shared" si="26"/>
        <v>0.3</v>
      </c>
      <c r="N224" s="117">
        <f t="shared" si="26"/>
        <v>0.3</v>
      </c>
      <c r="O224" s="117">
        <f t="shared" si="26"/>
        <v>0.3</v>
      </c>
      <c r="P224" s="117">
        <f t="shared" si="26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25"/>
        <v>0</v>
      </c>
      <c r="C225" s="117">
        <v>0.4</v>
      </c>
      <c r="D225" s="117">
        <f t="shared" si="26"/>
        <v>0.4</v>
      </c>
      <c r="E225" s="117">
        <f t="shared" si="26"/>
        <v>0.4</v>
      </c>
      <c r="F225" s="117">
        <f t="shared" si="26"/>
        <v>0.4</v>
      </c>
      <c r="G225" s="117">
        <f t="shared" si="26"/>
        <v>0.4</v>
      </c>
      <c r="H225" s="117">
        <f t="shared" si="26"/>
        <v>0.4</v>
      </c>
      <c r="I225" s="117">
        <f t="shared" si="26"/>
        <v>0.4</v>
      </c>
      <c r="J225" s="117">
        <f t="shared" si="26"/>
        <v>0.4</v>
      </c>
      <c r="K225" s="117">
        <f t="shared" si="26"/>
        <v>0.4</v>
      </c>
      <c r="L225" s="117">
        <f t="shared" si="26"/>
        <v>0.4</v>
      </c>
      <c r="M225" s="117">
        <f t="shared" si="26"/>
        <v>0.4</v>
      </c>
      <c r="N225" s="117">
        <f t="shared" si="26"/>
        <v>0.4</v>
      </c>
      <c r="O225" s="117">
        <f t="shared" si="26"/>
        <v>0.4</v>
      </c>
      <c r="P225" s="117">
        <f t="shared" si="26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25"/>
        <v>0</v>
      </c>
      <c r="C226" s="121">
        <v>0.64</v>
      </c>
      <c r="D226" s="121">
        <f t="shared" si="26"/>
        <v>0.64</v>
      </c>
      <c r="E226" s="121">
        <f t="shared" si="26"/>
        <v>0.64</v>
      </c>
      <c r="F226" s="121">
        <f t="shared" si="26"/>
        <v>0.64</v>
      </c>
      <c r="G226" s="121">
        <f t="shared" si="26"/>
        <v>0.64</v>
      </c>
      <c r="H226" s="121">
        <f t="shared" si="26"/>
        <v>0.64</v>
      </c>
      <c r="I226" s="121">
        <f t="shared" si="26"/>
        <v>0.64</v>
      </c>
      <c r="J226" s="121">
        <f t="shared" si="26"/>
        <v>0.64</v>
      </c>
      <c r="K226" s="121">
        <f t="shared" si="26"/>
        <v>0.64</v>
      </c>
      <c r="L226" s="121">
        <f t="shared" si="26"/>
        <v>0.64</v>
      </c>
      <c r="M226" s="121">
        <f t="shared" si="26"/>
        <v>0.64</v>
      </c>
      <c r="N226" s="121">
        <f t="shared" si="26"/>
        <v>0.64</v>
      </c>
      <c r="O226" s="121">
        <f t="shared" si="26"/>
        <v>0.64</v>
      </c>
      <c r="P226" s="121">
        <f t="shared" si="26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27">SUM(B221:B226)</f>
        <v>0</v>
      </c>
      <c r="C227" s="125">
        <f t="shared" si="27"/>
        <v>3.54</v>
      </c>
      <c r="D227" s="125">
        <f t="shared" si="27"/>
        <v>3.54</v>
      </c>
      <c r="E227" s="125">
        <f t="shared" si="27"/>
        <v>3.54</v>
      </c>
      <c r="F227" s="125">
        <f t="shared" si="27"/>
        <v>3.54</v>
      </c>
      <c r="G227" s="125">
        <f t="shared" si="27"/>
        <v>3.54</v>
      </c>
      <c r="H227" s="125">
        <f t="shared" si="27"/>
        <v>3.54</v>
      </c>
      <c r="I227" s="125">
        <f t="shared" si="27"/>
        <v>3.54</v>
      </c>
      <c r="J227" s="125">
        <f t="shared" si="27"/>
        <v>3.54</v>
      </c>
      <c r="K227" s="125">
        <f t="shared" si="27"/>
        <v>3.54</v>
      </c>
      <c r="L227" s="125">
        <f t="shared" si="27"/>
        <v>3.54</v>
      </c>
      <c r="M227" s="125">
        <f t="shared" si="27"/>
        <v>3.54</v>
      </c>
      <c r="N227" s="125">
        <f t="shared" si="27"/>
        <v>3.54</v>
      </c>
      <c r="O227" s="125">
        <f t="shared" si="27"/>
        <v>3.54</v>
      </c>
      <c r="P227" s="125">
        <f t="shared" si="27"/>
        <v>3.54</v>
      </c>
      <c r="Q227" s="125">
        <f t="shared" si="27"/>
        <v>0</v>
      </c>
      <c r="R227" s="125">
        <f t="shared" si="27"/>
        <v>0</v>
      </c>
      <c r="S227" s="125">
        <f t="shared" si="27"/>
        <v>0</v>
      </c>
      <c r="T227" s="125">
        <f t="shared" si="27"/>
        <v>0</v>
      </c>
      <c r="U227" s="125">
        <f t="shared" si="27"/>
        <v>0</v>
      </c>
      <c r="V227" s="125">
        <f t="shared" si="27"/>
        <v>0</v>
      </c>
      <c r="W227" s="125">
        <f t="shared" si="27"/>
        <v>0</v>
      </c>
      <c r="X227" s="125">
        <f t="shared" si="27"/>
        <v>0</v>
      </c>
      <c r="Y227" s="125">
        <f t="shared" si="27"/>
        <v>0</v>
      </c>
      <c r="Z227" s="125">
        <f t="shared" si="27"/>
        <v>0</v>
      </c>
      <c r="AA227" s="125">
        <f t="shared" si="27"/>
        <v>0</v>
      </c>
      <c r="AB227" s="125">
        <f t="shared" si="27"/>
        <v>0</v>
      </c>
      <c r="AC227" s="125">
        <f t="shared" si="27"/>
        <v>0</v>
      </c>
      <c r="AD227" s="125">
        <f t="shared" si="27"/>
        <v>0</v>
      </c>
      <c r="AE227" s="125">
        <f t="shared" si="27"/>
        <v>0</v>
      </c>
      <c r="AF227" s="125">
        <f t="shared" si="27"/>
        <v>0</v>
      </c>
      <c r="AG227" s="134">
        <f t="shared" si="27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1705.0400000000002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15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2079/08/15)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2079/08/15)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28">B84</f>
        <v>1076.3400000000001</v>
      </c>
      <c r="U241" s="159">
        <f t="shared" si="28"/>
        <v>1037.2400000000002</v>
      </c>
      <c r="V241" s="159">
        <f t="shared" si="28"/>
        <v>1055.6400000000001</v>
      </c>
      <c r="W241" s="159">
        <f t="shared" si="28"/>
        <v>1051.6400000000001</v>
      </c>
      <c r="X241" s="159">
        <f t="shared" si="28"/>
        <v>1033.6400000000001</v>
      </c>
      <c r="Y241" s="159">
        <f t="shared" si="28"/>
        <v>1093.6400000000001</v>
      </c>
      <c r="Z241" s="159">
        <f t="shared" si="28"/>
        <v>1113.6400000000001</v>
      </c>
      <c r="AA241" s="159">
        <f t="shared" si="28"/>
        <v>1147.6400000000001</v>
      </c>
      <c r="AB241" s="159">
        <f t="shared" si="28"/>
        <v>1231.6400000000001</v>
      </c>
      <c r="AC241" s="159">
        <f t="shared" si="28"/>
        <v>1261.6400000000001</v>
      </c>
      <c r="AD241" s="159">
        <f t="shared" si="28"/>
        <v>1665.0400000000002</v>
      </c>
      <c r="AE241" s="159">
        <f t="shared" si="28"/>
        <v>1705.0400000000002</v>
      </c>
      <c r="AF241" s="159">
        <f t="shared" si="28"/>
        <v>1547.14</v>
      </c>
      <c r="AG241" s="159">
        <f t="shared" si="28"/>
        <v>1527.64</v>
      </c>
      <c r="AH241" s="159">
        <f t="shared" si="28"/>
        <v>1218.8400000000001</v>
      </c>
      <c r="AI241" s="159">
        <f t="shared" si="28"/>
        <v>1180.8400000000001</v>
      </c>
      <c r="AJ241" s="159">
        <f t="shared" si="28"/>
        <v>1146.7400000000002</v>
      </c>
      <c r="AK241" s="159">
        <f t="shared" si="28"/>
        <v>1180.0400000000002</v>
      </c>
      <c r="AL241" s="159">
        <f t="shared" si="28"/>
        <v>303.54000000000002</v>
      </c>
      <c r="AM241" s="159">
        <f t="shared" si="28"/>
        <v>1175.7400000000002</v>
      </c>
      <c r="AN241" s="159">
        <f t="shared" si="28"/>
        <v>1512.7400000000002</v>
      </c>
      <c r="AO241" s="159">
        <f t="shared" si="28"/>
        <v>1691.4400000000003</v>
      </c>
      <c r="AP241" s="159">
        <f t="shared" si="28"/>
        <v>1723.2400000000002</v>
      </c>
      <c r="AQ241" s="159">
        <f t="shared" si="28"/>
        <v>1681.2400000000002</v>
      </c>
      <c r="AR241" s="159">
        <f t="shared" si="28"/>
        <v>1612.8400000000001</v>
      </c>
      <c r="AS241" s="159">
        <f t="shared" si="28"/>
        <v>1524.8400000000001</v>
      </c>
      <c r="AT241" s="159">
        <f t="shared" si="28"/>
        <v>1458.74</v>
      </c>
      <c r="AU241" s="159">
        <f t="shared" si="28"/>
        <v>1411.2400000000002</v>
      </c>
      <c r="AV241" s="159">
        <f t="shared" si="28"/>
        <v>1345.24</v>
      </c>
      <c r="AW241" s="159">
        <f t="shared" si="28"/>
        <v>1183.04</v>
      </c>
      <c r="AX241" s="159">
        <f t="shared" si="28"/>
        <v>1049.44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29">C226</f>
        <v>0.64</v>
      </c>
      <c r="C262" s="162">
        <f t="shared" si="29"/>
        <v>0.64</v>
      </c>
      <c r="D262" s="162">
        <f t="shared" si="29"/>
        <v>0.64</v>
      </c>
      <c r="E262" s="162">
        <f t="shared" si="29"/>
        <v>0.64</v>
      </c>
      <c r="F262" s="162">
        <f t="shared" si="29"/>
        <v>0.64</v>
      </c>
      <c r="G262" s="162">
        <f t="shared" si="29"/>
        <v>0.64</v>
      </c>
      <c r="H262" s="162">
        <f t="shared" si="29"/>
        <v>0.64</v>
      </c>
      <c r="I262" s="162">
        <f t="shared" si="29"/>
        <v>0.64</v>
      </c>
      <c r="J262" s="162">
        <f t="shared" si="29"/>
        <v>0.64</v>
      </c>
      <c r="K262" s="162">
        <f t="shared" si="29"/>
        <v>0.64</v>
      </c>
      <c r="L262" s="162">
        <f t="shared" si="29"/>
        <v>0.64</v>
      </c>
      <c r="M262" s="162">
        <f t="shared" si="29"/>
        <v>0.64</v>
      </c>
      <c r="N262" s="162">
        <f t="shared" si="29"/>
        <v>0.64</v>
      </c>
      <c r="O262" s="162">
        <f t="shared" si="29"/>
        <v>0.64</v>
      </c>
      <c r="P262" s="162">
        <f t="shared" si="29"/>
        <v>0</v>
      </c>
      <c r="Q262" s="162">
        <f t="shared" si="29"/>
        <v>0</v>
      </c>
      <c r="R262" s="162">
        <f t="shared" si="29"/>
        <v>0</v>
      </c>
      <c r="S262" s="162">
        <f t="shared" si="29"/>
        <v>0</v>
      </c>
      <c r="T262" s="162">
        <f t="shared" si="29"/>
        <v>0</v>
      </c>
      <c r="U262" s="162">
        <f t="shared" si="29"/>
        <v>0</v>
      </c>
      <c r="V262" s="162">
        <f t="shared" si="29"/>
        <v>0</v>
      </c>
      <c r="W262" s="162">
        <f t="shared" si="29"/>
        <v>0</v>
      </c>
      <c r="X262" s="162">
        <f t="shared" si="29"/>
        <v>0</v>
      </c>
      <c r="Y262" s="162">
        <f t="shared" si="29"/>
        <v>0</v>
      </c>
      <c r="Z262" s="162">
        <f t="shared" si="29"/>
        <v>0</v>
      </c>
      <c r="AA262" s="162">
        <f t="shared" si="29"/>
        <v>0</v>
      </c>
      <c r="AB262" s="162">
        <f t="shared" si="29"/>
        <v>0</v>
      </c>
      <c r="AC262" s="162">
        <f t="shared" si="29"/>
        <v>0</v>
      </c>
      <c r="AD262" s="162">
        <f t="shared" si="29"/>
        <v>0</v>
      </c>
      <c r="AE262" s="162">
        <f t="shared" si="29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30">IF(B230&lt;100,"",B230-520)</f>
        <v/>
      </c>
      <c r="C263" s="163" t="str">
        <f t="shared" si="30"/>
        <v/>
      </c>
      <c r="D263" s="163" t="str">
        <f t="shared" si="30"/>
        <v/>
      </c>
      <c r="E263" s="163" t="str">
        <f t="shared" si="30"/>
        <v/>
      </c>
      <c r="F263" s="163" t="str">
        <f t="shared" si="30"/>
        <v/>
      </c>
      <c r="G263" s="163" t="str">
        <f t="shared" si="30"/>
        <v/>
      </c>
      <c r="H263" s="163" t="str">
        <f t="shared" si="30"/>
        <v/>
      </c>
      <c r="I263" s="163" t="str">
        <f t="shared" si="30"/>
        <v/>
      </c>
      <c r="J263" s="163" t="str">
        <f t="shared" si="30"/>
        <v/>
      </c>
      <c r="K263" s="163" t="str">
        <f t="shared" si="30"/>
        <v/>
      </c>
      <c r="L263" s="163" t="str">
        <f t="shared" si="30"/>
        <v/>
      </c>
      <c r="M263" s="163" t="str">
        <f t="shared" si="30"/>
        <v/>
      </c>
      <c r="N263" s="163" t="str">
        <f t="shared" si="30"/>
        <v/>
      </c>
      <c r="O263" s="163" t="str">
        <f t="shared" si="30"/>
        <v/>
      </c>
      <c r="P263" s="163" t="str">
        <f t="shared" si="30"/>
        <v/>
      </c>
      <c r="Q263" s="163" t="str">
        <f t="shared" si="30"/>
        <v/>
      </c>
      <c r="R263" s="163" t="str">
        <f t="shared" si="30"/>
        <v/>
      </c>
      <c r="S263" s="163" t="str">
        <f t="shared" si="30"/>
        <v/>
      </c>
      <c r="T263" s="163" t="str">
        <f t="shared" si="30"/>
        <v/>
      </c>
      <c r="U263" s="163" t="str">
        <f t="shared" si="30"/>
        <v/>
      </c>
      <c r="V263" s="163" t="str">
        <f t="shared" si="30"/>
        <v/>
      </c>
      <c r="W263" s="163" t="str">
        <f t="shared" si="30"/>
        <v/>
      </c>
      <c r="X263" s="163" t="str">
        <f t="shared" si="30"/>
        <v/>
      </c>
      <c r="Y263" s="163" t="str">
        <f t="shared" si="30"/>
        <v/>
      </c>
      <c r="Z263" s="163" t="str">
        <f t="shared" si="30"/>
        <v/>
      </c>
      <c r="AA263" s="163" t="str">
        <f t="shared" si="30"/>
        <v/>
      </c>
      <c r="AB263" s="163" t="str">
        <f t="shared" si="30"/>
        <v/>
      </c>
      <c r="AC263" s="163" t="str">
        <f t="shared" si="30"/>
        <v/>
      </c>
      <c r="AD263" s="163" t="str">
        <f t="shared" si="30"/>
        <v/>
      </c>
      <c r="AE263" s="163" t="str">
        <f t="shared" si="30"/>
        <v/>
      </c>
      <c r="AF263" s="163" t="str">
        <f t="shared" si="30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31">IF(B231&lt;100,"",B231-620)</f>
        <v/>
      </c>
      <c r="C264" s="163" t="str">
        <f t="shared" si="31"/>
        <v/>
      </c>
      <c r="D264" s="163" t="str">
        <f t="shared" si="31"/>
        <v/>
      </c>
      <c r="E264" s="163" t="str">
        <f t="shared" si="31"/>
        <v/>
      </c>
      <c r="F264" s="163" t="str">
        <f t="shared" si="31"/>
        <v/>
      </c>
      <c r="G264" s="163" t="str">
        <f t="shared" si="31"/>
        <v/>
      </c>
      <c r="H264" s="163" t="str">
        <f t="shared" si="31"/>
        <v/>
      </c>
      <c r="I264" s="163" t="str">
        <f t="shared" si="31"/>
        <v/>
      </c>
      <c r="J264" s="163" t="str">
        <f t="shared" si="31"/>
        <v/>
      </c>
      <c r="K264" s="163" t="str">
        <f t="shared" si="31"/>
        <v/>
      </c>
      <c r="L264" s="163" t="str">
        <f t="shared" si="31"/>
        <v/>
      </c>
      <c r="M264" s="163" t="str">
        <f t="shared" si="31"/>
        <v/>
      </c>
      <c r="N264" s="163" t="str">
        <f t="shared" si="31"/>
        <v/>
      </c>
      <c r="O264" s="163" t="str">
        <f t="shared" si="31"/>
        <v/>
      </c>
      <c r="P264" s="163" t="str">
        <f t="shared" si="31"/>
        <v/>
      </c>
      <c r="Q264" s="163" t="str">
        <f t="shared" si="31"/>
        <v/>
      </c>
      <c r="R264" s="163" t="str">
        <f t="shared" si="31"/>
        <v/>
      </c>
      <c r="S264" s="163" t="str">
        <f t="shared" si="31"/>
        <v/>
      </c>
      <c r="T264" s="163" t="str">
        <f t="shared" si="31"/>
        <v/>
      </c>
      <c r="U264" s="163" t="str">
        <f t="shared" si="31"/>
        <v/>
      </c>
      <c r="V264" s="163" t="str">
        <f t="shared" si="31"/>
        <v/>
      </c>
      <c r="W264" s="163" t="str">
        <f t="shared" si="31"/>
        <v/>
      </c>
      <c r="X264" s="163" t="str">
        <f t="shared" si="31"/>
        <v/>
      </c>
      <c r="Y264" s="163" t="str">
        <f t="shared" si="31"/>
        <v/>
      </c>
      <c r="Z264" s="163" t="str">
        <f t="shared" si="31"/>
        <v/>
      </c>
      <c r="AA264" s="163" t="str">
        <f t="shared" si="31"/>
        <v/>
      </c>
      <c r="AB264" s="163" t="str">
        <f t="shared" si="31"/>
        <v/>
      </c>
      <c r="AC264" s="163" t="str">
        <f t="shared" si="31"/>
        <v/>
      </c>
      <c r="AD264" s="163" t="str">
        <f t="shared" si="31"/>
        <v/>
      </c>
      <c r="AE264" s="163" t="str">
        <f t="shared" si="31"/>
        <v/>
      </c>
      <c r="AF264" s="163" t="str">
        <f t="shared" si="31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32">IF(B232&lt;100,"",B232-330)</f>
        <v/>
      </c>
      <c r="C265" s="163" t="str">
        <f t="shared" si="32"/>
        <v/>
      </c>
      <c r="D265" s="163" t="str">
        <f t="shared" si="32"/>
        <v/>
      </c>
      <c r="E265" s="163" t="str">
        <f t="shared" si="32"/>
        <v/>
      </c>
      <c r="F265" s="163" t="str">
        <f t="shared" si="32"/>
        <v/>
      </c>
      <c r="G265" s="163" t="str">
        <f t="shared" si="32"/>
        <v/>
      </c>
      <c r="H265" s="163" t="str">
        <f t="shared" si="32"/>
        <v/>
      </c>
      <c r="I265" s="163" t="str">
        <f t="shared" si="32"/>
        <v/>
      </c>
      <c r="J265" s="163" t="str">
        <f t="shared" si="32"/>
        <v/>
      </c>
      <c r="K265" s="163" t="str">
        <f t="shared" si="32"/>
        <v/>
      </c>
      <c r="L265" s="163" t="str">
        <f t="shared" si="32"/>
        <v/>
      </c>
      <c r="M265" s="163" t="str">
        <f t="shared" si="32"/>
        <v/>
      </c>
      <c r="N265" s="163" t="str">
        <f t="shared" si="32"/>
        <v/>
      </c>
      <c r="O265" s="163" t="str">
        <f t="shared" si="32"/>
        <v/>
      </c>
      <c r="P265" s="163" t="str">
        <f t="shared" si="32"/>
        <v/>
      </c>
      <c r="Q265" s="163" t="str">
        <f t="shared" si="32"/>
        <v/>
      </c>
      <c r="R265" s="163" t="str">
        <f t="shared" si="32"/>
        <v/>
      </c>
      <c r="S265" s="163" t="str">
        <f t="shared" si="32"/>
        <v/>
      </c>
      <c r="T265" s="163" t="str">
        <f t="shared" si="32"/>
        <v/>
      </c>
      <c r="U265" s="163" t="str">
        <f t="shared" si="32"/>
        <v/>
      </c>
      <c r="V265" s="163" t="str">
        <f t="shared" si="32"/>
        <v/>
      </c>
      <c r="W265" s="163" t="str">
        <f t="shared" si="32"/>
        <v/>
      </c>
      <c r="X265" s="163" t="str">
        <f t="shared" si="32"/>
        <v/>
      </c>
      <c r="Y265" s="163" t="str">
        <f t="shared" si="32"/>
        <v/>
      </c>
      <c r="Z265" s="163" t="str">
        <f t="shared" si="32"/>
        <v/>
      </c>
      <c r="AA265" s="163" t="str">
        <f t="shared" si="32"/>
        <v/>
      </c>
      <c r="AB265" s="163" t="str">
        <f t="shared" si="32"/>
        <v/>
      </c>
      <c r="AC265" s="163" t="str">
        <f t="shared" si="32"/>
        <v/>
      </c>
      <c r="AD265" s="163" t="str">
        <f t="shared" si="32"/>
        <v/>
      </c>
      <c r="AE265" s="163" t="str">
        <f t="shared" si="32"/>
        <v/>
      </c>
      <c r="AF265" s="163" t="str">
        <f t="shared" si="32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33">IF(B233&lt;100,"",B233-1500)</f>
        <v/>
      </c>
      <c r="C266" s="163" t="str">
        <f t="shared" si="33"/>
        <v/>
      </c>
      <c r="D266" s="163" t="str">
        <f t="shared" si="33"/>
        <v/>
      </c>
      <c r="E266" s="163" t="str">
        <f t="shared" si="33"/>
        <v/>
      </c>
      <c r="F266" s="163" t="str">
        <f t="shared" si="33"/>
        <v/>
      </c>
      <c r="G266" s="163" t="str">
        <f t="shared" si="33"/>
        <v/>
      </c>
      <c r="H266" s="163" t="str">
        <f t="shared" si="33"/>
        <v/>
      </c>
      <c r="I266" s="163" t="str">
        <f t="shared" si="33"/>
        <v/>
      </c>
      <c r="J266" s="163" t="str">
        <f t="shared" si="33"/>
        <v/>
      </c>
      <c r="K266" s="163" t="str">
        <f t="shared" si="33"/>
        <v/>
      </c>
      <c r="L266" s="163" t="str">
        <f t="shared" si="33"/>
        <v/>
      </c>
      <c r="M266" s="163" t="str">
        <f t="shared" si="33"/>
        <v/>
      </c>
      <c r="N266" s="163" t="str">
        <f t="shared" si="33"/>
        <v/>
      </c>
      <c r="O266" s="163" t="str">
        <f t="shared" si="33"/>
        <v/>
      </c>
      <c r="P266" s="163" t="str">
        <f t="shared" si="33"/>
        <v/>
      </c>
      <c r="Q266" s="163" t="str">
        <f t="shared" si="33"/>
        <v/>
      </c>
      <c r="R266" s="163" t="str">
        <f t="shared" si="33"/>
        <v/>
      </c>
      <c r="S266" s="163" t="str">
        <f t="shared" si="33"/>
        <v/>
      </c>
      <c r="T266" s="163" t="str">
        <f t="shared" si="33"/>
        <v/>
      </c>
      <c r="U266" s="163" t="str">
        <f t="shared" si="33"/>
        <v/>
      </c>
      <c r="V266" s="163" t="str">
        <f t="shared" si="33"/>
        <v/>
      </c>
      <c r="W266" s="163" t="str">
        <f t="shared" si="33"/>
        <v/>
      </c>
      <c r="X266" s="163" t="str">
        <f t="shared" si="33"/>
        <v/>
      </c>
      <c r="Y266" s="163" t="str">
        <f t="shared" si="33"/>
        <v/>
      </c>
      <c r="Z266" s="163" t="str">
        <f t="shared" si="33"/>
        <v/>
      </c>
      <c r="AA266" s="163" t="str">
        <f t="shared" si="33"/>
        <v/>
      </c>
      <c r="AB266" s="163" t="str">
        <f t="shared" si="33"/>
        <v/>
      </c>
      <c r="AC266" s="163" t="str">
        <f t="shared" si="33"/>
        <v/>
      </c>
      <c r="AD266" s="163" t="str">
        <f t="shared" si="33"/>
        <v/>
      </c>
      <c r="AE266" s="163" t="str">
        <f t="shared" si="33"/>
        <v/>
      </c>
      <c r="AF266" s="163" t="str">
        <f t="shared" si="33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T11 D104:AF104 D106:AF111 B22:T26 B17:T18 B15:T15 X15:AF15 X17:AF18 X22:AF26 X11:AF11">
    <cfRule type="expression" dxfId="5565" priority="302">
      <formula>B$9&gt;=20/24</formula>
    </cfRule>
    <cfRule type="expression" dxfId="5564" priority="303">
      <formula>AND(B$9&gt;=14/24,B$9&lt;20/24)</formula>
    </cfRule>
    <cfRule type="expression" dxfId="5563" priority="304">
      <formula>AND(B$9&gt;=8/24,B$9&lt;14/24)</formula>
    </cfRule>
    <cfRule type="expression" dxfId="5562" priority="305">
      <formula>B$9&lt;8/24</formula>
    </cfRule>
  </conditionalFormatting>
  <conditionalFormatting sqref="AL4:AL6">
    <cfRule type="iconSet" priority="301">
      <iconSet iconSet="3TrafficLights2" reverse="1">
        <cfvo type="percent" val="0"/>
        <cfvo type="num" val="1"/>
        <cfvo type="num" val="1"/>
      </iconSet>
    </cfRule>
  </conditionalFormatting>
  <conditionalFormatting sqref="S42:AF42">
    <cfRule type="expression" dxfId="5561" priority="297">
      <formula>S$9&gt;=20/24</formula>
    </cfRule>
    <cfRule type="expression" dxfId="5560" priority="298">
      <formula>AND(S$9&gt;=14/24,S$9&lt;20/24)</formula>
    </cfRule>
    <cfRule type="expression" dxfId="5559" priority="299">
      <formula>AND(S$9&gt;=8/24,S$9&lt;14/24)</formula>
    </cfRule>
    <cfRule type="expression" dxfId="5558" priority="300">
      <formula>S$9&lt;8/24</formula>
    </cfRule>
  </conditionalFormatting>
  <conditionalFormatting sqref="AG60 S42:AF42 T11:T18 B20:T20 B22:T26 B12:S18 B40:T40 X40:AF40 X22:AF26 X20:AF20 X11:AF18">
    <cfRule type="expression" dxfId="5557" priority="296">
      <formula>B11&gt;$AG11</formula>
    </cfRule>
  </conditionalFormatting>
  <conditionalFormatting sqref="A94:A104 A54:A81 A90:A92 A197:A227 A41:A52 A113:A184 A37:A38 A86:A88 A83:A84 A106:A108 A34:A35 A20:A32 A17:A18 A11:A15">
    <cfRule type="expression" dxfId="5556" priority="295">
      <formula>$AH11=0</formula>
    </cfRule>
  </conditionalFormatting>
  <conditionalFormatting sqref="A109">
    <cfRule type="expression" dxfId="5555" priority="294">
      <formula>$AH109=0</formula>
    </cfRule>
  </conditionalFormatting>
  <conditionalFormatting sqref="AL38">
    <cfRule type="iconSet" priority="293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554" priority="292">
      <formula>$AH40=0</formula>
    </cfRule>
  </conditionalFormatting>
  <conditionalFormatting sqref="A93">
    <cfRule type="expression" dxfId="5553" priority="291">
      <formula>$AH93=0</formula>
    </cfRule>
  </conditionalFormatting>
  <conditionalFormatting sqref="A16">
    <cfRule type="expression" dxfId="5552" priority="290">
      <formula>$AH16=0</formula>
    </cfRule>
  </conditionalFormatting>
  <conditionalFormatting sqref="A191:A196">
    <cfRule type="expression" dxfId="5551" priority="289">
      <formula>$AH191=0</formula>
    </cfRule>
  </conditionalFormatting>
  <conditionalFormatting sqref="A185:A190">
    <cfRule type="expression" dxfId="5550" priority="288">
      <formula>$AH185=0</formula>
    </cfRule>
  </conditionalFormatting>
  <conditionalFormatting sqref="A53">
    <cfRule type="expression" dxfId="5549" priority="287">
      <formula>$AH53=0</formula>
    </cfRule>
  </conditionalFormatting>
  <conditionalFormatting sqref="A89">
    <cfRule type="expression" dxfId="5548" priority="286">
      <formula>$AH89=0</formula>
    </cfRule>
  </conditionalFormatting>
  <conditionalFormatting sqref="D94:AF94">
    <cfRule type="expression" dxfId="5547" priority="282">
      <formula>D$9&gt;=20/24</formula>
    </cfRule>
    <cfRule type="expression" dxfId="5546" priority="283">
      <formula>AND(D$9&gt;=14/24,D$9&lt;20/24)</formula>
    </cfRule>
    <cfRule type="expression" dxfId="5545" priority="284">
      <formula>AND(D$9&gt;=8/24,D$9&lt;14/24)</formula>
    </cfRule>
    <cfRule type="expression" dxfId="5544" priority="285">
      <formula>D$9&lt;8/24</formula>
    </cfRule>
  </conditionalFormatting>
  <conditionalFormatting sqref="AL39">
    <cfRule type="iconSet" priority="28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43" priority="308">
      <formula>C$9&gt;=20/24</formula>
    </cfRule>
    <cfRule type="expression" dxfId="5542" priority="309">
      <formula>AND(C$9&gt;=14/24,C$9&lt;20/24)</formula>
    </cfRule>
    <cfRule type="expression" dxfId="5541" priority="310">
      <formula>AND(C$9&gt;=8/24,C$9&lt;14/24)</formula>
    </cfRule>
    <cfRule type="expression" dxfId="5540" priority="311">
      <formula>C$9&lt;8/24</formula>
    </cfRule>
  </conditionalFormatting>
  <conditionalFormatting sqref="A228">
    <cfRule type="expression" dxfId="5539" priority="312">
      <formula>$AH228=0</formula>
    </cfRule>
  </conditionalFormatting>
  <conditionalFormatting sqref="AG240">
    <cfRule type="expression" dxfId="5538" priority="313">
      <formula>B$9&gt;=20/24</formula>
    </cfRule>
    <cfRule type="expression" dxfId="5537" priority="314">
      <formula>AND(B$9&gt;=14/24,B$9&lt;20/24)</formula>
    </cfRule>
    <cfRule type="expression" dxfId="5536" priority="315">
      <formula>AND(B$9&gt;=8/24,B$9&lt;14/24)</formula>
    </cfRule>
    <cfRule type="expression" dxfId="5535" priority="316">
      <formula>B$9&lt;8/24</formula>
    </cfRule>
  </conditionalFormatting>
  <conditionalFormatting sqref="S8">
    <cfRule type="expression" dxfId="5534" priority="277">
      <formula>U$9&gt;=20/24</formula>
    </cfRule>
    <cfRule type="expression" dxfId="5533" priority="278">
      <formula>AND(U$9&gt;=14/24,U$9&lt;20/24)</formula>
    </cfRule>
    <cfRule type="expression" dxfId="5532" priority="279">
      <formula>AND(U$9&gt;=8/24,U$9&lt;14/24)</formula>
    </cfRule>
    <cfRule type="expression" dxfId="5531" priority="280">
      <formula>U$9&lt;8/24</formula>
    </cfRule>
  </conditionalFormatting>
  <conditionalFormatting sqref="AB8">
    <cfRule type="expression" dxfId="5530" priority="273">
      <formula>AD$9&gt;=20/24</formula>
    </cfRule>
    <cfRule type="expression" dxfId="5529" priority="274">
      <formula>AND(AD$9&gt;=14/24,AD$9&lt;20/24)</formula>
    </cfRule>
    <cfRule type="expression" dxfId="5528" priority="275">
      <formula>AND(AD$9&gt;=8/24,AD$9&lt;14/24)</formula>
    </cfRule>
    <cfRule type="expression" dxfId="5527" priority="276">
      <formula>AD$9&lt;8/24</formula>
    </cfRule>
  </conditionalFormatting>
  <conditionalFormatting sqref="AH240:AX240">
    <cfRule type="expression" dxfId="5526" priority="317">
      <formula>AG$9&gt;=20/24</formula>
    </cfRule>
    <cfRule type="expression" dxfId="5525" priority="318">
      <formula>AND(AG$9&gt;=14/24,AG$9&lt;20/24)</formula>
    </cfRule>
    <cfRule type="expression" dxfId="5524" priority="319">
      <formula>AND(AG$9&gt;=8/24,AG$9&lt;14/24)</formula>
    </cfRule>
    <cfRule type="expression" dxfId="5523" priority="320">
      <formula>AG$9&lt;8/24</formula>
    </cfRule>
  </conditionalFormatting>
  <conditionalFormatting sqref="T240">
    <cfRule type="expression" dxfId="5522" priority="321">
      <formula>AX$9&gt;=20/24</formula>
    </cfRule>
    <cfRule type="expression" dxfId="5521" priority="322">
      <formula>AND(AX$9&gt;=14/24,AX$9&lt;20/24)</formula>
    </cfRule>
    <cfRule type="expression" dxfId="5520" priority="323">
      <formula>AND(AX$9&gt;=8/24,AX$9&lt;14/24)</formula>
    </cfRule>
    <cfRule type="expression" dxfId="5519" priority="324">
      <formula>AX$9&lt;8/24</formula>
    </cfRule>
  </conditionalFormatting>
  <conditionalFormatting sqref="A110:A111">
    <cfRule type="expression" dxfId="5518" priority="272">
      <formula>$AH110=0</formula>
    </cfRule>
  </conditionalFormatting>
  <conditionalFormatting sqref="AE49:AF50 M66:T66 AB66:AF66 T49:W50">
    <cfRule type="expression" dxfId="5517" priority="268">
      <formula>M$9&gt;=20/24</formula>
    </cfRule>
    <cfRule type="expression" dxfId="5516" priority="269">
      <formula>AND(M$9&gt;=14/24,M$9&lt;20/24)</formula>
    </cfRule>
    <cfRule type="expression" dxfId="5515" priority="270">
      <formula>AND(M$9&gt;=8/24,M$9&lt;14/24)</formula>
    </cfRule>
    <cfRule type="expression" dxfId="5514" priority="271">
      <formula>M$9&lt;8/24</formula>
    </cfRule>
  </conditionalFormatting>
  <conditionalFormatting sqref="AE48:AF48 T48:W48">
    <cfRule type="expression" dxfId="5513" priority="264">
      <formula>T$9&gt;=20/24</formula>
    </cfRule>
    <cfRule type="expression" dxfId="5512" priority="265">
      <formula>AND(T$9&gt;=14/24,T$9&lt;20/24)</formula>
    </cfRule>
    <cfRule type="expression" dxfId="5511" priority="266">
      <formula>AND(T$9&gt;=8/24,T$9&lt;14/24)</formula>
    </cfRule>
    <cfRule type="expression" dxfId="5510" priority="267">
      <formula>T$9&lt;8/24</formula>
    </cfRule>
  </conditionalFormatting>
  <conditionalFormatting sqref="AE48:AF50 T48:W50">
    <cfRule type="expression" dxfId="5509" priority="263">
      <formula>T48&gt;$AG48</formula>
    </cfRule>
  </conditionalFormatting>
  <conditionalFormatting sqref="C91:AF91 L68:R68 T28:T30 T32 T12:T14 T20 T67:T76 T34:T37 M67:R67 G95:AF101 M42:R42 S67:S68 AB67:AF68 S62:AF64 AC69:AF76 C78:AF81 X34:AF37 X20:AF20 X12:AF14 X32:AF32 X28:AF30">
    <cfRule type="expression" dxfId="5508" priority="259">
      <formula>C$9&gt;=20/24</formula>
    </cfRule>
    <cfRule type="expression" dxfId="5507" priority="260">
      <formula>AND(C$9&gt;=14/24,C$9&lt;20/24)</formula>
    </cfRule>
    <cfRule type="expression" dxfId="5506" priority="261">
      <formula>AND(C$9&gt;=8/24,C$9&lt;14/24)</formula>
    </cfRule>
    <cfRule type="expression" dxfId="5505" priority="262">
      <formula>C$9&lt;8/24</formula>
    </cfRule>
  </conditionalFormatting>
  <conditionalFormatting sqref="T38 X38:AF38">
    <cfRule type="expression" dxfId="5504" priority="255">
      <formula>T$9&gt;=20/24</formula>
    </cfRule>
    <cfRule type="expression" dxfId="5503" priority="256">
      <formula>AND(T$9&gt;=14/24,T$9&lt;20/24)</formula>
    </cfRule>
    <cfRule type="expression" dxfId="5502" priority="257">
      <formula>AND(T$9&gt;=8/24,T$9&lt;14/24)</formula>
    </cfRule>
    <cfRule type="expression" dxfId="5501" priority="258">
      <formula>T$9&lt;8/24</formula>
    </cfRule>
  </conditionalFormatting>
  <conditionalFormatting sqref="AE51:AF51 C60:AF60 T28:T32 T34:T38 M42:R42 S62:AF64 AF52 X34:AF38 X28:AF32">
    <cfRule type="expression" dxfId="5500" priority="254">
      <formula>C28&gt;$AG28</formula>
    </cfRule>
  </conditionalFormatting>
  <conditionalFormatting sqref="T40 X40:AF40">
    <cfRule type="expression" dxfId="5499" priority="250">
      <formula>T$9&gt;=20/24</formula>
    </cfRule>
    <cfRule type="expression" dxfId="5498" priority="251">
      <formula>AND(T$9&gt;=14/24,T$9&lt;20/24)</formula>
    </cfRule>
    <cfRule type="expression" dxfId="5497" priority="252">
      <formula>AND(T$9&gt;=8/24,T$9&lt;14/24)</formula>
    </cfRule>
    <cfRule type="expression" dxfId="5496" priority="253">
      <formula>T$9&lt;8/24</formula>
    </cfRule>
  </conditionalFormatting>
  <conditionalFormatting sqref="T16 X16:AF16">
    <cfRule type="expression" dxfId="5495" priority="246">
      <formula>T$9&gt;=20/24</formula>
    </cfRule>
    <cfRule type="expression" dxfId="5494" priority="247">
      <formula>AND(T$9&gt;=14/24,T$9&lt;20/24)</formula>
    </cfRule>
    <cfRule type="expression" dxfId="5493" priority="248">
      <formula>AND(T$9&gt;=8/24,T$9&lt;14/24)</formula>
    </cfRule>
    <cfRule type="expression" dxfId="5492" priority="249">
      <formula>T$9&lt;8/24</formula>
    </cfRule>
  </conditionalFormatting>
  <conditionalFormatting sqref="T39 X39:AF39">
    <cfRule type="expression" dxfId="5491" priority="242">
      <formula>T$9&gt;=20/24</formula>
    </cfRule>
    <cfRule type="expression" dxfId="5490" priority="243">
      <formula>AND(T$9&gt;=14/24,T$9&lt;20/24)</formula>
    </cfRule>
    <cfRule type="expression" dxfId="5489" priority="244">
      <formula>AND(T$9&gt;=8/24,T$9&lt;14/24)</formula>
    </cfRule>
    <cfRule type="expression" dxfId="5488" priority="245">
      <formula>T$9&lt;8/24</formula>
    </cfRule>
  </conditionalFormatting>
  <conditionalFormatting sqref="T39 X39:AF39">
    <cfRule type="expression" dxfId="5487" priority="241">
      <formula>T39&gt;$AG39</formula>
    </cfRule>
  </conditionalFormatting>
  <conditionalFormatting sqref="AF53 W51:AD52 AE52">
    <cfRule type="expression" dxfId="5486" priority="237">
      <formula>W$9&gt;=20/24</formula>
    </cfRule>
    <cfRule type="expression" dxfId="5485" priority="238">
      <formula>AND(W$9&gt;=14/24,W$9&lt;20/24)</formula>
    </cfRule>
    <cfRule type="expression" dxfId="5484" priority="239">
      <formula>AND(W$9&gt;=8/24,W$9&lt;14/24)</formula>
    </cfRule>
    <cfRule type="expression" dxfId="5483" priority="240">
      <formula>W$9&lt;8/24</formula>
    </cfRule>
  </conditionalFormatting>
  <conditionalFormatting sqref="AF53 W51:AD52 AE52">
    <cfRule type="expression" dxfId="5482" priority="236">
      <formula>W51&gt;$AG51</formula>
    </cfRule>
  </conditionalFormatting>
  <conditionalFormatting sqref="T55:T59 M52:N52 O48:S52 T51:V54 W53:AE54 AF54">
    <cfRule type="expression" dxfId="5481" priority="232">
      <formula>M$9&gt;=20/24</formula>
    </cfRule>
    <cfRule type="expression" dxfId="5480" priority="233">
      <formula>AND(M$9&gt;=14/24,M$9&lt;20/24)</formula>
    </cfRule>
    <cfRule type="expression" dxfId="5479" priority="234">
      <formula>AND(M$9&gt;=8/24,M$9&lt;14/24)</formula>
    </cfRule>
    <cfRule type="expression" dxfId="5478" priority="235">
      <formula>M$9&lt;8/24</formula>
    </cfRule>
  </conditionalFormatting>
  <conditionalFormatting sqref="T55:T59 M52:N52 O48:S52 T51:V54 W53:AE54 AF54">
    <cfRule type="expression" dxfId="5477" priority="231">
      <formula>M48&gt;$AG48</formula>
    </cfRule>
  </conditionalFormatting>
  <conditionalFormatting sqref="T31 X31:AF31">
    <cfRule type="expression" dxfId="5476" priority="227">
      <formula>T$9&gt;=20/24</formula>
    </cfRule>
    <cfRule type="expression" dxfId="5475" priority="228">
      <formula>AND(T$9&gt;=14/24,T$9&lt;20/24)</formula>
    </cfRule>
    <cfRule type="expression" dxfId="5474" priority="229">
      <formula>AND(T$9&gt;=8/24,T$9&lt;14/24)</formula>
    </cfRule>
    <cfRule type="expression" dxfId="5473" priority="230">
      <formula>T$9&lt;8/24</formula>
    </cfRule>
  </conditionalFormatting>
  <conditionalFormatting sqref="T21 T27 X27:AF27 X21:AF21">
    <cfRule type="expression" dxfId="5472" priority="223">
      <formula>T$9&gt;=20/24</formula>
    </cfRule>
    <cfRule type="expression" dxfId="5471" priority="224">
      <formula>AND(T$9&gt;=14/24,T$9&lt;20/24)</formula>
    </cfRule>
    <cfRule type="expression" dxfId="5470" priority="225">
      <formula>AND(T$9&gt;=8/24,T$9&lt;14/24)</formula>
    </cfRule>
    <cfRule type="expression" dxfId="5469" priority="226">
      <formula>T$9&lt;8/24</formula>
    </cfRule>
  </conditionalFormatting>
  <conditionalFormatting sqref="T21 T27 X27:AF27 X21:AF21">
    <cfRule type="expression" dxfId="5468" priority="222">
      <formula>T21&gt;$AG21</formula>
    </cfRule>
  </conditionalFormatting>
  <conditionalFormatting sqref="X49:AD50">
    <cfRule type="expression" dxfId="5467" priority="213">
      <formula>X$9&gt;=20/24</formula>
    </cfRule>
    <cfRule type="expression" dxfId="5466" priority="214">
      <formula>AND(X$9&gt;=14/24,X$9&lt;20/24)</formula>
    </cfRule>
    <cfRule type="expression" dxfId="5465" priority="215">
      <formula>AND(X$9&gt;=8/24,X$9&lt;14/24)</formula>
    </cfRule>
    <cfRule type="expression" dxfId="5464" priority="216">
      <formula>X$9&lt;8/24</formula>
    </cfRule>
  </conditionalFormatting>
  <conditionalFormatting sqref="X48:AD48">
    <cfRule type="expression" dxfId="5463" priority="209">
      <formula>X$9&gt;=20/24</formula>
    </cfRule>
    <cfRule type="expression" dxfId="5462" priority="210">
      <formula>AND(X$9&gt;=14/24,X$9&lt;20/24)</formula>
    </cfRule>
    <cfRule type="expression" dxfId="5461" priority="211">
      <formula>AND(X$9&gt;=8/24,X$9&lt;14/24)</formula>
    </cfRule>
    <cfRule type="expression" dxfId="5460" priority="212">
      <formula>X$9&lt;8/24</formula>
    </cfRule>
  </conditionalFormatting>
  <conditionalFormatting sqref="X48:AD50">
    <cfRule type="expression" dxfId="5459" priority="208">
      <formula>X48&gt;$AG48</formula>
    </cfRule>
  </conditionalFormatting>
  <conditionalFormatting sqref="B83:AF83 B92:AF92 B104:C104 B106:C111 B11:S11">
    <cfRule type="expression" dxfId="5458" priority="204">
      <formula>B$9&gt;=20/24</formula>
    </cfRule>
    <cfRule type="expression" dxfId="5457" priority="205">
      <formula>AND(B$9&gt;=14/24,B$9&lt;20/24)</formula>
    </cfRule>
    <cfRule type="expression" dxfId="5456" priority="206">
      <formula>AND(B$9&gt;=8/24,B$9&lt;14/24)</formula>
    </cfRule>
    <cfRule type="expression" dxfId="5455" priority="207">
      <formula>B$9&lt;8/24</formula>
    </cfRule>
  </conditionalFormatting>
  <conditionalFormatting sqref="B42:L42">
    <cfRule type="expression" dxfId="5454" priority="200">
      <formula>B$9&gt;=20/24</formula>
    </cfRule>
    <cfRule type="expression" dxfId="5453" priority="201">
      <formula>AND(B$9&gt;=14/24,B$9&lt;20/24)</formula>
    </cfRule>
    <cfRule type="expression" dxfId="5452" priority="202">
      <formula>AND(B$9&gt;=8/24,B$9&lt;14/24)</formula>
    </cfRule>
    <cfRule type="expression" dxfId="5451" priority="203">
      <formula>B$9&lt;8/24</formula>
    </cfRule>
  </conditionalFormatting>
  <conditionalFormatting sqref="B42:L42 B11:S11">
    <cfRule type="expression" dxfId="5450" priority="199">
      <formula>B11&gt;$AG11</formula>
    </cfRule>
  </conditionalFormatting>
  <conditionalFormatting sqref="B94:C94">
    <cfRule type="expression" dxfId="5449" priority="195">
      <formula>B$9&gt;=20/24</formula>
    </cfRule>
    <cfRule type="expression" dxfId="5448" priority="196">
      <formula>AND(B$9&gt;=14/24,B$9&lt;20/24)</formula>
    </cfRule>
    <cfRule type="expression" dxfId="5447" priority="197">
      <formula>AND(B$9&gt;=8/24,B$9&lt;14/24)</formula>
    </cfRule>
    <cfRule type="expression" dxfId="5446" priority="198">
      <formula>B$9&lt;8/24</formula>
    </cfRule>
  </conditionalFormatting>
  <conditionalFormatting sqref="B66:L66 B49:N50 B41:AF41">
    <cfRule type="expression" dxfId="5445" priority="191">
      <formula>B$9&gt;=20/24</formula>
    </cfRule>
    <cfRule type="expression" dxfId="5444" priority="192">
      <formula>AND(B$9&gt;=14/24,B$9&lt;20/24)</formula>
    </cfRule>
    <cfRule type="expression" dxfId="5443" priority="193">
      <formula>AND(B$9&gt;=8/24,B$9&lt;14/24)</formula>
    </cfRule>
    <cfRule type="expression" dxfId="5442" priority="194">
      <formula>B$9&lt;8/24</formula>
    </cfRule>
  </conditionalFormatting>
  <conditionalFormatting sqref="B48:N48">
    <cfRule type="expression" dxfId="5441" priority="187">
      <formula>B$9&gt;=20/24</formula>
    </cfRule>
    <cfRule type="expression" dxfId="5440" priority="188">
      <formula>AND(B$9&gt;=14/24,B$9&lt;20/24)</formula>
    </cfRule>
    <cfRule type="expression" dxfId="5439" priority="189">
      <formula>AND(B$9&gt;=8/24,B$9&lt;14/24)</formula>
    </cfRule>
    <cfRule type="expression" dxfId="5438" priority="190">
      <formula>B$9&lt;8/24</formula>
    </cfRule>
  </conditionalFormatting>
  <conditionalFormatting sqref="B48:N50 B41:AF41">
    <cfRule type="expression" dxfId="5437" priority="186">
      <formula>B41&gt;$AG41</formula>
    </cfRule>
  </conditionalFormatting>
  <conditionalFormatting sqref="B62:B65 B78:B82 B84:AF84 B91 C65:AG65 C82:AG82 B93:AF93 B95:F101 B67:K76 L67 C62:R64 B12:S14 B20:S20 B28:S30 B32:S32 B34:S37 L69:S76">
    <cfRule type="expression" dxfId="5436" priority="182">
      <formula>B$9&gt;=20/24</formula>
    </cfRule>
    <cfRule type="expression" dxfId="5435" priority="183">
      <formula>AND(B$9&gt;=14/24,B$9&lt;20/24)</formula>
    </cfRule>
    <cfRule type="expression" dxfId="5434" priority="184">
      <formula>AND(B$9&gt;=8/24,B$9&lt;14/24)</formula>
    </cfRule>
    <cfRule type="expression" dxfId="5433" priority="185">
      <formula>B$9&lt;8/24</formula>
    </cfRule>
  </conditionalFormatting>
  <conditionalFormatting sqref="B38:S38">
    <cfRule type="expression" dxfId="5432" priority="178">
      <formula>B$9&gt;=20/24</formula>
    </cfRule>
    <cfRule type="expression" dxfId="5431" priority="179">
      <formula>AND(B$9&gt;=14/24,B$9&lt;20/24)</formula>
    </cfRule>
    <cfRule type="expression" dxfId="5430" priority="180">
      <formula>AND(B$9&gt;=8/24,B$9&lt;14/24)</formula>
    </cfRule>
    <cfRule type="expression" dxfId="5429" priority="181">
      <formula>B$9&lt;8/24</formula>
    </cfRule>
  </conditionalFormatting>
  <conditionalFormatting sqref="B60:B65 B43:AG43 C61:AG61 C65:AG65 C62:R64 B51:N51 B52:L52 B28:S32 B34:S38">
    <cfRule type="expression" dxfId="5428" priority="177">
      <formula>B28&gt;$AG28</formula>
    </cfRule>
  </conditionalFormatting>
  <conditionalFormatting sqref="B40:S40">
    <cfRule type="expression" dxfId="5427" priority="173">
      <formula>B$9&gt;=20/24</formula>
    </cfRule>
    <cfRule type="expression" dxfId="5426" priority="174">
      <formula>AND(B$9&gt;=14/24,B$9&lt;20/24)</formula>
    </cfRule>
    <cfRule type="expression" dxfId="5425" priority="175">
      <formula>AND(B$9&gt;=8/24,B$9&lt;14/24)</formula>
    </cfRule>
    <cfRule type="expression" dxfId="5424" priority="176">
      <formula>B$9&lt;8/24</formula>
    </cfRule>
  </conditionalFormatting>
  <conditionalFormatting sqref="B16:S16">
    <cfRule type="expression" dxfId="5423" priority="169">
      <formula>B$9&gt;=20/24</formula>
    </cfRule>
    <cfRule type="expression" dxfId="5422" priority="170">
      <formula>AND(B$9&gt;=14/24,B$9&lt;20/24)</formula>
    </cfRule>
    <cfRule type="expression" dxfId="5421" priority="171">
      <formula>AND(B$9&gt;=8/24,B$9&lt;14/24)</formula>
    </cfRule>
    <cfRule type="expression" dxfId="5420" priority="172">
      <formula>B$9&lt;8/24</formula>
    </cfRule>
  </conditionalFormatting>
  <conditionalFormatting sqref="B39:S39">
    <cfRule type="expression" dxfId="5419" priority="165">
      <formula>B$9&gt;=20/24</formula>
    </cfRule>
    <cfRule type="expression" dxfId="5418" priority="166">
      <formula>AND(B$9&gt;=14/24,B$9&lt;20/24)</formula>
    </cfRule>
    <cfRule type="expression" dxfId="5417" priority="167">
      <formula>AND(B$9&gt;=8/24,B$9&lt;14/24)</formula>
    </cfRule>
    <cfRule type="expression" dxfId="5416" priority="168">
      <formula>B$9&lt;8/24</formula>
    </cfRule>
  </conditionalFormatting>
  <conditionalFormatting sqref="B39:S39">
    <cfRule type="expression" dxfId="5415" priority="164">
      <formula>B39&gt;$AG39</formula>
    </cfRule>
  </conditionalFormatting>
  <conditionalFormatting sqref="B53:S59">
    <cfRule type="expression" dxfId="5414" priority="160">
      <formula>B$9&gt;=20/24</formula>
    </cfRule>
    <cfRule type="expression" dxfId="5413" priority="161">
      <formula>AND(B$9&gt;=14/24,B$9&lt;20/24)</formula>
    </cfRule>
    <cfRule type="expression" dxfId="5412" priority="162">
      <formula>AND(B$9&gt;=8/24,B$9&lt;14/24)</formula>
    </cfRule>
    <cfRule type="expression" dxfId="5411" priority="163">
      <formula>B$9&lt;8/24</formula>
    </cfRule>
  </conditionalFormatting>
  <conditionalFormatting sqref="B53:S59">
    <cfRule type="expression" dxfId="5410" priority="159">
      <formula>B53&gt;$AG53</formula>
    </cfRule>
  </conditionalFormatting>
  <conditionalFormatting sqref="B31:S31">
    <cfRule type="expression" dxfId="5409" priority="155">
      <formula>B$9&gt;=20/24</formula>
    </cfRule>
    <cfRule type="expression" dxfId="5408" priority="156">
      <formula>AND(B$9&gt;=14/24,B$9&lt;20/24)</formula>
    </cfRule>
    <cfRule type="expression" dxfId="5407" priority="157">
      <formula>AND(B$9&gt;=8/24,B$9&lt;14/24)</formula>
    </cfRule>
    <cfRule type="expression" dxfId="5406" priority="158">
      <formula>B$9&lt;8/24</formula>
    </cfRule>
  </conditionalFormatting>
  <conditionalFormatting sqref="B21:S21 B27:S27">
    <cfRule type="expression" dxfId="5405" priority="151">
      <formula>B$9&gt;=20/24</formula>
    </cfRule>
    <cfRule type="expression" dxfId="5404" priority="152">
      <formula>AND(B$9&gt;=14/24,B$9&lt;20/24)</formula>
    </cfRule>
    <cfRule type="expression" dxfId="5403" priority="153">
      <formula>AND(B$9&gt;=8/24,B$9&lt;14/24)</formula>
    </cfRule>
    <cfRule type="expression" dxfId="5402" priority="154">
      <formula>B$9&lt;8/24</formula>
    </cfRule>
  </conditionalFormatting>
  <conditionalFormatting sqref="B21:S21 B27:S27">
    <cfRule type="expression" dxfId="5401" priority="150">
      <formula>B21&gt;$AG21</formula>
    </cfRule>
  </conditionalFormatting>
  <conditionalFormatting sqref="A39">
    <cfRule type="expression" dxfId="5400" priority="149">
      <formula>$AH39=0</formula>
    </cfRule>
  </conditionalFormatting>
  <conditionalFormatting sqref="B77:AF77">
    <cfRule type="expression" dxfId="5399" priority="145">
      <formula>B$9&gt;=20/24</formula>
    </cfRule>
    <cfRule type="expression" dxfId="5398" priority="146">
      <formula>AND(B$9&gt;=14/24,B$9&lt;20/24)</formula>
    </cfRule>
    <cfRule type="expression" dxfId="5397" priority="147">
      <formula>AND(B$9&gt;=8/24,B$9&lt;14/24)</formula>
    </cfRule>
    <cfRule type="expression" dxfId="5396" priority="148">
      <formula>B$9&lt;8/24</formula>
    </cfRule>
  </conditionalFormatting>
  <conditionalFormatting sqref="B86:AF90">
    <cfRule type="expression" dxfId="5395" priority="141">
      <formula>B$9&gt;=20/24</formula>
    </cfRule>
    <cfRule type="expression" dxfId="5394" priority="142">
      <formula>AND(B$9&gt;=14/24,B$9&lt;20/24)</formula>
    </cfRule>
    <cfRule type="expression" dxfId="5393" priority="143">
      <formula>AND(B$9&gt;=8/24,B$9&lt;14/24)</formula>
    </cfRule>
    <cfRule type="expression" dxfId="5392" priority="144">
      <formula>B$9&lt;8/24</formula>
    </cfRule>
  </conditionalFormatting>
  <conditionalFormatting sqref="AL40 AL37 AL20:AL32 AL34:AL35 AL7:AL18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C44:K44 L44:AF46">
    <cfRule type="expression" dxfId="5391" priority="137">
      <formula>C$9&gt;=20/24</formula>
    </cfRule>
    <cfRule type="expression" dxfId="5390" priority="138">
      <formula>AND(C$9&gt;=14/24,C$9&lt;20/24)</formula>
    </cfRule>
    <cfRule type="expression" dxfId="5389" priority="139">
      <formula>AND(C$9&gt;=8/24,C$9&lt;14/24)</formula>
    </cfRule>
    <cfRule type="expression" dxfId="5388" priority="140">
      <formula>C$9&lt;8/24</formula>
    </cfRule>
  </conditionalFormatting>
  <conditionalFormatting sqref="C44:K44 L44:AF46">
    <cfRule type="expression" dxfId="5387" priority="136">
      <formula>C44&gt;$AG44</formula>
    </cfRule>
  </conditionalFormatting>
  <conditionalFormatting sqref="B44:B47 C47:AG47 C45:K46">
    <cfRule type="expression" dxfId="5386" priority="132">
      <formula>B$9&gt;=20/24</formula>
    </cfRule>
    <cfRule type="expression" dxfId="5385" priority="133">
      <formula>AND(B$9&gt;=14/24,B$9&lt;20/24)</formula>
    </cfRule>
    <cfRule type="expression" dxfId="5384" priority="134">
      <formula>AND(B$9&gt;=8/24,B$9&lt;14/24)</formula>
    </cfRule>
    <cfRule type="expression" dxfId="5383" priority="135">
      <formula>B$9&lt;8/24</formula>
    </cfRule>
  </conditionalFormatting>
  <conditionalFormatting sqref="B44:B47 C47:AG47 C45:K46">
    <cfRule type="expression" dxfId="5382" priority="131">
      <formula>B44&gt;$AG44</formula>
    </cfRule>
  </conditionalFormatting>
  <conditionalFormatting sqref="C102:AF102">
    <cfRule type="expression" dxfId="5381" priority="127">
      <formula>C$9&gt;=20/24</formula>
    </cfRule>
    <cfRule type="expression" dxfId="5380" priority="128">
      <formula>AND(C$9&gt;=14/24,C$9&lt;20/24)</formula>
    </cfRule>
    <cfRule type="expression" dxfId="5379" priority="129">
      <formula>AND(C$9&gt;=8/24,C$9&lt;14/24)</formula>
    </cfRule>
    <cfRule type="expression" dxfId="5378" priority="130">
      <formula>C$9&lt;8/24</formula>
    </cfRule>
  </conditionalFormatting>
  <conditionalFormatting sqref="B102">
    <cfRule type="expression" dxfId="5377" priority="123">
      <formula>B$9&gt;=20/24</formula>
    </cfRule>
    <cfRule type="expression" dxfId="5376" priority="124">
      <formula>AND(B$9&gt;=14/24,B$9&lt;20/24)</formula>
    </cfRule>
    <cfRule type="expression" dxfId="5375" priority="125">
      <formula>AND(B$9&gt;=8/24,B$9&lt;14/24)</formula>
    </cfRule>
    <cfRule type="expression" dxfId="5374" priority="126">
      <formula>B$9&lt;8/24</formula>
    </cfRule>
  </conditionalFormatting>
  <conditionalFormatting sqref="AL36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5373" priority="117">
      <formula>$AH36=0</formula>
    </cfRule>
  </conditionalFormatting>
  <conditionalFormatting sqref="A85">
    <cfRule type="expression" dxfId="5372" priority="115">
      <formula>$AH85=0</formula>
    </cfRule>
  </conditionalFormatting>
  <conditionalFormatting sqref="A82">
    <cfRule type="expression" dxfId="5371" priority="116">
      <formula>$AH82=0</formula>
    </cfRule>
  </conditionalFormatting>
  <conditionalFormatting sqref="A112">
    <cfRule type="expression" dxfId="5370" priority="106">
      <formula>$AH112=0</formula>
    </cfRule>
  </conditionalFormatting>
  <conditionalFormatting sqref="D105:AF105">
    <cfRule type="expression" dxfId="5369" priority="102">
      <formula>D$9&gt;=20/24</formula>
    </cfRule>
    <cfRule type="expression" dxfId="5368" priority="103">
      <formula>AND(D$9&gt;=14/24,D$9&lt;20/24)</formula>
    </cfRule>
    <cfRule type="expression" dxfId="5367" priority="104">
      <formula>AND(D$9&gt;=8/24,D$9&lt;14/24)</formula>
    </cfRule>
    <cfRule type="expression" dxfId="5366" priority="105">
      <formula>D$9&lt;8/24</formula>
    </cfRule>
  </conditionalFormatting>
  <conditionalFormatting sqref="A105">
    <cfRule type="expression" dxfId="5365" priority="101">
      <formula>$AH105=0</formula>
    </cfRule>
  </conditionalFormatting>
  <conditionalFormatting sqref="B105:C105">
    <cfRule type="expression" dxfId="5364" priority="97">
      <formula>B$9&gt;=20/24</formula>
    </cfRule>
    <cfRule type="expression" dxfId="5363" priority="98">
      <formula>AND(B$9&gt;=14/24,B$9&lt;20/24)</formula>
    </cfRule>
    <cfRule type="expression" dxfId="5362" priority="99">
      <formula>AND(B$9&gt;=8/24,B$9&lt;14/24)</formula>
    </cfRule>
    <cfRule type="expression" dxfId="5361" priority="100">
      <formula>B$9&lt;8/24</formula>
    </cfRule>
  </conditionalFormatting>
  <conditionalFormatting sqref="U55:AF59">
    <cfRule type="expression" dxfId="5360" priority="93">
      <formula>U$9&gt;=20/24</formula>
    </cfRule>
    <cfRule type="expression" dxfId="5359" priority="94">
      <formula>AND(U$9&gt;=14/24,U$9&lt;20/24)</formula>
    </cfRule>
    <cfRule type="expression" dxfId="5358" priority="95">
      <formula>AND(U$9&gt;=8/24,U$9&lt;14/24)</formula>
    </cfRule>
    <cfRule type="expression" dxfId="5357" priority="96">
      <formula>U$9&lt;8/24</formula>
    </cfRule>
  </conditionalFormatting>
  <conditionalFormatting sqref="U55:AF59">
    <cfRule type="expression" dxfId="5356" priority="92">
      <formula>U55&gt;$AG55</formula>
    </cfRule>
  </conditionalFormatting>
  <conditionalFormatting sqref="B19:T19 X19:AF19">
    <cfRule type="expression" dxfId="5355" priority="90">
      <formula>B19&gt;$AG19</formula>
    </cfRule>
  </conditionalFormatting>
  <conditionalFormatting sqref="A19">
    <cfRule type="expression" dxfId="5354" priority="89">
      <formula>$AH19=0</formula>
    </cfRule>
  </conditionalFormatting>
  <conditionalFormatting sqref="T19 X19:AF19">
    <cfRule type="expression" dxfId="5353" priority="85">
      <formula>T$9&gt;=20/24</formula>
    </cfRule>
    <cfRule type="expression" dxfId="5352" priority="86">
      <formula>AND(T$9&gt;=14/24,T$9&lt;20/24)</formula>
    </cfRule>
    <cfRule type="expression" dxfId="5351" priority="87">
      <formula>AND(T$9&gt;=8/24,T$9&lt;14/24)</formula>
    </cfRule>
    <cfRule type="expression" dxfId="5350" priority="88">
      <formula>T$9&lt;8/24</formula>
    </cfRule>
  </conditionalFormatting>
  <conditionalFormatting sqref="B19:S19">
    <cfRule type="expression" dxfId="5349" priority="81">
      <formula>B$9&gt;=20/24</formula>
    </cfRule>
    <cfRule type="expression" dxfId="5348" priority="82">
      <formula>AND(B$9&gt;=14/24,B$9&lt;20/24)</formula>
    </cfRule>
    <cfRule type="expression" dxfId="5347" priority="83">
      <formula>AND(B$9&gt;=8/24,B$9&lt;14/24)</formula>
    </cfRule>
    <cfRule type="expression" dxfId="5346" priority="84">
      <formula>B$9&lt;8/24</formula>
    </cfRule>
  </conditionalFormatting>
  <conditionalFormatting sqref="AL19">
    <cfRule type="iconSet" priority="91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345" priority="79">
      <formula>$AH33=0</formula>
    </cfRule>
  </conditionalFormatting>
  <conditionalFormatting sqref="T33 X33:AF33">
    <cfRule type="expression" dxfId="5344" priority="75">
      <formula>T$9&gt;=20/24</formula>
    </cfRule>
    <cfRule type="expression" dxfId="5343" priority="76">
      <formula>AND(T$9&gt;=14/24,T$9&lt;20/24)</formula>
    </cfRule>
    <cfRule type="expression" dxfId="5342" priority="77">
      <formula>AND(T$9&gt;=8/24,T$9&lt;14/24)</formula>
    </cfRule>
    <cfRule type="expression" dxfId="5341" priority="78">
      <formula>T$9&lt;8/24</formula>
    </cfRule>
  </conditionalFormatting>
  <conditionalFormatting sqref="T33 X33:AF33">
    <cfRule type="expression" dxfId="5340" priority="74">
      <formula>T33&gt;$AG33</formula>
    </cfRule>
  </conditionalFormatting>
  <conditionalFormatting sqref="B33:S33">
    <cfRule type="expression" dxfId="5339" priority="65">
      <formula>B$9&gt;=20/24</formula>
    </cfRule>
    <cfRule type="expression" dxfId="5338" priority="66">
      <formula>AND(B$9&gt;=14/24,B$9&lt;20/24)</formula>
    </cfRule>
    <cfRule type="expression" dxfId="5337" priority="67">
      <formula>AND(B$9&gt;=8/24,B$9&lt;14/24)</formula>
    </cfRule>
    <cfRule type="expression" dxfId="5336" priority="68">
      <formula>B$9&lt;8/24</formula>
    </cfRule>
  </conditionalFormatting>
  <conditionalFormatting sqref="B33:S33">
    <cfRule type="expression" dxfId="5335" priority="64">
      <formula>B33&gt;$AG33</formula>
    </cfRule>
  </conditionalFormatting>
  <conditionalFormatting sqref="AL33">
    <cfRule type="iconSet" priority="80">
      <iconSet iconSet="3TrafficLights2" reverse="1">
        <cfvo type="percent" val="0"/>
        <cfvo type="num" val="1"/>
        <cfvo type="num" val="1"/>
      </iconSet>
    </cfRule>
  </conditionalFormatting>
  <conditionalFormatting sqref="U22:W26 U17:W18 U15:W15">
    <cfRule type="expression" dxfId="5334" priority="60">
      <formula>U$9&gt;=20/24</formula>
    </cfRule>
    <cfRule type="expression" dxfId="5333" priority="61">
      <formula>AND(U$9&gt;=14/24,U$9&lt;20/24)</formula>
    </cfRule>
    <cfRule type="expression" dxfId="5332" priority="62">
      <formula>AND(U$9&gt;=8/24,U$9&lt;14/24)</formula>
    </cfRule>
    <cfRule type="expression" dxfId="5331" priority="63">
      <formula>U$9&lt;8/24</formula>
    </cfRule>
  </conditionalFormatting>
  <conditionalFormatting sqref="U20:W20 U22:W26 U12:W18 U40:W40">
    <cfRule type="expression" dxfId="5330" priority="59">
      <formula>U12&gt;$AG12</formula>
    </cfRule>
  </conditionalFormatting>
  <conditionalFormatting sqref="U11:W11">
    <cfRule type="expression" dxfId="5329" priority="55">
      <formula>U$9&gt;=20/24</formula>
    </cfRule>
    <cfRule type="expression" dxfId="5328" priority="56">
      <formula>AND(U$9&gt;=14/24,U$9&lt;20/24)</formula>
    </cfRule>
    <cfRule type="expression" dxfId="5327" priority="57">
      <formula>AND(U$9&gt;=8/24,U$9&lt;14/24)</formula>
    </cfRule>
    <cfRule type="expression" dxfId="5326" priority="58">
      <formula>U$9&lt;8/24</formula>
    </cfRule>
  </conditionalFormatting>
  <conditionalFormatting sqref="U11:W11">
    <cfRule type="expression" dxfId="5325" priority="54">
      <formula>U11&gt;$AG11</formula>
    </cfRule>
  </conditionalFormatting>
  <conditionalFormatting sqref="U12:W14 U20:W20 U28:W30 U32:W32 U34:W37">
    <cfRule type="expression" dxfId="5324" priority="50">
      <formula>U$9&gt;=20/24</formula>
    </cfRule>
    <cfRule type="expression" dxfId="5323" priority="51">
      <formula>AND(U$9&gt;=14/24,U$9&lt;20/24)</formula>
    </cfRule>
    <cfRule type="expression" dxfId="5322" priority="52">
      <formula>AND(U$9&gt;=8/24,U$9&lt;14/24)</formula>
    </cfRule>
    <cfRule type="expression" dxfId="5321" priority="53">
      <formula>U$9&lt;8/24</formula>
    </cfRule>
  </conditionalFormatting>
  <conditionalFormatting sqref="U38:W38">
    <cfRule type="expression" dxfId="5320" priority="46">
      <formula>U$9&gt;=20/24</formula>
    </cfRule>
    <cfRule type="expression" dxfId="5319" priority="47">
      <formula>AND(U$9&gt;=14/24,U$9&lt;20/24)</formula>
    </cfRule>
    <cfRule type="expression" dxfId="5318" priority="48">
      <formula>AND(U$9&gt;=8/24,U$9&lt;14/24)</formula>
    </cfRule>
    <cfRule type="expression" dxfId="5317" priority="49">
      <formula>U$9&lt;8/24</formula>
    </cfRule>
  </conditionalFormatting>
  <conditionalFormatting sqref="U28:W32 U34:W38">
    <cfRule type="expression" dxfId="5316" priority="45">
      <formula>U28&gt;$AG28</formula>
    </cfRule>
  </conditionalFormatting>
  <conditionalFormatting sqref="U40:W40">
    <cfRule type="expression" dxfId="5315" priority="41">
      <formula>U$9&gt;=20/24</formula>
    </cfRule>
    <cfRule type="expression" dxfId="5314" priority="42">
      <formula>AND(U$9&gt;=14/24,U$9&lt;20/24)</formula>
    </cfRule>
    <cfRule type="expression" dxfId="5313" priority="43">
      <formula>AND(U$9&gt;=8/24,U$9&lt;14/24)</formula>
    </cfRule>
    <cfRule type="expression" dxfId="5312" priority="44">
      <formula>U$9&lt;8/24</formula>
    </cfRule>
  </conditionalFormatting>
  <conditionalFormatting sqref="U16:W16">
    <cfRule type="expression" dxfId="5311" priority="37">
      <formula>U$9&gt;=20/24</formula>
    </cfRule>
    <cfRule type="expression" dxfId="5310" priority="38">
      <formula>AND(U$9&gt;=14/24,U$9&lt;20/24)</formula>
    </cfRule>
    <cfRule type="expression" dxfId="5309" priority="39">
      <formula>AND(U$9&gt;=8/24,U$9&lt;14/24)</formula>
    </cfRule>
    <cfRule type="expression" dxfId="5308" priority="40">
      <formula>U$9&lt;8/24</formula>
    </cfRule>
  </conditionalFormatting>
  <conditionalFormatting sqref="U39:W39">
    <cfRule type="expression" dxfId="5307" priority="33">
      <formula>U$9&gt;=20/24</formula>
    </cfRule>
    <cfRule type="expression" dxfId="5306" priority="34">
      <formula>AND(U$9&gt;=14/24,U$9&lt;20/24)</formula>
    </cfRule>
    <cfRule type="expression" dxfId="5305" priority="35">
      <formula>AND(U$9&gt;=8/24,U$9&lt;14/24)</formula>
    </cfRule>
    <cfRule type="expression" dxfId="5304" priority="36">
      <formula>U$9&lt;8/24</formula>
    </cfRule>
  </conditionalFormatting>
  <conditionalFormatting sqref="U39:W39">
    <cfRule type="expression" dxfId="5303" priority="32">
      <formula>U39&gt;$AG39</formula>
    </cfRule>
  </conditionalFormatting>
  <conditionalFormatting sqref="U31:W31">
    <cfRule type="expression" dxfId="5302" priority="28">
      <formula>U$9&gt;=20/24</formula>
    </cfRule>
    <cfRule type="expression" dxfId="5301" priority="29">
      <formula>AND(U$9&gt;=14/24,U$9&lt;20/24)</formula>
    </cfRule>
    <cfRule type="expression" dxfId="5300" priority="30">
      <formula>AND(U$9&gt;=8/24,U$9&lt;14/24)</formula>
    </cfRule>
    <cfRule type="expression" dxfId="5299" priority="31">
      <formula>U$9&lt;8/24</formula>
    </cfRule>
  </conditionalFormatting>
  <conditionalFormatting sqref="U21:W21 U27:W27">
    <cfRule type="expression" dxfId="5298" priority="24">
      <formula>U$9&gt;=20/24</formula>
    </cfRule>
    <cfRule type="expression" dxfId="5297" priority="25">
      <formula>AND(U$9&gt;=14/24,U$9&lt;20/24)</formula>
    </cfRule>
    <cfRule type="expression" dxfId="5296" priority="26">
      <formula>AND(U$9&gt;=8/24,U$9&lt;14/24)</formula>
    </cfRule>
    <cfRule type="expression" dxfId="5295" priority="27">
      <formula>U$9&lt;8/24</formula>
    </cfRule>
  </conditionalFormatting>
  <conditionalFormatting sqref="U21:W21 U27:W27">
    <cfRule type="expression" dxfId="5294" priority="23">
      <formula>U21&gt;$AG21</formula>
    </cfRule>
  </conditionalFormatting>
  <conditionalFormatting sqref="U19:W19">
    <cfRule type="expression" dxfId="5293" priority="22">
      <formula>U19&gt;$AG19</formula>
    </cfRule>
  </conditionalFormatting>
  <conditionalFormatting sqref="U19:W19">
    <cfRule type="expression" dxfId="5292" priority="18">
      <formula>U$9&gt;=20/24</formula>
    </cfRule>
    <cfRule type="expression" dxfId="5291" priority="19">
      <formula>AND(U$9&gt;=14/24,U$9&lt;20/24)</formula>
    </cfRule>
    <cfRule type="expression" dxfId="5290" priority="20">
      <formula>AND(U$9&gt;=8/24,U$9&lt;14/24)</formula>
    </cfRule>
    <cfRule type="expression" dxfId="5289" priority="21">
      <formula>U$9&lt;8/24</formula>
    </cfRule>
  </conditionalFormatting>
  <conditionalFormatting sqref="U33:W33">
    <cfRule type="expression" dxfId="5288" priority="14">
      <formula>U$9&gt;=20/24</formula>
    </cfRule>
    <cfRule type="expression" dxfId="5287" priority="15">
      <formula>AND(U$9&gt;=14/24,U$9&lt;20/24)</formula>
    </cfRule>
    <cfRule type="expression" dxfId="5286" priority="16">
      <formula>AND(U$9&gt;=8/24,U$9&lt;14/24)</formula>
    </cfRule>
    <cfRule type="expression" dxfId="5285" priority="17">
      <formula>U$9&lt;8/24</formula>
    </cfRule>
  </conditionalFormatting>
  <conditionalFormatting sqref="U33:W33">
    <cfRule type="expression" dxfId="5284" priority="13">
      <formula>U33&gt;$AG33</formula>
    </cfRule>
  </conditionalFormatting>
  <conditionalFormatting sqref="U66:AA66">
    <cfRule type="expression" dxfId="5283" priority="9">
      <formula>U$9&gt;=20/24</formula>
    </cfRule>
    <cfRule type="expression" dxfId="5282" priority="10">
      <formula>AND(U$9&gt;=14/24,U$9&lt;20/24)</formula>
    </cfRule>
    <cfRule type="expression" dxfId="5281" priority="11">
      <formula>AND(U$9&gt;=8/24,U$9&lt;14/24)</formula>
    </cfRule>
    <cfRule type="expression" dxfId="5280" priority="12">
      <formula>U$9&lt;8/24</formula>
    </cfRule>
  </conditionalFormatting>
  <conditionalFormatting sqref="U67:AA68">
    <cfRule type="expression" dxfId="5279" priority="5">
      <formula>U$9&gt;=20/24</formula>
    </cfRule>
    <cfRule type="expression" dxfId="5278" priority="6">
      <formula>AND(U$9&gt;=14/24,U$9&lt;20/24)</formula>
    </cfRule>
    <cfRule type="expression" dxfId="5277" priority="7">
      <formula>AND(U$9&gt;=8/24,U$9&lt;14/24)</formula>
    </cfRule>
    <cfRule type="expression" dxfId="5276" priority="8">
      <formula>U$9&lt;8/24</formula>
    </cfRule>
  </conditionalFormatting>
  <conditionalFormatting sqref="U69:AB76">
    <cfRule type="expression" dxfId="5275" priority="1">
      <formula>U$9&gt;=20/24</formula>
    </cfRule>
    <cfRule type="expression" dxfId="5274" priority="2">
      <formula>AND(U$9&gt;=14/24,U$9&lt;20/24)</formula>
    </cfRule>
    <cfRule type="expression" dxfId="5273" priority="3">
      <formula>AND(U$9&gt;=8/24,U$9&lt;14/24)</formula>
    </cfRule>
    <cfRule type="expression" dxfId="5272" priority="4">
      <formula>U$9&lt;8/24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8" id="{38D0979A-D2AF-42A9-A225-E49D2BF54E6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9" id="{F04E4654-B1A1-4783-996E-6DCA04E851D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0" id="{14E960BF-E375-4CF6-BA16-73F9A888136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1" id="{851949D5-C36C-45AC-9FA7-ADB680CE26B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B85:AF85</xm:sqref>
        </x14:conditionalFormatting>
        <x14:conditionalFormatting xmlns:xm="http://schemas.microsoft.com/office/excel/2006/main">
          <x14:cfRule type="expression" priority="111" id="{93805ED7-6FC9-4481-9063-EF7E2EEBFFF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2" id="{9C996AD4-5284-4089-855B-557B9C4E4AD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3" id="{386FA80A-520C-4932-85EF-FF5B182A44C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4" id="{4E930FB7-C9DD-47ED-B6D4-127AB1CDFE7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D112:AF112</xm:sqref>
        </x14:conditionalFormatting>
        <x14:conditionalFormatting xmlns:xm="http://schemas.microsoft.com/office/excel/2006/main">
          <x14:cfRule type="expression" priority="107" id="{2BF6065E-F161-422D-AB99-801CFD97085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8" id="{D0E0CFD4-9919-4176-8D82-13857363DDD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9" id="{A130344C-DCB2-4523-9095-67EA7400509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0" id="{3FCF0C80-EC21-4081-B4B8-D6B6026CB76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B112:C112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273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M62" sqref="M6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2" width="6" style="1" bestFit="1" customWidth="1"/>
    <col min="13" max="13" width="6.42578125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2079/08/16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25.7</v>
      </c>
      <c r="I5" s="30">
        <f t="shared" si="0"/>
        <v>35</v>
      </c>
      <c r="J5" s="30">
        <f t="shared" si="0"/>
        <v>36.700000000000003</v>
      </c>
      <c r="K5" s="30">
        <f t="shared" si="0"/>
        <v>37.1</v>
      </c>
      <c r="L5" s="30">
        <f t="shared" si="0"/>
        <v>34.299999999999997</v>
      </c>
      <c r="M5" s="30">
        <f t="shared" si="0"/>
        <v>32.4</v>
      </c>
      <c r="N5" s="30">
        <f t="shared" si="0"/>
        <v>20</v>
      </c>
      <c r="O5" s="30">
        <f t="shared" si="0"/>
        <v>20</v>
      </c>
      <c r="P5" s="30">
        <f t="shared" si="0"/>
        <v>20</v>
      </c>
      <c r="Q5" s="30">
        <f t="shared" si="0"/>
        <v>10</v>
      </c>
      <c r="R5" s="30">
        <f t="shared" si="0"/>
        <v>0</v>
      </c>
      <c r="S5" s="30">
        <f t="shared" si="0"/>
        <v>0</v>
      </c>
      <c r="T5" s="30">
        <f t="shared" si="0"/>
        <v>5</v>
      </c>
      <c r="U5" s="30">
        <f t="shared" si="0"/>
        <v>11</v>
      </c>
      <c r="V5" s="30">
        <f t="shared" si="0"/>
        <v>0</v>
      </c>
      <c r="W5" s="30">
        <f t="shared" si="0"/>
        <v>44.1</v>
      </c>
      <c r="X5" s="30">
        <f t="shared" si="0"/>
        <v>25.2</v>
      </c>
      <c r="Y5" s="30">
        <f t="shared" si="0"/>
        <v>17.2</v>
      </c>
      <c r="Z5" s="30">
        <f t="shared" si="0"/>
        <v>19.2</v>
      </c>
      <c r="AA5" s="30">
        <f t="shared" si="0"/>
        <v>16.5</v>
      </c>
      <c r="AB5" s="30">
        <f t="shared" si="0"/>
        <v>12.3</v>
      </c>
      <c r="AC5" s="30">
        <f t="shared" si="0"/>
        <v>10.4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1671MW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Load=1004</v>
      </c>
      <c r="B7" s="35">
        <f t="shared" ref="B7:AF7" si="1">B84</f>
        <v>1049.5400000000002</v>
      </c>
      <c r="C7" s="35">
        <f t="shared" si="1"/>
        <v>1049.94</v>
      </c>
      <c r="D7" s="35">
        <f t="shared" si="1"/>
        <v>1003.94</v>
      </c>
      <c r="E7" s="35">
        <f t="shared" si="1"/>
        <v>1022.04</v>
      </c>
      <c r="F7" s="35">
        <f t="shared" si="1"/>
        <v>1008.44</v>
      </c>
      <c r="G7" s="35">
        <f t="shared" si="1"/>
        <v>1083.44</v>
      </c>
      <c r="H7" s="35">
        <f t="shared" si="1"/>
        <v>1187.3400000000001</v>
      </c>
      <c r="I7" s="35">
        <f t="shared" si="1"/>
        <v>1260.5400000000002</v>
      </c>
      <c r="J7" s="35">
        <f t="shared" si="1"/>
        <v>1384.8400000000001</v>
      </c>
      <c r="K7" s="35">
        <f t="shared" si="1"/>
        <v>1600.44</v>
      </c>
      <c r="L7" s="35">
        <f t="shared" si="1"/>
        <v>1670.54</v>
      </c>
      <c r="M7" s="35">
        <f t="shared" si="1"/>
        <v>1666.4399999999998</v>
      </c>
      <c r="N7" s="35">
        <f t="shared" si="1"/>
        <v>1650.94</v>
      </c>
      <c r="O7" s="35">
        <f t="shared" si="1"/>
        <v>1374.54</v>
      </c>
      <c r="P7" s="35">
        <f t="shared" si="1"/>
        <v>1370.54</v>
      </c>
      <c r="Q7" s="35">
        <f t="shared" si="1"/>
        <v>1252.54</v>
      </c>
      <c r="R7" s="35">
        <f t="shared" si="1"/>
        <v>1167.6400000000001</v>
      </c>
      <c r="S7" s="35">
        <f t="shared" si="1"/>
        <v>1178.3400000000001</v>
      </c>
      <c r="T7" s="35">
        <f t="shared" si="1"/>
        <v>1185.3400000000001</v>
      </c>
      <c r="U7" s="35">
        <f t="shared" si="1"/>
        <v>1205.04</v>
      </c>
      <c r="V7" s="35">
        <f t="shared" si="1"/>
        <v>1410.3400000000001</v>
      </c>
      <c r="W7" s="35">
        <f t="shared" si="1"/>
        <v>1613.6399999999999</v>
      </c>
      <c r="X7" s="35">
        <f t="shared" si="1"/>
        <v>1736.2999999999997</v>
      </c>
      <c r="Y7" s="35">
        <f t="shared" si="1"/>
        <v>1707.0400000000002</v>
      </c>
      <c r="Z7" s="35">
        <f t="shared" si="1"/>
        <v>1589.24</v>
      </c>
      <c r="AA7" s="35">
        <f t="shared" si="1"/>
        <v>1555.74</v>
      </c>
      <c r="AB7" s="35">
        <f t="shared" si="1"/>
        <v>1441.04</v>
      </c>
      <c r="AC7" s="35">
        <f t="shared" si="1"/>
        <v>1446.84</v>
      </c>
      <c r="AD7" s="35">
        <f t="shared" si="1"/>
        <v>1353.94</v>
      </c>
      <c r="AE7" s="35">
        <f t="shared" si="1"/>
        <v>1263.54</v>
      </c>
      <c r="AF7" s="35">
        <f t="shared" si="1"/>
        <v>1128.44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31.8</v>
      </c>
      <c r="C11" s="45">
        <v>31.8</v>
      </c>
      <c r="D11" s="45">
        <v>31.8</v>
      </c>
      <c r="E11" s="45">
        <v>31.8</v>
      </c>
      <c r="F11" s="45">
        <v>31.8</v>
      </c>
      <c r="G11" s="45">
        <v>31.8</v>
      </c>
      <c r="H11" s="45">
        <v>31.8</v>
      </c>
      <c r="I11" s="45">
        <v>29.6</v>
      </c>
      <c r="J11" s="45">
        <v>29.6</v>
      </c>
      <c r="K11" s="45">
        <v>29.6</v>
      </c>
      <c r="L11" s="45">
        <v>29.6</v>
      </c>
      <c r="M11" s="45">
        <v>29.6</v>
      </c>
      <c r="N11" s="45">
        <v>29.6</v>
      </c>
      <c r="O11" s="45">
        <v>29.6</v>
      </c>
      <c r="P11" s="45">
        <v>29.6</v>
      </c>
      <c r="Q11" s="45">
        <v>29.6</v>
      </c>
      <c r="R11" s="45">
        <v>29.6</v>
      </c>
      <c r="S11" s="45">
        <v>29.4</v>
      </c>
      <c r="T11" s="45">
        <v>29.4</v>
      </c>
      <c r="U11" s="45">
        <v>29</v>
      </c>
      <c r="V11" s="45">
        <v>29</v>
      </c>
      <c r="W11" s="45">
        <v>29</v>
      </c>
      <c r="X11" s="46">
        <v>29</v>
      </c>
      <c r="Y11" s="46">
        <v>29</v>
      </c>
      <c r="Z11" s="46">
        <v>29</v>
      </c>
      <c r="AA11" s="46">
        <v>32.5</v>
      </c>
      <c r="AB11" s="46">
        <v>32.5</v>
      </c>
      <c r="AC11" s="46">
        <v>32.5</v>
      </c>
      <c r="AD11" s="46">
        <v>32.5</v>
      </c>
      <c r="AE11" s="46">
        <v>32.5</v>
      </c>
      <c r="AF11" s="46">
        <v>32.5</v>
      </c>
      <c r="AG11" s="47">
        <v>52.4</v>
      </c>
      <c r="AH11" s="48">
        <f>MAX(B11:AF11)</f>
        <v>32.5</v>
      </c>
      <c r="AI11" s="49">
        <f>MIN(B11:AF11)</f>
        <v>29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50.5</v>
      </c>
      <c r="C12" s="45">
        <v>50.5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50.8</v>
      </c>
      <c r="J12" s="45">
        <v>50.8</v>
      </c>
      <c r="K12" s="45">
        <v>50.8</v>
      </c>
      <c r="L12" s="45">
        <v>50.8</v>
      </c>
      <c r="M12" s="45">
        <v>50.8</v>
      </c>
      <c r="N12" s="45">
        <v>50.8</v>
      </c>
      <c r="O12" s="45">
        <v>50.8</v>
      </c>
      <c r="P12" s="45">
        <v>50.8</v>
      </c>
      <c r="Q12" s="45">
        <v>50.8</v>
      </c>
      <c r="R12" s="45">
        <v>50.8</v>
      </c>
      <c r="S12" s="45">
        <v>50.5</v>
      </c>
      <c r="T12" s="45">
        <v>50.5</v>
      </c>
      <c r="U12" s="45">
        <v>50.6</v>
      </c>
      <c r="V12" s="45">
        <v>50.6</v>
      </c>
      <c r="W12" s="45">
        <v>50.6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8" si="2">MAX(B12:AF12)</f>
        <v>50.8</v>
      </c>
      <c r="AI12" s="49">
        <f t="shared" ref="AI12:AI78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29.3</v>
      </c>
      <c r="C13" s="45">
        <v>29.3</v>
      </c>
      <c r="D13" s="45">
        <v>29.3</v>
      </c>
      <c r="E13" s="45">
        <v>29.3</v>
      </c>
      <c r="F13" s="45">
        <v>29.3</v>
      </c>
      <c r="G13" s="45">
        <v>29.3</v>
      </c>
      <c r="H13" s="45">
        <v>29.3</v>
      </c>
      <c r="I13" s="45">
        <v>27</v>
      </c>
      <c r="J13" s="45">
        <v>27</v>
      </c>
      <c r="K13" s="45">
        <v>27</v>
      </c>
      <c r="L13" s="45">
        <v>27</v>
      </c>
      <c r="M13" s="45">
        <v>27</v>
      </c>
      <c r="N13" s="45">
        <v>27</v>
      </c>
      <c r="O13" s="45">
        <v>27</v>
      </c>
      <c r="P13" s="45">
        <v>27</v>
      </c>
      <c r="Q13" s="45">
        <v>27</v>
      </c>
      <c r="R13" s="45">
        <v>27</v>
      </c>
      <c r="S13" s="45">
        <v>27</v>
      </c>
      <c r="T13" s="45">
        <v>27</v>
      </c>
      <c r="U13" s="45">
        <v>29.1</v>
      </c>
      <c r="V13" s="45">
        <v>29.1</v>
      </c>
      <c r="W13" s="45">
        <v>29.1</v>
      </c>
      <c r="X13" s="45">
        <v>29.1</v>
      </c>
      <c r="Y13" s="45">
        <v>29.1</v>
      </c>
      <c r="Z13" s="45">
        <v>29.1</v>
      </c>
      <c r="AA13" s="45">
        <v>29.1</v>
      </c>
      <c r="AB13" s="45">
        <v>29.1</v>
      </c>
      <c r="AC13" s="45">
        <v>29.1</v>
      </c>
      <c r="AD13" s="45">
        <v>29.1</v>
      </c>
      <c r="AE13" s="45">
        <v>29.1</v>
      </c>
      <c r="AF13" s="45">
        <v>29.1</v>
      </c>
      <c r="AG13" s="51">
        <v>45</v>
      </c>
      <c r="AH13" s="48">
        <f t="shared" si="2"/>
        <v>29.3</v>
      </c>
      <c r="AI13" s="49">
        <f t="shared" si="3"/>
        <v>27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18.5</v>
      </c>
      <c r="C14" s="45">
        <v>18.5</v>
      </c>
      <c r="D14" s="45">
        <v>18.5</v>
      </c>
      <c r="E14" s="45">
        <v>18.5</v>
      </c>
      <c r="F14" s="45">
        <v>18.5</v>
      </c>
      <c r="G14" s="45">
        <v>18.5</v>
      </c>
      <c r="H14" s="45">
        <v>18.5</v>
      </c>
      <c r="I14" s="45">
        <v>18.5</v>
      </c>
      <c r="J14" s="45">
        <v>18.5</v>
      </c>
      <c r="K14" s="45">
        <v>18.5</v>
      </c>
      <c r="L14" s="45">
        <v>18.5</v>
      </c>
      <c r="M14" s="45">
        <v>18.5</v>
      </c>
      <c r="N14" s="45">
        <v>18.5</v>
      </c>
      <c r="O14" s="45">
        <v>18.5</v>
      </c>
      <c r="P14" s="45">
        <v>18.5</v>
      </c>
      <c r="Q14" s="45">
        <v>18.5</v>
      </c>
      <c r="R14" s="45">
        <v>18.5</v>
      </c>
      <c r="S14" s="45">
        <v>18.5</v>
      </c>
      <c r="T14" s="45">
        <v>18.5</v>
      </c>
      <c r="U14" s="45">
        <v>18.5</v>
      </c>
      <c r="V14" s="45">
        <v>18.5</v>
      </c>
      <c r="W14" s="45">
        <v>18.5</v>
      </c>
      <c r="X14" s="45">
        <v>18.5</v>
      </c>
      <c r="Y14" s="45">
        <v>18.5</v>
      </c>
      <c r="Z14" s="45">
        <v>18.5</v>
      </c>
      <c r="AA14" s="45">
        <v>18.5</v>
      </c>
      <c r="AB14" s="45">
        <v>18.5</v>
      </c>
      <c r="AC14" s="45">
        <v>18.5</v>
      </c>
      <c r="AD14" s="45">
        <v>18.5</v>
      </c>
      <c r="AE14" s="45">
        <v>18.5</v>
      </c>
      <c r="AF14" s="45">
        <v>18.5</v>
      </c>
      <c r="AG14" s="51">
        <v>42</v>
      </c>
      <c r="AH14" s="48">
        <f t="shared" si="2"/>
        <v>18.5</v>
      </c>
      <c r="AI14" s="49">
        <f t="shared" si="3"/>
        <v>18.5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15</v>
      </c>
      <c r="C15" s="45">
        <v>15</v>
      </c>
      <c r="D15" s="45">
        <v>15</v>
      </c>
      <c r="E15" s="45">
        <v>15</v>
      </c>
      <c r="F15" s="45">
        <v>15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15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10</v>
      </c>
      <c r="C16" s="45">
        <v>10</v>
      </c>
      <c r="D16" s="45">
        <v>10</v>
      </c>
      <c r="E16" s="45">
        <v>15.1</v>
      </c>
      <c r="F16" s="45">
        <v>15.2</v>
      </c>
      <c r="G16" s="45">
        <v>17</v>
      </c>
      <c r="H16" s="45">
        <v>17</v>
      </c>
      <c r="I16" s="45">
        <v>17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17</v>
      </c>
      <c r="R16" s="45">
        <v>17</v>
      </c>
      <c r="S16" s="45">
        <v>17</v>
      </c>
      <c r="T16" s="45">
        <v>17</v>
      </c>
      <c r="U16" s="45">
        <v>15.4</v>
      </c>
      <c r="V16" s="45">
        <v>15.4</v>
      </c>
      <c r="W16" s="45">
        <v>15.4</v>
      </c>
      <c r="X16" s="45">
        <v>15.4</v>
      </c>
      <c r="Y16" s="45">
        <v>15.4</v>
      </c>
      <c r="Z16" s="45">
        <v>15.4</v>
      </c>
      <c r="AA16" s="45">
        <v>15.4</v>
      </c>
      <c r="AB16" s="45">
        <v>16</v>
      </c>
      <c r="AC16" s="45">
        <v>16</v>
      </c>
      <c r="AD16" s="45">
        <v>16</v>
      </c>
      <c r="AE16" s="45">
        <v>16</v>
      </c>
      <c r="AF16" s="45">
        <v>16</v>
      </c>
      <c r="AG16" s="52">
        <v>30</v>
      </c>
      <c r="AH16" s="48">
        <f t="shared" si="2"/>
        <v>17</v>
      </c>
      <c r="AI16" s="49">
        <f t="shared" si="3"/>
        <v>10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14.8</v>
      </c>
      <c r="C17" s="45">
        <v>14.8</v>
      </c>
      <c r="D17" s="45">
        <v>14.8</v>
      </c>
      <c r="E17" s="45">
        <v>14.8</v>
      </c>
      <c r="F17" s="45">
        <v>14.8</v>
      </c>
      <c r="G17" s="45">
        <v>14.8</v>
      </c>
      <c r="H17" s="45">
        <v>14.8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13.9</v>
      </c>
      <c r="V17" s="45">
        <v>13.9</v>
      </c>
      <c r="W17" s="45">
        <v>13.9</v>
      </c>
      <c r="X17" s="45">
        <v>13.9</v>
      </c>
      <c r="Y17" s="45">
        <v>13.9</v>
      </c>
      <c r="Z17" s="45">
        <v>13.9</v>
      </c>
      <c r="AA17" s="45">
        <v>13.9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51">
        <v>24.2</v>
      </c>
      <c r="AH17" s="48">
        <f t="shared" si="2"/>
        <v>14.8</v>
      </c>
      <c r="AI17" s="49">
        <f t="shared" si="3"/>
        <v>13.9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15.5</v>
      </c>
      <c r="O18" s="45">
        <v>15.5</v>
      </c>
      <c r="P18" s="45">
        <v>15.5</v>
      </c>
      <c r="Q18" s="45">
        <v>15.5</v>
      </c>
      <c r="R18" s="45">
        <v>15.5</v>
      </c>
      <c r="S18" s="45">
        <v>15.5</v>
      </c>
      <c r="T18" s="45">
        <v>15.5</v>
      </c>
      <c r="U18" s="45">
        <v>15.5</v>
      </c>
      <c r="V18" s="45">
        <v>15.5</v>
      </c>
      <c r="W18" s="45">
        <v>15.5</v>
      </c>
      <c r="X18" s="45">
        <v>15.5</v>
      </c>
      <c r="Y18" s="45">
        <v>15.5</v>
      </c>
      <c r="Z18" s="45">
        <v>15.5</v>
      </c>
      <c r="AA18" s="45">
        <v>15.5</v>
      </c>
      <c r="AB18" s="45">
        <v>15.5</v>
      </c>
      <c r="AC18" s="45">
        <v>15.5</v>
      </c>
      <c r="AD18" s="45">
        <v>15.5</v>
      </c>
      <c r="AE18" s="45">
        <v>15.5</v>
      </c>
      <c r="AF18" s="45">
        <v>15.5</v>
      </c>
      <c r="AG18" s="51">
        <v>28</v>
      </c>
      <c r="AH18" s="48">
        <f t="shared" si="2"/>
        <v>15.5</v>
      </c>
      <c r="AI18" s="49">
        <f t="shared" si="3"/>
        <v>15.5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58" t="s">
        <v>25</v>
      </c>
      <c r="B19" s="45">
        <v>10</v>
      </c>
      <c r="C19" s="45">
        <v>10</v>
      </c>
      <c r="D19" s="45">
        <v>10</v>
      </c>
      <c r="E19" s="45">
        <v>10</v>
      </c>
      <c r="F19" s="45">
        <v>10</v>
      </c>
      <c r="G19" s="45">
        <v>19</v>
      </c>
      <c r="H19" s="45">
        <v>19</v>
      </c>
      <c r="I19" s="45">
        <v>19</v>
      </c>
      <c r="J19" s="45">
        <v>19</v>
      </c>
      <c r="K19" s="45">
        <v>19</v>
      </c>
      <c r="L19" s="45">
        <v>19</v>
      </c>
      <c r="M19" s="45">
        <v>19</v>
      </c>
      <c r="N19" s="45">
        <v>19</v>
      </c>
      <c r="O19" s="45">
        <v>19</v>
      </c>
      <c r="P19" s="45">
        <v>19</v>
      </c>
      <c r="Q19" s="45">
        <v>19</v>
      </c>
      <c r="R19" s="45">
        <v>19</v>
      </c>
      <c r="S19" s="45">
        <v>19</v>
      </c>
      <c r="T19" s="45">
        <v>19</v>
      </c>
      <c r="U19" s="45">
        <v>0</v>
      </c>
      <c r="V19" s="45">
        <v>0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17.5</v>
      </c>
      <c r="AC19" s="45">
        <v>17.5</v>
      </c>
      <c r="AD19" s="45">
        <v>17.5</v>
      </c>
      <c r="AE19" s="45">
        <v>17.5</v>
      </c>
      <c r="AF19" s="45">
        <v>17.5</v>
      </c>
      <c r="AG19" s="52">
        <v>30</v>
      </c>
      <c r="AH19" s="48">
        <f t="shared" si="2"/>
        <v>19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16.8</v>
      </c>
      <c r="C20" s="45">
        <v>16.8</v>
      </c>
      <c r="D20" s="45">
        <v>16.8</v>
      </c>
      <c r="E20" s="45">
        <v>16.8</v>
      </c>
      <c r="F20" s="45">
        <v>16.8</v>
      </c>
      <c r="G20" s="45">
        <v>16.8</v>
      </c>
      <c r="H20" s="45">
        <v>16.8</v>
      </c>
      <c r="I20" s="45">
        <v>16.8</v>
      </c>
      <c r="J20" s="45">
        <v>16.8</v>
      </c>
      <c r="K20" s="45">
        <v>16.8</v>
      </c>
      <c r="L20" s="45">
        <v>16.8</v>
      </c>
      <c r="M20" s="45">
        <v>16.8</v>
      </c>
      <c r="N20" s="45">
        <v>16.8</v>
      </c>
      <c r="O20" s="45">
        <v>16.8</v>
      </c>
      <c r="P20" s="45">
        <v>16.8</v>
      </c>
      <c r="Q20" s="45">
        <v>16.8</v>
      </c>
      <c r="R20" s="45">
        <v>16.8</v>
      </c>
      <c r="S20" s="45">
        <v>16.8</v>
      </c>
      <c r="T20" s="45">
        <v>16.8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16.8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13</v>
      </c>
      <c r="C23" s="45">
        <v>13</v>
      </c>
      <c r="D23" s="45">
        <v>13</v>
      </c>
      <c r="E23" s="45">
        <v>16</v>
      </c>
      <c r="F23" s="45">
        <v>16</v>
      </c>
      <c r="G23" s="45">
        <v>16</v>
      </c>
      <c r="H23" s="45">
        <v>16</v>
      </c>
      <c r="I23" s="45">
        <v>16</v>
      </c>
      <c r="J23" s="45">
        <v>16</v>
      </c>
      <c r="K23" s="45">
        <v>16</v>
      </c>
      <c r="L23" s="45">
        <v>16</v>
      </c>
      <c r="M23" s="45">
        <v>16</v>
      </c>
      <c r="N23" s="45">
        <v>16</v>
      </c>
      <c r="O23" s="45">
        <v>16</v>
      </c>
      <c r="P23" s="45">
        <v>16</v>
      </c>
      <c r="Q23" s="45">
        <v>16</v>
      </c>
      <c r="R23" s="45">
        <v>16</v>
      </c>
      <c r="S23" s="45">
        <v>16</v>
      </c>
      <c r="T23" s="45">
        <v>16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16</v>
      </c>
      <c r="AI23" s="49">
        <f t="shared" si="3"/>
        <v>13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14.5</v>
      </c>
      <c r="C24" s="45">
        <v>14.5</v>
      </c>
      <c r="D24" s="45">
        <v>14.5</v>
      </c>
      <c r="E24" s="45">
        <v>14.5</v>
      </c>
      <c r="F24" s="45">
        <v>14.5</v>
      </c>
      <c r="G24" s="45">
        <v>14.5</v>
      </c>
      <c r="H24" s="45">
        <v>14.5</v>
      </c>
      <c r="I24" s="45">
        <v>14.5</v>
      </c>
      <c r="J24" s="45">
        <v>14.5</v>
      </c>
      <c r="K24" s="45">
        <v>14.5</v>
      </c>
      <c r="L24" s="45">
        <v>14.5</v>
      </c>
      <c r="M24" s="45">
        <v>14.5</v>
      </c>
      <c r="N24" s="45">
        <v>14.5</v>
      </c>
      <c r="O24" s="45">
        <v>14.5</v>
      </c>
      <c r="P24" s="45">
        <v>14.5</v>
      </c>
      <c r="Q24" s="45">
        <v>14.5</v>
      </c>
      <c r="R24" s="45">
        <v>14.5</v>
      </c>
      <c r="S24" s="45">
        <v>14.5</v>
      </c>
      <c r="T24" s="45">
        <v>14.5</v>
      </c>
      <c r="U24" s="45">
        <v>12.3</v>
      </c>
      <c r="V24" s="45">
        <v>12.3</v>
      </c>
      <c r="W24" s="45">
        <v>12.3</v>
      </c>
      <c r="X24" s="45">
        <v>12.3</v>
      </c>
      <c r="Y24" s="45">
        <v>12.3</v>
      </c>
      <c r="Z24" s="45">
        <v>12.3</v>
      </c>
      <c r="AA24" s="45">
        <v>12.3</v>
      </c>
      <c r="AB24" s="45">
        <v>12.3</v>
      </c>
      <c r="AC24" s="45">
        <v>12.3</v>
      </c>
      <c r="AD24" s="45">
        <v>12.3</v>
      </c>
      <c r="AE24" s="45">
        <v>12.3</v>
      </c>
      <c r="AF24" s="45">
        <v>12.3</v>
      </c>
      <c r="AG24" s="51">
        <v>23.5</v>
      </c>
      <c r="AH24" s="48">
        <f t="shared" si="2"/>
        <v>14.5</v>
      </c>
      <c r="AI24" s="49">
        <f t="shared" si="3"/>
        <v>12.3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5</v>
      </c>
      <c r="C29" s="45">
        <v>5</v>
      </c>
      <c r="D29" s="45">
        <v>5</v>
      </c>
      <c r="E29" s="45">
        <v>5</v>
      </c>
      <c r="F29" s="45">
        <v>5</v>
      </c>
      <c r="G29" s="45">
        <v>5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1">
        <v>12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3</v>
      </c>
      <c r="C35" s="45">
        <v>3</v>
      </c>
      <c r="D35" s="45">
        <v>3</v>
      </c>
      <c r="E35" s="45">
        <v>3</v>
      </c>
      <c r="F35" s="45">
        <v>3</v>
      </c>
      <c r="G35" s="45">
        <v>3</v>
      </c>
      <c r="H35" s="45">
        <v>3</v>
      </c>
      <c r="I35" s="45">
        <v>3</v>
      </c>
      <c r="J35" s="45">
        <v>3</v>
      </c>
      <c r="K35" s="45">
        <v>3</v>
      </c>
      <c r="L35" s="45">
        <v>3</v>
      </c>
      <c r="M35" s="45">
        <v>3</v>
      </c>
      <c r="N35" s="45">
        <v>3</v>
      </c>
      <c r="O35" s="45">
        <v>3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8</v>
      </c>
      <c r="V35" s="45">
        <v>8</v>
      </c>
      <c r="W35" s="45">
        <v>8</v>
      </c>
      <c r="X35" s="45">
        <v>8</v>
      </c>
      <c r="Y35" s="45">
        <v>8</v>
      </c>
      <c r="Z35" s="45">
        <v>8</v>
      </c>
      <c r="AA35" s="45">
        <v>8</v>
      </c>
      <c r="AB35" s="45">
        <v>7</v>
      </c>
      <c r="AC35" s="45">
        <v>7</v>
      </c>
      <c r="AD35" s="45">
        <v>6</v>
      </c>
      <c r="AE35" s="45">
        <v>6</v>
      </c>
      <c r="AF35" s="45">
        <v>6</v>
      </c>
      <c r="AG35" s="51">
        <v>12</v>
      </c>
      <c r="AH35" s="48">
        <f t="shared" si="2"/>
        <v>8</v>
      </c>
      <c r="AI35" s="49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5">
        <v>10</v>
      </c>
      <c r="AH39" s="48">
        <f t="shared" si="2"/>
        <v>7</v>
      </c>
      <c r="AI39" s="49">
        <f t="shared" si="3"/>
        <v>7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1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250</v>
      </c>
      <c r="C41" s="57">
        <v>250</v>
      </c>
      <c r="D41" s="57">
        <v>250</v>
      </c>
      <c r="E41" s="57">
        <v>250</v>
      </c>
      <c r="F41" s="57">
        <v>250</v>
      </c>
      <c r="G41" s="57">
        <v>250</v>
      </c>
      <c r="H41" s="57">
        <v>250</v>
      </c>
      <c r="I41" s="57">
        <v>250</v>
      </c>
      <c r="J41" s="57">
        <v>250</v>
      </c>
      <c r="K41" s="57">
        <v>250</v>
      </c>
      <c r="L41" s="57">
        <v>250</v>
      </c>
      <c r="M41" s="57">
        <v>250</v>
      </c>
      <c r="N41" s="57">
        <v>250</v>
      </c>
      <c r="O41" s="57">
        <v>250</v>
      </c>
      <c r="P41" s="57">
        <v>250</v>
      </c>
      <c r="Q41" s="57">
        <v>250</v>
      </c>
      <c r="R41" s="57">
        <v>250</v>
      </c>
      <c r="S41" s="57">
        <v>250</v>
      </c>
      <c r="T41" s="57">
        <v>250</v>
      </c>
      <c r="U41" s="57">
        <v>250</v>
      </c>
      <c r="V41" s="57">
        <v>250</v>
      </c>
      <c r="W41" s="57">
        <v>250</v>
      </c>
      <c r="X41" s="57">
        <v>250</v>
      </c>
      <c r="Y41" s="57">
        <v>250</v>
      </c>
      <c r="Z41" s="57">
        <v>250</v>
      </c>
      <c r="AA41" s="57">
        <v>250</v>
      </c>
      <c r="AB41" s="57">
        <v>250</v>
      </c>
      <c r="AC41" s="57">
        <v>250</v>
      </c>
      <c r="AD41" s="57">
        <v>250</v>
      </c>
      <c r="AE41" s="57">
        <v>250</v>
      </c>
      <c r="AF41" s="57">
        <v>250</v>
      </c>
      <c r="AG41" s="55">
        <v>85</v>
      </c>
      <c r="AH41" s="48">
        <f t="shared" si="2"/>
        <v>250</v>
      </c>
      <c r="AI41" s="49">
        <f t="shared" si="3"/>
        <v>250</v>
      </c>
      <c r="AK41" s="50"/>
    </row>
    <row r="42" spans="1:88" ht="15.75" thickBot="1" x14ac:dyDescent="0.3">
      <c r="A42" s="58" t="s">
        <v>47</v>
      </c>
      <c r="B42" s="59">
        <f>36.4+40.2</f>
        <v>76.599999999999994</v>
      </c>
      <c r="C42" s="59">
        <f>35.5+40.4</f>
        <v>75.900000000000006</v>
      </c>
      <c r="D42" s="59">
        <f>35.8+38.7</f>
        <v>74.5</v>
      </c>
      <c r="E42" s="59">
        <f>40.9+39.7</f>
        <v>80.599999999999994</v>
      </c>
      <c r="F42" s="59">
        <f>37.4+40.1</f>
        <v>77.5</v>
      </c>
      <c r="G42" s="59">
        <f>35.7+39.3</f>
        <v>75</v>
      </c>
      <c r="H42" s="59">
        <f>34.4+38.6</f>
        <v>73</v>
      </c>
      <c r="I42" s="59">
        <f>35.2+38.1</f>
        <v>73.300000000000011</v>
      </c>
      <c r="J42" s="59">
        <f>35.5+38.2</f>
        <v>73.7</v>
      </c>
      <c r="K42" s="59">
        <f>35.6+39.3</f>
        <v>74.900000000000006</v>
      </c>
      <c r="L42" s="57">
        <f>35.4+39.6</f>
        <v>75</v>
      </c>
      <c r="M42" s="57">
        <f>40.5+35.7</f>
        <v>76.2</v>
      </c>
      <c r="N42" s="57">
        <f>40.1+37.8</f>
        <v>77.900000000000006</v>
      </c>
      <c r="O42" s="57">
        <v>76</v>
      </c>
      <c r="P42" s="57">
        <v>77</v>
      </c>
      <c r="Q42" s="57">
        <v>78</v>
      </c>
      <c r="R42" s="57">
        <f>36.6+35.9</f>
        <v>72.5</v>
      </c>
      <c r="S42" s="57">
        <f>36.6+35.9</f>
        <v>72.5</v>
      </c>
      <c r="T42" s="57">
        <f>36.6+35.9</f>
        <v>72.5</v>
      </c>
      <c r="U42" s="59">
        <v>68.5</v>
      </c>
      <c r="V42" s="59">
        <v>68.3</v>
      </c>
      <c r="W42" s="59">
        <v>68</v>
      </c>
      <c r="X42" s="59">
        <v>60.2</v>
      </c>
      <c r="Y42" s="59">
        <v>60.5</v>
      </c>
      <c r="Z42" s="59">
        <v>61</v>
      </c>
      <c r="AA42" s="59">
        <v>68.900000000000006</v>
      </c>
      <c r="AB42" s="59">
        <v>69</v>
      </c>
      <c r="AC42" s="59">
        <f>33.3+42.6</f>
        <v>75.900000000000006</v>
      </c>
      <c r="AD42" s="59">
        <f>35.1+40.5</f>
        <v>75.599999999999994</v>
      </c>
      <c r="AE42" s="59">
        <f>35.5+40.1</f>
        <v>75.599999999999994</v>
      </c>
      <c r="AF42" s="59">
        <f>35.6+39.4</f>
        <v>75</v>
      </c>
      <c r="AG42" s="55">
        <v>240</v>
      </c>
      <c r="AH42" s="48">
        <f t="shared" si="2"/>
        <v>80.599999999999994</v>
      </c>
      <c r="AI42" s="49">
        <f t="shared" si="3"/>
        <v>60.2</v>
      </c>
      <c r="AK42" s="50"/>
    </row>
    <row r="43" spans="1:88" ht="15.75" thickBot="1" x14ac:dyDescent="0.3">
      <c r="A43" s="60" t="s">
        <v>48</v>
      </c>
      <c r="B43" s="61">
        <f t="shared" ref="B43:AG43" si="4">SUM(B11:B41)</f>
        <v>627.40000000000009</v>
      </c>
      <c r="C43" s="61">
        <f t="shared" si="4"/>
        <v>627.40000000000009</v>
      </c>
      <c r="D43" s="61">
        <f t="shared" si="4"/>
        <v>627.40000000000009</v>
      </c>
      <c r="E43" s="61">
        <f t="shared" si="4"/>
        <v>635.5</v>
      </c>
      <c r="F43" s="61">
        <f t="shared" si="4"/>
        <v>635.6</v>
      </c>
      <c r="G43" s="61">
        <f t="shared" si="4"/>
        <v>655.40000000000009</v>
      </c>
      <c r="H43" s="61">
        <f t="shared" si="4"/>
        <v>660.40000000000009</v>
      </c>
      <c r="I43" s="61">
        <f t="shared" si="4"/>
        <v>655.40000000000009</v>
      </c>
      <c r="J43" s="61">
        <f t="shared" si="4"/>
        <v>655.40000000000009</v>
      </c>
      <c r="K43" s="61">
        <f t="shared" si="4"/>
        <v>655.40000000000009</v>
      </c>
      <c r="L43" s="61">
        <f t="shared" si="4"/>
        <v>655.40000000000009</v>
      </c>
      <c r="M43" s="61">
        <f t="shared" si="4"/>
        <v>656.40000000000009</v>
      </c>
      <c r="N43" s="61">
        <f t="shared" si="4"/>
        <v>657.40000000000009</v>
      </c>
      <c r="O43" s="61">
        <f t="shared" si="4"/>
        <v>657.40000000000009</v>
      </c>
      <c r="P43" s="61">
        <f t="shared" si="4"/>
        <v>654.40000000000009</v>
      </c>
      <c r="Q43" s="61">
        <f t="shared" si="4"/>
        <v>654.40000000000009</v>
      </c>
      <c r="R43" s="61">
        <f t="shared" si="4"/>
        <v>654.40000000000009</v>
      </c>
      <c r="S43" s="61">
        <f t="shared" si="4"/>
        <v>653.90000000000009</v>
      </c>
      <c r="T43" s="61">
        <f t="shared" si="4"/>
        <v>653.90000000000009</v>
      </c>
      <c r="U43" s="61">
        <f t="shared" si="4"/>
        <v>637</v>
      </c>
      <c r="V43" s="61">
        <f t="shared" si="4"/>
        <v>635</v>
      </c>
      <c r="W43" s="61">
        <f t="shared" si="4"/>
        <v>652.5</v>
      </c>
      <c r="X43" s="61">
        <f t="shared" si="4"/>
        <v>652.5</v>
      </c>
      <c r="Y43" s="61">
        <f t="shared" si="4"/>
        <v>652.5</v>
      </c>
      <c r="Z43" s="61">
        <f t="shared" si="4"/>
        <v>652.5</v>
      </c>
      <c r="AA43" s="61">
        <f t="shared" si="4"/>
        <v>656</v>
      </c>
      <c r="AB43" s="61">
        <f t="shared" si="4"/>
        <v>655.5</v>
      </c>
      <c r="AC43" s="61">
        <f t="shared" si="4"/>
        <v>655.5</v>
      </c>
      <c r="AD43" s="61">
        <f t="shared" si="4"/>
        <v>654.5</v>
      </c>
      <c r="AE43" s="61">
        <f t="shared" si="4"/>
        <v>654.5</v>
      </c>
      <c r="AF43" s="61">
        <f t="shared" si="4"/>
        <v>654.5</v>
      </c>
      <c r="AG43" s="62">
        <f t="shared" si="4"/>
        <v>796.78000000000009</v>
      </c>
      <c r="AH43" s="48">
        <f t="shared" si="2"/>
        <v>660.40000000000009</v>
      </c>
      <c r="AI43" s="49">
        <f t="shared" si="3"/>
        <v>627.40000000000009</v>
      </c>
      <c r="AK43" s="50"/>
    </row>
    <row r="44" spans="1:88" x14ac:dyDescent="0.25">
      <c r="A44" s="63" t="s">
        <v>49</v>
      </c>
      <c r="B44" s="45">
        <v>40</v>
      </c>
      <c r="C44" s="45">
        <v>40</v>
      </c>
      <c r="D44" s="45">
        <v>20</v>
      </c>
      <c r="E44" s="45">
        <v>30</v>
      </c>
      <c r="F44" s="45">
        <v>15</v>
      </c>
      <c r="G44" s="45">
        <v>30</v>
      </c>
      <c r="H44" s="45">
        <v>70</v>
      </c>
      <c r="I44" s="45">
        <v>100</v>
      </c>
      <c r="J44" s="45">
        <v>190</v>
      </c>
      <c r="K44" s="45">
        <v>400</v>
      </c>
      <c r="L44" s="45">
        <v>456</v>
      </c>
      <c r="M44" s="45">
        <v>456</v>
      </c>
      <c r="N44" s="45">
        <v>456</v>
      </c>
      <c r="O44" s="45">
        <v>0</v>
      </c>
      <c r="P44" s="45">
        <v>0</v>
      </c>
      <c r="Q44" s="45">
        <v>0</v>
      </c>
      <c r="R44" s="45">
        <v>30</v>
      </c>
      <c r="S44" s="45">
        <v>60</v>
      </c>
      <c r="T44" s="45">
        <v>70</v>
      </c>
      <c r="U44" s="45">
        <v>110</v>
      </c>
      <c r="V44" s="45">
        <v>305</v>
      </c>
      <c r="W44" s="45">
        <v>440</v>
      </c>
      <c r="X44" s="45">
        <v>456</v>
      </c>
      <c r="Y44" s="45">
        <v>456</v>
      </c>
      <c r="Z44" s="45">
        <v>380</v>
      </c>
      <c r="AA44" s="45">
        <v>380</v>
      </c>
      <c r="AB44" s="45">
        <v>300</v>
      </c>
      <c r="AC44" s="45">
        <v>310</v>
      </c>
      <c r="AD44" s="45">
        <v>220</v>
      </c>
      <c r="AE44" s="45">
        <v>140</v>
      </c>
      <c r="AF44" s="45">
        <v>30</v>
      </c>
      <c r="AG44" s="52">
        <v>456</v>
      </c>
      <c r="AH44" s="48">
        <f t="shared" si="2"/>
        <v>456</v>
      </c>
      <c r="AI44" s="49">
        <f t="shared" si="3"/>
        <v>0</v>
      </c>
      <c r="AK44" s="50"/>
    </row>
    <row r="45" spans="1:88" x14ac:dyDescent="0.25">
      <c r="A45" s="64" t="s">
        <v>50</v>
      </c>
      <c r="B45" s="65">
        <v>57</v>
      </c>
      <c r="C45" s="65">
        <v>57</v>
      </c>
      <c r="D45" s="65">
        <v>57</v>
      </c>
      <c r="E45" s="65">
        <v>57</v>
      </c>
      <c r="F45" s="65">
        <v>57</v>
      </c>
      <c r="G45" s="65">
        <v>57</v>
      </c>
      <c r="H45" s="65">
        <v>57</v>
      </c>
      <c r="I45" s="65">
        <v>57</v>
      </c>
      <c r="J45" s="65">
        <v>57</v>
      </c>
      <c r="K45" s="65">
        <v>57</v>
      </c>
      <c r="L45" s="65">
        <v>57</v>
      </c>
      <c r="M45" s="65">
        <v>57</v>
      </c>
      <c r="N45" s="65">
        <v>57</v>
      </c>
      <c r="O45" s="65">
        <v>57</v>
      </c>
      <c r="P45" s="65">
        <v>57</v>
      </c>
      <c r="Q45" s="65">
        <v>57</v>
      </c>
      <c r="R45" s="65">
        <v>57</v>
      </c>
      <c r="S45" s="65">
        <v>50</v>
      </c>
      <c r="T45" s="65">
        <v>47</v>
      </c>
      <c r="U45" s="65">
        <v>43</v>
      </c>
      <c r="V45" s="65">
        <v>43.5</v>
      </c>
      <c r="W45" s="65">
        <v>44</v>
      </c>
      <c r="X45" s="65">
        <v>43</v>
      </c>
      <c r="Y45" s="65">
        <v>43</v>
      </c>
      <c r="Z45" s="65">
        <v>57</v>
      </c>
      <c r="AA45" s="65">
        <v>60</v>
      </c>
      <c r="AB45" s="65">
        <v>60</v>
      </c>
      <c r="AC45" s="65">
        <v>60</v>
      </c>
      <c r="AD45" s="65">
        <v>60</v>
      </c>
      <c r="AE45" s="65">
        <v>60</v>
      </c>
      <c r="AF45" s="65">
        <v>60</v>
      </c>
      <c r="AG45" s="55">
        <v>60</v>
      </c>
      <c r="AH45" s="48">
        <f t="shared" si="2"/>
        <v>60</v>
      </c>
      <c r="AI45" s="49">
        <f t="shared" si="3"/>
        <v>43</v>
      </c>
      <c r="AK45" s="50"/>
    </row>
    <row r="46" spans="1:88" ht="15.75" thickBot="1" x14ac:dyDescent="0.3">
      <c r="A46" s="66" t="s">
        <v>51</v>
      </c>
      <c r="B46" s="67">
        <v>20.100000000000001</v>
      </c>
      <c r="C46" s="67">
        <v>20.5</v>
      </c>
      <c r="D46" s="67">
        <v>20.6</v>
      </c>
      <c r="E46" s="67">
        <v>20.6</v>
      </c>
      <c r="F46" s="67">
        <v>21.6</v>
      </c>
      <c r="G46" s="67">
        <v>21.6</v>
      </c>
      <c r="H46" s="67">
        <v>21.5</v>
      </c>
      <c r="I46" s="67">
        <v>21.6</v>
      </c>
      <c r="J46" s="67">
        <v>21.6</v>
      </c>
      <c r="K46" s="67">
        <v>21.6</v>
      </c>
      <c r="L46" s="67">
        <v>21.6</v>
      </c>
      <c r="M46" s="67">
        <v>21.6</v>
      </c>
      <c r="N46" s="67">
        <v>21.6</v>
      </c>
      <c r="O46" s="67">
        <v>21.6</v>
      </c>
      <c r="P46" s="67">
        <v>21.6</v>
      </c>
      <c r="Q46" s="67">
        <v>21.6</v>
      </c>
      <c r="R46" s="67">
        <v>20.2</v>
      </c>
      <c r="S46" s="67">
        <v>20.2</v>
      </c>
      <c r="T46" s="67">
        <v>20.2</v>
      </c>
      <c r="U46" s="67">
        <v>20.100000000000001</v>
      </c>
      <c r="V46" s="67">
        <v>20.100000000000001</v>
      </c>
      <c r="W46" s="67">
        <v>20.3</v>
      </c>
      <c r="X46" s="67">
        <v>20.3</v>
      </c>
      <c r="Y46" s="67">
        <v>20.3</v>
      </c>
      <c r="Z46" s="67">
        <v>20.6</v>
      </c>
      <c r="AA46" s="67">
        <v>20.2</v>
      </c>
      <c r="AB46" s="67">
        <v>20.100000000000001</v>
      </c>
      <c r="AC46" s="67">
        <v>20.100000000000001</v>
      </c>
      <c r="AD46" s="67">
        <v>20.100000000000001</v>
      </c>
      <c r="AE46" s="67">
        <v>20.100000000000001</v>
      </c>
      <c r="AF46" s="67">
        <v>21</v>
      </c>
      <c r="AG46" s="68">
        <v>22.1</v>
      </c>
      <c r="AH46" s="48">
        <f t="shared" si="2"/>
        <v>21.6</v>
      </c>
      <c r="AI46" s="49">
        <f t="shared" si="3"/>
        <v>20.100000000000001</v>
      </c>
      <c r="AK46" s="50"/>
    </row>
    <row r="47" spans="1:88" ht="15.75" thickBot="1" x14ac:dyDescent="0.3">
      <c r="A47" s="69" t="s">
        <v>52</v>
      </c>
      <c r="B47" s="61">
        <f t="shared" ref="B47:AG47" si="5">SUM(B44:B46)</f>
        <v>117.1</v>
      </c>
      <c r="C47" s="61">
        <f t="shared" si="5"/>
        <v>117.5</v>
      </c>
      <c r="D47" s="61">
        <f t="shared" si="5"/>
        <v>97.6</v>
      </c>
      <c r="E47" s="61">
        <f t="shared" si="5"/>
        <v>107.6</v>
      </c>
      <c r="F47" s="61">
        <f t="shared" si="5"/>
        <v>93.6</v>
      </c>
      <c r="G47" s="61">
        <f t="shared" si="5"/>
        <v>108.6</v>
      </c>
      <c r="H47" s="61">
        <f t="shared" si="5"/>
        <v>148.5</v>
      </c>
      <c r="I47" s="61">
        <f t="shared" si="5"/>
        <v>178.6</v>
      </c>
      <c r="J47" s="61">
        <f t="shared" si="5"/>
        <v>268.60000000000002</v>
      </c>
      <c r="K47" s="61">
        <f t="shared" si="5"/>
        <v>478.6</v>
      </c>
      <c r="L47" s="61">
        <f t="shared" si="5"/>
        <v>534.6</v>
      </c>
      <c r="M47" s="61">
        <f t="shared" si="5"/>
        <v>534.6</v>
      </c>
      <c r="N47" s="61">
        <f t="shared" si="5"/>
        <v>534.6</v>
      </c>
      <c r="O47" s="61">
        <f t="shared" si="5"/>
        <v>78.599999999999994</v>
      </c>
      <c r="P47" s="61">
        <f t="shared" si="5"/>
        <v>78.599999999999994</v>
      </c>
      <c r="Q47" s="61">
        <f t="shared" si="5"/>
        <v>78.599999999999994</v>
      </c>
      <c r="R47" s="61">
        <f t="shared" si="5"/>
        <v>107.2</v>
      </c>
      <c r="S47" s="61">
        <f t="shared" si="5"/>
        <v>130.19999999999999</v>
      </c>
      <c r="T47" s="61">
        <f t="shared" si="5"/>
        <v>137.19999999999999</v>
      </c>
      <c r="U47" s="61">
        <f t="shared" si="5"/>
        <v>173.1</v>
      </c>
      <c r="V47" s="61">
        <f t="shared" si="5"/>
        <v>368.6</v>
      </c>
      <c r="W47" s="61">
        <f t="shared" si="5"/>
        <v>504.3</v>
      </c>
      <c r="X47" s="61">
        <v>519.29999999999995</v>
      </c>
      <c r="Y47" s="61">
        <f t="shared" si="5"/>
        <v>519.29999999999995</v>
      </c>
      <c r="Z47" s="61">
        <f t="shared" si="5"/>
        <v>457.6</v>
      </c>
      <c r="AA47" s="61">
        <f t="shared" si="5"/>
        <v>460.2</v>
      </c>
      <c r="AB47" s="61">
        <f t="shared" si="5"/>
        <v>380.1</v>
      </c>
      <c r="AC47" s="61">
        <f t="shared" si="5"/>
        <v>390.1</v>
      </c>
      <c r="AD47" s="61">
        <f t="shared" si="5"/>
        <v>300.10000000000002</v>
      </c>
      <c r="AE47" s="61">
        <f t="shared" si="5"/>
        <v>220.1</v>
      </c>
      <c r="AF47" s="61">
        <f t="shared" si="5"/>
        <v>111</v>
      </c>
      <c r="AG47" s="62">
        <f t="shared" si="5"/>
        <v>538.1</v>
      </c>
      <c r="AH47" s="48">
        <f t="shared" si="2"/>
        <v>534.6</v>
      </c>
      <c r="AI47" s="49">
        <f t="shared" si="3"/>
        <v>78.599999999999994</v>
      </c>
      <c r="AK47" s="50"/>
    </row>
    <row r="48" spans="1:88" x14ac:dyDescent="0.25">
      <c r="A48" s="44" t="s">
        <v>53</v>
      </c>
      <c r="B48" s="45">
        <v>80</v>
      </c>
      <c r="C48" s="45">
        <v>80</v>
      </c>
      <c r="D48" s="45">
        <v>78.5</v>
      </c>
      <c r="E48" s="45">
        <v>78.5</v>
      </c>
      <c r="F48" s="45">
        <v>78.7</v>
      </c>
      <c r="G48" s="45">
        <v>95.5</v>
      </c>
      <c r="H48" s="45">
        <v>138.4</v>
      </c>
      <c r="I48" s="45">
        <v>142.9</v>
      </c>
      <c r="J48" s="45">
        <v>142.4</v>
      </c>
      <c r="K48" s="45">
        <v>142.69999999999999</v>
      </c>
      <c r="L48" s="45">
        <v>142.6</v>
      </c>
      <c r="M48" s="45">
        <v>142.6</v>
      </c>
      <c r="N48" s="45">
        <v>142.6</v>
      </c>
      <c r="O48" s="45">
        <v>142.6</v>
      </c>
      <c r="P48" s="45">
        <v>142.6</v>
      </c>
      <c r="Q48" s="45">
        <v>142.6</v>
      </c>
      <c r="R48" s="45">
        <v>142</v>
      </c>
      <c r="S48" s="45">
        <v>142</v>
      </c>
      <c r="T48" s="45">
        <v>142</v>
      </c>
      <c r="U48" s="45">
        <v>141</v>
      </c>
      <c r="V48" s="45">
        <v>142</v>
      </c>
      <c r="W48" s="45">
        <v>141.30000000000001</v>
      </c>
      <c r="X48" s="45">
        <v>141.6</v>
      </c>
      <c r="Y48" s="45">
        <v>141.6</v>
      </c>
      <c r="Z48" s="45">
        <v>141.6</v>
      </c>
      <c r="AA48" s="45">
        <v>141.6</v>
      </c>
      <c r="AB48" s="45">
        <v>132</v>
      </c>
      <c r="AC48" s="45">
        <v>132</v>
      </c>
      <c r="AD48" s="45">
        <v>132</v>
      </c>
      <c r="AE48" s="45">
        <v>132</v>
      </c>
      <c r="AF48" s="45">
        <v>132</v>
      </c>
      <c r="AG48" s="52">
        <v>144</v>
      </c>
      <c r="AH48" s="48">
        <f t="shared" si="2"/>
        <v>142.9</v>
      </c>
      <c r="AI48" s="49">
        <f t="shared" si="3"/>
        <v>78.5</v>
      </c>
      <c r="AK48" s="50"/>
    </row>
    <row r="49" spans="1:41" x14ac:dyDescent="0.25">
      <c r="A49" s="54" t="s">
        <v>54</v>
      </c>
      <c r="B49" s="65">
        <v>36.4</v>
      </c>
      <c r="C49" s="65">
        <v>36.4</v>
      </c>
      <c r="D49" s="65">
        <v>24.8</v>
      </c>
      <c r="E49" s="65">
        <v>24.8</v>
      </c>
      <c r="F49" s="65">
        <v>25.2</v>
      </c>
      <c r="G49" s="65">
        <v>44.1</v>
      </c>
      <c r="H49" s="65">
        <v>60</v>
      </c>
      <c r="I49" s="65">
        <v>70</v>
      </c>
      <c r="J49" s="65">
        <v>72.5</v>
      </c>
      <c r="K49" s="65">
        <v>73.099999999999994</v>
      </c>
      <c r="L49" s="65">
        <v>71.099999999999994</v>
      </c>
      <c r="M49" s="65">
        <v>70.7</v>
      </c>
      <c r="N49" s="65">
        <v>70.7</v>
      </c>
      <c r="O49" s="65">
        <v>70.7</v>
      </c>
      <c r="P49" s="65">
        <v>70.7</v>
      </c>
      <c r="Q49" s="65">
        <v>70.7</v>
      </c>
      <c r="R49" s="45">
        <v>71.099999999999994</v>
      </c>
      <c r="S49" s="65">
        <v>69.2</v>
      </c>
      <c r="T49" s="65">
        <v>69.2</v>
      </c>
      <c r="U49" s="65">
        <v>48.6</v>
      </c>
      <c r="V49" s="65">
        <v>52</v>
      </c>
      <c r="W49" s="65">
        <v>72.3</v>
      </c>
      <c r="X49" s="65">
        <v>70.599999999999994</v>
      </c>
      <c r="Y49" s="65">
        <v>70.599999999999994</v>
      </c>
      <c r="Z49" s="65">
        <v>70.599999999999994</v>
      </c>
      <c r="AA49" s="65">
        <v>60</v>
      </c>
      <c r="AB49" s="65">
        <v>60</v>
      </c>
      <c r="AC49" s="65">
        <v>60</v>
      </c>
      <c r="AD49" s="65">
        <v>60</v>
      </c>
      <c r="AE49" s="65">
        <v>60</v>
      </c>
      <c r="AF49" s="65">
        <v>34</v>
      </c>
      <c r="AG49" s="55">
        <v>70</v>
      </c>
      <c r="AH49" s="48">
        <f t="shared" si="2"/>
        <v>73.099999999999994</v>
      </c>
      <c r="AI49" s="49">
        <f t="shared" si="3"/>
        <v>24.8</v>
      </c>
      <c r="AK49" s="50"/>
    </row>
    <row r="50" spans="1:41" x14ac:dyDescent="0.25">
      <c r="A50" s="54" t="s">
        <v>55</v>
      </c>
      <c r="B50" s="65">
        <v>61</v>
      </c>
      <c r="C50" s="65">
        <v>61</v>
      </c>
      <c r="D50" s="65">
        <v>61</v>
      </c>
      <c r="E50" s="65">
        <v>61</v>
      </c>
      <c r="F50" s="65">
        <v>60.7</v>
      </c>
      <c r="G50" s="65">
        <v>51.4</v>
      </c>
      <c r="H50" s="65">
        <v>51.6</v>
      </c>
      <c r="I50" s="65">
        <v>59.6</v>
      </c>
      <c r="J50" s="65">
        <v>70</v>
      </c>
      <c r="K50" s="65">
        <v>69.3</v>
      </c>
      <c r="L50" s="65">
        <v>69.599999999999994</v>
      </c>
      <c r="M50" s="65">
        <v>68.599999999999994</v>
      </c>
      <c r="N50" s="65">
        <v>68.599999999999994</v>
      </c>
      <c r="O50" s="65">
        <v>68.599999999999994</v>
      </c>
      <c r="P50" s="65">
        <v>68.599999999999994</v>
      </c>
      <c r="Q50" s="65">
        <v>68.599999999999994</v>
      </c>
      <c r="R50" s="45">
        <v>68.5</v>
      </c>
      <c r="S50" s="65">
        <v>68.599999999999994</v>
      </c>
      <c r="T50" s="65">
        <v>68.599999999999994</v>
      </c>
      <c r="U50" s="65">
        <v>68.599999999999994</v>
      </c>
      <c r="V50" s="65">
        <v>60</v>
      </c>
      <c r="W50" s="65">
        <v>66.900000000000006</v>
      </c>
      <c r="X50" s="65">
        <v>69</v>
      </c>
      <c r="Y50" s="65">
        <v>69</v>
      </c>
      <c r="Z50" s="65">
        <v>69</v>
      </c>
      <c r="AA50" s="65">
        <v>68</v>
      </c>
      <c r="AB50" s="65">
        <v>68</v>
      </c>
      <c r="AC50" s="65">
        <v>68</v>
      </c>
      <c r="AD50" s="65">
        <v>68</v>
      </c>
      <c r="AE50" s="65">
        <v>68</v>
      </c>
      <c r="AF50" s="65">
        <v>68</v>
      </c>
      <c r="AG50" s="55">
        <v>69</v>
      </c>
      <c r="AH50" s="48">
        <f t="shared" si="2"/>
        <v>70</v>
      </c>
      <c r="AI50" s="49">
        <f t="shared" si="3"/>
        <v>51.4</v>
      </c>
      <c r="AK50" s="50"/>
    </row>
    <row r="51" spans="1:41" x14ac:dyDescent="0.25">
      <c r="A51" s="54" t="s">
        <v>56</v>
      </c>
      <c r="B51" s="57">
        <v>60.2</v>
      </c>
      <c r="C51" s="57">
        <v>60.2</v>
      </c>
      <c r="D51" s="57">
        <v>60.2</v>
      </c>
      <c r="E51" s="57">
        <v>60.2</v>
      </c>
      <c r="F51" s="57">
        <v>60.2</v>
      </c>
      <c r="G51" s="57">
        <v>60.2</v>
      </c>
      <c r="H51" s="57">
        <v>60.2</v>
      </c>
      <c r="I51" s="57">
        <v>60.2</v>
      </c>
      <c r="J51" s="57">
        <v>60.2</v>
      </c>
      <c r="K51" s="57">
        <v>60.2</v>
      </c>
      <c r="L51" s="57">
        <v>60.2</v>
      </c>
      <c r="M51" s="57">
        <v>60.2</v>
      </c>
      <c r="N51" s="57">
        <v>60.2</v>
      </c>
      <c r="O51" s="57">
        <v>60.2</v>
      </c>
      <c r="P51" s="57">
        <v>60.2</v>
      </c>
      <c r="Q51" s="57">
        <v>60.2</v>
      </c>
      <c r="R51" s="45">
        <v>60</v>
      </c>
      <c r="S51" s="45">
        <v>60</v>
      </c>
      <c r="T51" s="45">
        <v>60</v>
      </c>
      <c r="U51" s="45">
        <v>60</v>
      </c>
      <c r="V51" s="65">
        <v>60</v>
      </c>
      <c r="W51" s="65">
        <v>60</v>
      </c>
      <c r="X51" s="65">
        <v>60</v>
      </c>
      <c r="Y51" s="65">
        <v>60</v>
      </c>
      <c r="Z51" s="65">
        <v>60</v>
      </c>
      <c r="AA51" s="65">
        <v>60</v>
      </c>
      <c r="AB51" s="65">
        <v>60</v>
      </c>
      <c r="AC51" s="65">
        <v>60</v>
      </c>
      <c r="AD51" s="65">
        <v>60</v>
      </c>
      <c r="AE51" s="65">
        <v>60</v>
      </c>
      <c r="AF51" s="65">
        <v>60</v>
      </c>
      <c r="AG51" s="55">
        <v>60</v>
      </c>
      <c r="AH51" s="48">
        <f t="shared" si="2"/>
        <v>60.2</v>
      </c>
      <c r="AI51" s="49">
        <f t="shared" si="3"/>
        <v>60</v>
      </c>
      <c r="AK51" s="50"/>
    </row>
    <row r="52" spans="1:41" x14ac:dyDescent="0.25">
      <c r="A52" s="54" t="s">
        <v>57</v>
      </c>
      <c r="B52" s="57">
        <v>13.5</v>
      </c>
      <c r="C52" s="57">
        <v>13.5</v>
      </c>
      <c r="D52" s="57">
        <v>0</v>
      </c>
      <c r="E52" s="57">
        <v>0</v>
      </c>
      <c r="F52" s="57">
        <v>0</v>
      </c>
      <c r="G52" s="57">
        <v>13.8</v>
      </c>
      <c r="H52" s="57">
        <v>13.8</v>
      </c>
      <c r="I52" s="57">
        <v>13.7</v>
      </c>
      <c r="J52" s="57">
        <v>26.3</v>
      </c>
      <c r="K52" s="57">
        <v>30</v>
      </c>
      <c r="L52" s="57">
        <v>30</v>
      </c>
      <c r="M52" s="57">
        <v>30</v>
      </c>
      <c r="N52" s="57">
        <v>30</v>
      </c>
      <c r="O52" s="57">
        <v>15</v>
      </c>
      <c r="P52" s="57">
        <v>13</v>
      </c>
      <c r="Q52" s="57">
        <v>13</v>
      </c>
      <c r="R52" s="45">
        <v>0</v>
      </c>
      <c r="S52" s="45">
        <v>0</v>
      </c>
      <c r="T52" s="45">
        <v>0</v>
      </c>
      <c r="U52" s="45">
        <v>14</v>
      </c>
      <c r="V52" s="65">
        <v>14</v>
      </c>
      <c r="W52" s="65">
        <v>26</v>
      </c>
      <c r="X52" s="65">
        <v>26</v>
      </c>
      <c r="Y52" s="65">
        <v>26</v>
      </c>
      <c r="Z52" s="65">
        <v>26</v>
      </c>
      <c r="AA52" s="65">
        <v>15</v>
      </c>
      <c r="AB52" s="65">
        <v>15</v>
      </c>
      <c r="AC52" s="65">
        <v>15</v>
      </c>
      <c r="AD52" s="65">
        <v>15</v>
      </c>
      <c r="AE52" s="65">
        <v>15</v>
      </c>
      <c r="AF52" s="65">
        <v>15</v>
      </c>
      <c r="AG52" s="55">
        <v>30</v>
      </c>
      <c r="AH52" s="48">
        <f t="shared" si="2"/>
        <v>30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55">
        <v>25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17.3</v>
      </c>
      <c r="C54" s="65">
        <v>17.3</v>
      </c>
      <c r="D54" s="65">
        <v>17.3</v>
      </c>
      <c r="E54" s="65">
        <v>17.3</v>
      </c>
      <c r="F54" s="65">
        <v>17.3</v>
      </c>
      <c r="G54" s="65">
        <v>17.3</v>
      </c>
      <c r="H54" s="65">
        <v>17.3</v>
      </c>
      <c r="I54" s="65">
        <v>17.3</v>
      </c>
      <c r="J54" s="65">
        <v>17.3</v>
      </c>
      <c r="K54" s="65">
        <v>17.3</v>
      </c>
      <c r="L54" s="65">
        <v>17.3</v>
      </c>
      <c r="M54" s="65">
        <v>17.3</v>
      </c>
      <c r="N54" s="65">
        <v>17.3</v>
      </c>
      <c r="O54" s="65">
        <v>17.3</v>
      </c>
      <c r="P54" s="65">
        <v>17.3</v>
      </c>
      <c r="Q54" s="65">
        <v>17.3</v>
      </c>
      <c r="R54" s="65">
        <v>17.3</v>
      </c>
      <c r="S54" s="65">
        <v>17.3</v>
      </c>
      <c r="T54" s="65">
        <v>17.3</v>
      </c>
      <c r="U54" s="45">
        <v>17.3</v>
      </c>
      <c r="V54" s="45">
        <v>17.3</v>
      </c>
      <c r="W54" s="45">
        <v>17.3</v>
      </c>
      <c r="X54" s="45">
        <v>17.3</v>
      </c>
      <c r="Y54" s="45">
        <v>17.3</v>
      </c>
      <c r="Z54" s="45">
        <v>17.3</v>
      </c>
      <c r="AA54" s="45">
        <v>17.3</v>
      </c>
      <c r="AB54" s="45">
        <v>17.3</v>
      </c>
      <c r="AC54" s="45">
        <v>17.3</v>
      </c>
      <c r="AD54" s="45">
        <v>17.3</v>
      </c>
      <c r="AE54" s="45">
        <v>17.3</v>
      </c>
      <c r="AF54" s="45">
        <v>17.3</v>
      </c>
      <c r="AG54" s="55">
        <v>24</v>
      </c>
      <c r="AH54" s="48">
        <f t="shared" si="2"/>
        <v>17.3</v>
      </c>
      <c r="AI54" s="49">
        <f t="shared" si="3"/>
        <v>17.3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14.3</v>
      </c>
      <c r="C56" s="65">
        <v>14.3</v>
      </c>
      <c r="D56" s="65">
        <v>14.8</v>
      </c>
      <c r="E56" s="65">
        <v>14.8</v>
      </c>
      <c r="F56" s="65">
        <v>14.8</v>
      </c>
      <c r="G56" s="65">
        <v>14.8</v>
      </c>
      <c r="H56" s="65">
        <v>14.8</v>
      </c>
      <c r="I56" s="65">
        <v>14.8</v>
      </c>
      <c r="J56" s="65">
        <v>14.8</v>
      </c>
      <c r="K56" s="65">
        <v>14.8</v>
      </c>
      <c r="L56" s="65">
        <v>14.8</v>
      </c>
      <c r="M56" s="65">
        <v>14.8</v>
      </c>
      <c r="N56" s="65">
        <v>14.8</v>
      </c>
      <c r="O56" s="65">
        <v>14.8</v>
      </c>
      <c r="P56" s="65">
        <v>14.8</v>
      </c>
      <c r="Q56" s="65">
        <v>14.8</v>
      </c>
      <c r="R56" s="65">
        <v>14.8</v>
      </c>
      <c r="S56" s="65">
        <v>14.8</v>
      </c>
      <c r="T56" s="65">
        <v>14.8</v>
      </c>
      <c r="U56" s="65">
        <v>14</v>
      </c>
      <c r="V56" s="65">
        <v>14</v>
      </c>
      <c r="W56" s="65">
        <v>13.6</v>
      </c>
      <c r="X56" s="65">
        <v>13.5</v>
      </c>
      <c r="Y56" s="65">
        <v>13.5</v>
      </c>
      <c r="Z56" s="65">
        <v>13.5</v>
      </c>
      <c r="AA56" s="65">
        <v>13.5</v>
      </c>
      <c r="AB56" s="65">
        <v>13.5</v>
      </c>
      <c r="AC56" s="65">
        <v>13.5</v>
      </c>
      <c r="AD56" s="65">
        <v>13.5</v>
      </c>
      <c r="AE56" s="65">
        <v>13.5</v>
      </c>
      <c r="AF56" s="65">
        <v>13.5</v>
      </c>
      <c r="AG56" s="55">
        <v>14.1</v>
      </c>
      <c r="AH56" s="48">
        <f t="shared" si="2"/>
        <v>14.8</v>
      </c>
      <c r="AI56" s="49">
        <f t="shared" si="3"/>
        <v>13.5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8.4</v>
      </c>
      <c r="C57" s="65">
        <v>8.4</v>
      </c>
      <c r="D57" s="65">
        <v>8.4</v>
      </c>
      <c r="E57" s="65">
        <v>8.4</v>
      </c>
      <c r="F57" s="65">
        <v>8.4</v>
      </c>
      <c r="G57" s="65">
        <v>8.4</v>
      </c>
      <c r="H57" s="65">
        <v>8.4</v>
      </c>
      <c r="I57" s="65">
        <v>8.4</v>
      </c>
      <c r="J57" s="65">
        <v>8.4</v>
      </c>
      <c r="K57" s="65">
        <v>8.4</v>
      </c>
      <c r="L57" s="65">
        <v>8.4</v>
      </c>
      <c r="M57" s="65">
        <v>8.4</v>
      </c>
      <c r="N57" s="65">
        <v>8.4</v>
      </c>
      <c r="O57" s="65">
        <v>8.4</v>
      </c>
      <c r="P57" s="65">
        <v>8.4</v>
      </c>
      <c r="Q57" s="65">
        <v>8.4</v>
      </c>
      <c r="R57" s="65">
        <v>8.4</v>
      </c>
      <c r="S57" s="65">
        <v>8.4</v>
      </c>
      <c r="T57" s="65">
        <v>8.4</v>
      </c>
      <c r="U57" s="65">
        <v>8.3000000000000007</v>
      </c>
      <c r="V57" s="65">
        <v>8.3000000000000007</v>
      </c>
      <c r="W57" s="65">
        <v>9.5</v>
      </c>
      <c r="X57" s="65">
        <v>9.1999999999999993</v>
      </c>
      <c r="Y57" s="65">
        <v>9.1999999999999993</v>
      </c>
      <c r="Z57" s="65">
        <v>9.1999999999999993</v>
      </c>
      <c r="AA57" s="65">
        <v>9.1999999999999993</v>
      </c>
      <c r="AB57" s="65">
        <v>9.1999999999999993</v>
      </c>
      <c r="AC57" s="65">
        <v>9.1999999999999993</v>
      </c>
      <c r="AD57" s="65">
        <v>9.1999999999999993</v>
      </c>
      <c r="AE57" s="65">
        <v>9.1999999999999993</v>
      </c>
      <c r="AF57" s="65">
        <v>9.1999999999999993</v>
      </c>
      <c r="AG57" s="55">
        <v>14</v>
      </c>
      <c r="AH57" s="48">
        <f t="shared" si="2"/>
        <v>9.5</v>
      </c>
      <c r="AI57" s="49">
        <f t="shared" si="3"/>
        <v>8.3000000000000007</v>
      </c>
      <c r="AK57" s="50"/>
    </row>
    <row r="58" spans="1:41" x14ac:dyDescent="0.25">
      <c r="A58" s="54" t="s">
        <v>63</v>
      </c>
      <c r="B58" s="65">
        <v>6.2</v>
      </c>
      <c r="C58" s="65">
        <v>6.2</v>
      </c>
      <c r="D58" s="65">
        <v>6.2</v>
      </c>
      <c r="E58" s="65">
        <v>6.2</v>
      </c>
      <c r="F58" s="65">
        <v>6.2</v>
      </c>
      <c r="G58" s="65">
        <v>6.2</v>
      </c>
      <c r="H58" s="65">
        <v>6.2</v>
      </c>
      <c r="I58" s="65">
        <v>6.2</v>
      </c>
      <c r="J58" s="65">
        <v>6.2</v>
      </c>
      <c r="K58" s="65">
        <v>6.2</v>
      </c>
      <c r="L58" s="65">
        <v>6.2</v>
      </c>
      <c r="M58" s="65">
        <v>6.2</v>
      </c>
      <c r="N58" s="65">
        <v>6.2</v>
      </c>
      <c r="O58" s="65">
        <v>6.2</v>
      </c>
      <c r="P58" s="65">
        <v>6.2</v>
      </c>
      <c r="Q58" s="65">
        <v>6.2</v>
      </c>
      <c r="R58" s="65">
        <v>6.2</v>
      </c>
      <c r="S58" s="65">
        <v>6.2</v>
      </c>
      <c r="T58" s="65">
        <v>6.2</v>
      </c>
      <c r="U58" s="65">
        <v>6.2</v>
      </c>
      <c r="V58" s="65">
        <v>6.2</v>
      </c>
      <c r="W58" s="65">
        <v>6.2</v>
      </c>
      <c r="X58" s="65">
        <v>6.2</v>
      </c>
      <c r="Y58" s="65">
        <v>6.2</v>
      </c>
      <c r="Z58" s="65">
        <v>6.2</v>
      </c>
      <c r="AA58" s="65">
        <v>6.2</v>
      </c>
      <c r="AB58" s="65">
        <v>6.2</v>
      </c>
      <c r="AC58" s="65">
        <v>6.2</v>
      </c>
      <c r="AD58" s="65">
        <v>6.2</v>
      </c>
      <c r="AE58" s="65">
        <v>6.2</v>
      </c>
      <c r="AF58" s="65">
        <v>6.2</v>
      </c>
      <c r="AG58" s="55">
        <v>10.050000000000001</v>
      </c>
      <c r="AH58" s="48">
        <f t="shared" si="2"/>
        <v>6.2</v>
      </c>
      <c r="AI58" s="49">
        <f t="shared" si="3"/>
        <v>6.2</v>
      </c>
      <c r="AK58" s="50"/>
    </row>
    <row r="59" spans="1:41" x14ac:dyDescent="0.25">
      <c r="A59" s="54" t="s">
        <v>64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5">
        <v>6.2</v>
      </c>
      <c r="AH59" s="48">
        <f t="shared" si="2"/>
        <v>4.2</v>
      </c>
      <c r="AI59" s="49">
        <f t="shared" si="3"/>
        <v>4.2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</v>
      </c>
      <c r="AK60" s="50"/>
    </row>
    <row r="61" spans="1:41" ht="15.75" thickBot="1" x14ac:dyDescent="0.3">
      <c r="A61" s="74" t="s">
        <v>66</v>
      </c>
      <c r="B61" s="61">
        <f t="shared" ref="B61:AG61" si="6">SUM(B48:B60)</f>
        <v>305.04000000000002</v>
      </c>
      <c r="C61" s="61">
        <f t="shared" si="6"/>
        <v>305.04000000000002</v>
      </c>
      <c r="D61" s="61">
        <f t="shared" si="6"/>
        <v>278.94</v>
      </c>
      <c r="E61" s="61">
        <f t="shared" si="6"/>
        <v>278.94</v>
      </c>
      <c r="F61" s="61">
        <f t="shared" si="6"/>
        <v>279.24</v>
      </c>
      <c r="G61" s="61">
        <f t="shared" si="6"/>
        <v>319.44</v>
      </c>
      <c r="H61" s="61">
        <f t="shared" si="6"/>
        <v>378.44</v>
      </c>
      <c r="I61" s="61">
        <f t="shared" si="6"/>
        <v>400.84</v>
      </c>
      <c r="J61" s="61">
        <f t="shared" si="6"/>
        <v>425.84</v>
      </c>
      <c r="K61" s="61">
        <f t="shared" si="6"/>
        <v>429.73999999999995</v>
      </c>
      <c r="L61" s="61">
        <f t="shared" si="6"/>
        <v>427.93999999999994</v>
      </c>
      <c r="M61" s="61">
        <f t="shared" si="6"/>
        <v>426.53999999999996</v>
      </c>
      <c r="N61" s="61">
        <f t="shared" si="6"/>
        <v>426.53999999999996</v>
      </c>
      <c r="O61" s="61">
        <f t="shared" si="6"/>
        <v>411.53999999999996</v>
      </c>
      <c r="P61" s="61">
        <f t="shared" si="6"/>
        <v>409.53999999999996</v>
      </c>
      <c r="Q61" s="61">
        <f t="shared" si="6"/>
        <v>409.53999999999996</v>
      </c>
      <c r="R61" s="61">
        <f t="shared" si="6"/>
        <v>396.04</v>
      </c>
      <c r="S61" s="61">
        <f t="shared" si="6"/>
        <v>394.23999999999995</v>
      </c>
      <c r="T61" s="61">
        <f t="shared" si="6"/>
        <v>394.23999999999995</v>
      </c>
      <c r="U61" s="61">
        <f t="shared" si="6"/>
        <v>385.74</v>
      </c>
      <c r="V61" s="61">
        <f t="shared" si="6"/>
        <v>381.54</v>
      </c>
      <c r="W61" s="61">
        <f t="shared" si="6"/>
        <v>420.84000000000003</v>
      </c>
      <c r="X61" s="61">
        <f t="shared" si="6"/>
        <v>421.09999999999997</v>
      </c>
      <c r="Y61" s="61">
        <f t="shared" si="6"/>
        <v>421.14</v>
      </c>
      <c r="Z61" s="61">
        <f t="shared" si="6"/>
        <v>421.14</v>
      </c>
      <c r="AA61" s="61">
        <f t="shared" si="6"/>
        <v>398.54</v>
      </c>
      <c r="AB61" s="61">
        <f t="shared" si="6"/>
        <v>388.94</v>
      </c>
      <c r="AC61" s="61">
        <f t="shared" si="6"/>
        <v>388.94</v>
      </c>
      <c r="AD61" s="61">
        <f t="shared" si="6"/>
        <v>388.94</v>
      </c>
      <c r="AE61" s="61">
        <f t="shared" si="6"/>
        <v>388.94</v>
      </c>
      <c r="AF61" s="61">
        <f t="shared" si="6"/>
        <v>362.94</v>
      </c>
      <c r="AG61" s="62">
        <f t="shared" si="6"/>
        <v>489.91</v>
      </c>
      <c r="AH61" s="48">
        <f t="shared" si="2"/>
        <v>429.73999999999995</v>
      </c>
      <c r="AI61" s="49">
        <f t="shared" si="3"/>
        <v>278.94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10</v>
      </c>
      <c r="M62" s="45">
        <v>9.1999999999999993</v>
      </c>
      <c r="N62" s="45">
        <v>0</v>
      </c>
      <c r="O62" s="45">
        <v>60</v>
      </c>
      <c r="P62" s="45">
        <v>50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10</v>
      </c>
      <c r="W62" s="45">
        <v>20.3</v>
      </c>
      <c r="X62" s="45">
        <v>60.3</v>
      </c>
      <c r="Y62" s="45">
        <v>54.4</v>
      </c>
      <c r="Z62" s="45">
        <v>20</v>
      </c>
      <c r="AA62" s="45">
        <v>10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52">
        <v>60</v>
      </c>
      <c r="AH62" s="48">
        <f t="shared" si="2"/>
        <v>60.3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4</v>
      </c>
      <c r="M63" s="65">
        <v>4</v>
      </c>
      <c r="N63" s="65">
        <v>0</v>
      </c>
      <c r="O63" s="65">
        <v>28</v>
      </c>
      <c r="P63" s="65">
        <v>24</v>
      </c>
      <c r="Q63" s="65">
        <v>0</v>
      </c>
      <c r="R63" s="65">
        <v>0</v>
      </c>
      <c r="S63" s="65">
        <v>0</v>
      </c>
      <c r="T63" s="65">
        <v>0</v>
      </c>
      <c r="U63" s="65">
        <v>3.1</v>
      </c>
      <c r="V63" s="65">
        <v>3.1</v>
      </c>
      <c r="W63" s="65">
        <v>11.5</v>
      </c>
      <c r="X63" s="65">
        <v>28.6</v>
      </c>
      <c r="Y63" s="65">
        <v>25.3</v>
      </c>
      <c r="Z63" s="65">
        <v>15.2</v>
      </c>
      <c r="AA63" s="65">
        <v>6.5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  <c r="AG63" s="55">
        <v>32</v>
      </c>
      <c r="AH63" s="48">
        <f t="shared" si="2"/>
        <v>28.6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1.5</v>
      </c>
      <c r="M64" s="67">
        <v>1.4</v>
      </c>
      <c r="N64" s="67">
        <v>0</v>
      </c>
      <c r="O64" s="67">
        <v>9</v>
      </c>
      <c r="P64" s="67">
        <v>4</v>
      </c>
      <c r="Q64" s="67">
        <v>0</v>
      </c>
      <c r="R64" s="67">
        <v>0</v>
      </c>
      <c r="S64" s="67">
        <v>0</v>
      </c>
      <c r="T64" s="67">
        <v>0</v>
      </c>
      <c r="U64" s="67">
        <v>1.1000000000000001</v>
      </c>
      <c r="V64" s="67">
        <v>1.1000000000000001</v>
      </c>
      <c r="W64" s="67">
        <v>4.2</v>
      </c>
      <c r="X64" s="67">
        <v>10.4</v>
      </c>
      <c r="Y64" s="67">
        <v>9.1999999999999993</v>
      </c>
      <c r="Z64" s="67">
        <v>5.6</v>
      </c>
      <c r="AA64" s="67">
        <v>5.3</v>
      </c>
      <c r="AB64" s="67">
        <v>0</v>
      </c>
      <c r="AC64" s="67">
        <v>0</v>
      </c>
      <c r="AD64" s="67">
        <v>0</v>
      </c>
      <c r="AE64" s="67">
        <v>0</v>
      </c>
      <c r="AF64" s="67">
        <v>0</v>
      </c>
      <c r="AG64" s="68">
        <v>14</v>
      </c>
      <c r="AH64" s="48">
        <f t="shared" si="2"/>
        <v>10.4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:AG65" si="7">SUM(B62:B64)</f>
        <v>0</v>
      </c>
      <c r="C65" s="61">
        <f t="shared" si="7"/>
        <v>0</v>
      </c>
      <c r="D65" s="61">
        <f t="shared" si="7"/>
        <v>0</v>
      </c>
      <c r="E65" s="61">
        <f t="shared" si="7"/>
        <v>0</v>
      </c>
      <c r="F65" s="61">
        <f t="shared" si="7"/>
        <v>0</v>
      </c>
      <c r="G65" s="61">
        <f t="shared" si="7"/>
        <v>0</v>
      </c>
      <c r="H65" s="61">
        <f t="shared" si="7"/>
        <v>0</v>
      </c>
      <c r="I65" s="61">
        <f t="shared" si="7"/>
        <v>0</v>
      </c>
      <c r="J65" s="61">
        <f t="shared" si="7"/>
        <v>0</v>
      </c>
      <c r="K65" s="61">
        <f t="shared" si="7"/>
        <v>0</v>
      </c>
      <c r="L65" s="61">
        <f t="shared" si="7"/>
        <v>15.5</v>
      </c>
      <c r="M65" s="61">
        <f t="shared" si="7"/>
        <v>14.6</v>
      </c>
      <c r="N65" s="61">
        <f t="shared" si="7"/>
        <v>0</v>
      </c>
      <c r="O65" s="61">
        <f t="shared" si="7"/>
        <v>97</v>
      </c>
      <c r="P65" s="61">
        <f t="shared" si="7"/>
        <v>78</v>
      </c>
      <c r="Q65" s="61">
        <f t="shared" si="7"/>
        <v>0</v>
      </c>
      <c r="R65" s="61">
        <f t="shared" si="7"/>
        <v>0</v>
      </c>
      <c r="S65" s="61">
        <f t="shared" si="7"/>
        <v>0</v>
      </c>
      <c r="T65" s="61">
        <f t="shared" si="7"/>
        <v>0</v>
      </c>
      <c r="U65" s="61">
        <f t="shared" si="7"/>
        <v>4.2</v>
      </c>
      <c r="V65" s="61">
        <f t="shared" si="7"/>
        <v>14.2</v>
      </c>
      <c r="W65" s="61">
        <f t="shared" si="7"/>
        <v>36</v>
      </c>
      <c r="X65" s="61">
        <f t="shared" si="7"/>
        <v>99.300000000000011</v>
      </c>
      <c r="Y65" s="61">
        <f t="shared" si="7"/>
        <v>88.9</v>
      </c>
      <c r="Z65" s="61">
        <f t="shared" si="7"/>
        <v>40.800000000000004</v>
      </c>
      <c r="AA65" s="61">
        <f t="shared" si="7"/>
        <v>21.8</v>
      </c>
      <c r="AB65" s="61">
        <f t="shared" si="7"/>
        <v>0</v>
      </c>
      <c r="AC65" s="61">
        <f t="shared" si="7"/>
        <v>0</v>
      </c>
      <c r="AD65" s="61">
        <f t="shared" si="7"/>
        <v>0</v>
      </c>
      <c r="AE65" s="61">
        <f t="shared" si="7"/>
        <v>0</v>
      </c>
      <c r="AF65" s="61">
        <f t="shared" si="7"/>
        <v>0</v>
      </c>
      <c r="AG65" s="62">
        <f t="shared" si="7"/>
        <v>106</v>
      </c>
      <c r="AH65" s="48">
        <f t="shared" si="2"/>
        <v>99.300000000000011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25.7</v>
      </c>
      <c r="J66" s="45">
        <v>35</v>
      </c>
      <c r="K66" s="45">
        <v>36.700000000000003</v>
      </c>
      <c r="L66" s="45">
        <v>37.1</v>
      </c>
      <c r="M66" s="45">
        <v>34.299999999999997</v>
      </c>
      <c r="N66" s="45">
        <v>32.4</v>
      </c>
      <c r="O66" s="45">
        <v>20</v>
      </c>
      <c r="P66" s="45">
        <v>20</v>
      </c>
      <c r="Q66" s="45">
        <v>20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0</v>
      </c>
      <c r="X66" s="45">
        <v>44.1</v>
      </c>
      <c r="Y66" s="45">
        <v>25.2</v>
      </c>
      <c r="Z66" s="45">
        <v>17.2</v>
      </c>
      <c r="AA66" s="45">
        <v>19.2</v>
      </c>
      <c r="AB66" s="45">
        <v>16.5</v>
      </c>
      <c r="AC66" s="45">
        <v>12.3</v>
      </c>
      <c r="AD66" s="45">
        <v>10.4</v>
      </c>
      <c r="AE66" s="45">
        <v>0</v>
      </c>
      <c r="AF66" s="45">
        <v>0</v>
      </c>
      <c r="AG66" s="52"/>
      <c r="AH66" s="48">
        <f t="shared" si="2"/>
        <v>44.1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-67</v>
      </c>
      <c r="C68" s="65">
        <v>-74.2</v>
      </c>
      <c r="D68" s="65">
        <v>-65.900000000000006</v>
      </c>
      <c r="E68" s="65">
        <v>-84.8</v>
      </c>
      <c r="F68" s="65">
        <v>-95.4</v>
      </c>
      <c r="G68" s="65">
        <v>-90.4</v>
      </c>
      <c r="H68" s="65">
        <v>-82</v>
      </c>
      <c r="I68" s="65">
        <v>-86</v>
      </c>
      <c r="J68" s="65">
        <v>-109.3</v>
      </c>
      <c r="K68" s="65">
        <v>-243.3</v>
      </c>
      <c r="L68" s="65">
        <v>-195</v>
      </c>
      <c r="M68" s="65">
        <v>-196</v>
      </c>
      <c r="N68" s="65">
        <v>-200.4</v>
      </c>
      <c r="O68" s="65">
        <v>-50</v>
      </c>
      <c r="P68" s="65">
        <v>-42</v>
      </c>
      <c r="Q68" s="65">
        <v>-7</v>
      </c>
      <c r="R68" s="65">
        <v>10</v>
      </c>
      <c r="S68" s="65">
        <v>-4</v>
      </c>
      <c r="T68" s="65">
        <v>0</v>
      </c>
      <c r="U68" s="65">
        <v>5</v>
      </c>
      <c r="V68" s="65">
        <v>11</v>
      </c>
      <c r="W68" s="65">
        <v>-209</v>
      </c>
      <c r="X68" s="65">
        <v>-185</v>
      </c>
      <c r="Y68" s="65">
        <v>-235</v>
      </c>
      <c r="Z68" s="65">
        <v>-196</v>
      </c>
      <c r="AA68" s="65">
        <v>-200</v>
      </c>
      <c r="AB68" s="65">
        <v>-211</v>
      </c>
      <c r="AC68" s="65">
        <v>-257.10000000000002</v>
      </c>
      <c r="AD68" s="65">
        <v>-230</v>
      </c>
      <c r="AE68" s="65">
        <v>-217.4</v>
      </c>
      <c r="AF68" s="65">
        <v>-72</v>
      </c>
      <c r="AG68" s="75"/>
      <c r="AH68" s="48">
        <f t="shared" si="2"/>
        <v>11</v>
      </c>
      <c r="AI68" s="49">
        <f t="shared" si="3"/>
        <v>-257.10000000000002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:AF77" si="8">SUMIF(B66:B76,"&gt;0")</f>
        <v>0</v>
      </c>
      <c r="C77" s="61">
        <f t="shared" si="8"/>
        <v>0</v>
      </c>
      <c r="D77" s="61">
        <f t="shared" si="8"/>
        <v>0</v>
      </c>
      <c r="E77" s="61">
        <f t="shared" si="8"/>
        <v>0</v>
      </c>
      <c r="F77" s="61">
        <f t="shared" si="8"/>
        <v>0</v>
      </c>
      <c r="G77" s="61">
        <f t="shared" si="8"/>
        <v>0</v>
      </c>
      <c r="H77" s="61">
        <f t="shared" si="8"/>
        <v>0</v>
      </c>
      <c r="I77" s="61">
        <f t="shared" si="8"/>
        <v>25.7</v>
      </c>
      <c r="J77" s="61">
        <f t="shared" si="8"/>
        <v>35</v>
      </c>
      <c r="K77" s="61">
        <f t="shared" si="8"/>
        <v>36.700000000000003</v>
      </c>
      <c r="L77" s="61">
        <f t="shared" si="8"/>
        <v>37.1</v>
      </c>
      <c r="M77" s="61">
        <f t="shared" si="8"/>
        <v>34.299999999999997</v>
      </c>
      <c r="N77" s="61">
        <f t="shared" si="8"/>
        <v>32.4</v>
      </c>
      <c r="O77" s="61">
        <f t="shared" si="8"/>
        <v>20</v>
      </c>
      <c r="P77" s="61">
        <f t="shared" si="8"/>
        <v>20</v>
      </c>
      <c r="Q77" s="61">
        <f t="shared" si="8"/>
        <v>20</v>
      </c>
      <c r="R77" s="61">
        <f t="shared" si="8"/>
        <v>10</v>
      </c>
      <c r="S77" s="61">
        <f t="shared" si="8"/>
        <v>0</v>
      </c>
      <c r="T77" s="61">
        <f t="shared" si="8"/>
        <v>0</v>
      </c>
      <c r="U77" s="61">
        <f t="shared" si="8"/>
        <v>5</v>
      </c>
      <c r="V77" s="61">
        <f t="shared" si="8"/>
        <v>11</v>
      </c>
      <c r="W77" s="61">
        <f t="shared" si="8"/>
        <v>0</v>
      </c>
      <c r="X77" s="61">
        <f t="shared" si="8"/>
        <v>44.1</v>
      </c>
      <c r="Y77" s="61">
        <f t="shared" si="8"/>
        <v>25.2</v>
      </c>
      <c r="Z77" s="61">
        <f t="shared" si="8"/>
        <v>17.2</v>
      </c>
      <c r="AA77" s="61">
        <f t="shared" si="8"/>
        <v>19.2</v>
      </c>
      <c r="AB77" s="61">
        <f t="shared" si="8"/>
        <v>16.5</v>
      </c>
      <c r="AC77" s="61">
        <f t="shared" si="8"/>
        <v>12.3</v>
      </c>
      <c r="AD77" s="61">
        <f t="shared" si="8"/>
        <v>10.4</v>
      </c>
      <c r="AE77" s="61">
        <f t="shared" si="8"/>
        <v>0</v>
      </c>
      <c r="AF77" s="61">
        <f t="shared" si="8"/>
        <v>0</v>
      </c>
      <c r="AG77" s="81">
        <f>SUM(AG66:AG76)</f>
        <v>0</v>
      </c>
      <c r="AH77" s="48">
        <f t="shared" si="2"/>
        <v>44.1</v>
      </c>
      <c r="AI77" s="49">
        <f t="shared" si="3"/>
        <v>0</v>
      </c>
      <c r="AK77" s="50"/>
    </row>
    <row r="78" spans="1:37" x14ac:dyDescent="0.25">
      <c r="A78" s="44" t="s">
        <v>83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>
        <v>14.4</v>
      </c>
      <c r="AH79" s="48">
        <f t="shared" ref="AH79:AH112" si="9">MAX(B79:AF79)</f>
        <v>0</v>
      </c>
      <c r="AI79" s="49">
        <f t="shared" ref="AI79:AI112" si="10">MIN(B79:AF79)</f>
        <v>0</v>
      </c>
      <c r="AK79" s="50"/>
    </row>
    <row r="80" spans="1:37" ht="15.75" thickBot="1" x14ac:dyDescent="0.3">
      <c r="A80" s="78" t="s">
        <v>85</v>
      </c>
      <c r="B80" s="79">
        <v>0</v>
      </c>
      <c r="C80" s="79">
        <v>0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>
        <v>0</v>
      </c>
      <c r="N80" s="79">
        <v>0</v>
      </c>
      <c r="O80" s="79">
        <v>0</v>
      </c>
      <c r="P80" s="79">
        <v>0</v>
      </c>
      <c r="Q80" s="79">
        <v>0</v>
      </c>
      <c r="R80" s="79">
        <v>0</v>
      </c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80">
        <v>2</v>
      </c>
      <c r="AH80" s="48">
        <f t="shared" si="9"/>
        <v>0</v>
      </c>
      <c r="AI80" s="49">
        <f t="shared" si="10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87</v>
      </c>
      <c r="B82" s="83">
        <f t="shared" ref="B82:AG82" si="11">B43+B47+B65+B61+B77+B81</f>
        <v>1049.5400000000002</v>
      </c>
      <c r="C82" s="83">
        <f t="shared" si="11"/>
        <v>1049.94</v>
      </c>
      <c r="D82" s="83">
        <f t="shared" si="11"/>
        <v>1003.94</v>
      </c>
      <c r="E82" s="83">
        <f t="shared" si="11"/>
        <v>1022.04</v>
      </c>
      <c r="F82" s="83">
        <f t="shared" si="11"/>
        <v>1008.44</v>
      </c>
      <c r="G82" s="83">
        <f t="shared" si="11"/>
        <v>1083.44</v>
      </c>
      <c r="H82" s="83">
        <f t="shared" si="11"/>
        <v>1187.3400000000001</v>
      </c>
      <c r="I82" s="83">
        <f t="shared" si="11"/>
        <v>1260.5400000000002</v>
      </c>
      <c r="J82" s="83">
        <f t="shared" si="11"/>
        <v>1384.8400000000001</v>
      </c>
      <c r="K82" s="83">
        <f t="shared" si="11"/>
        <v>1600.44</v>
      </c>
      <c r="L82" s="83">
        <f t="shared" si="11"/>
        <v>1670.54</v>
      </c>
      <c r="M82" s="83">
        <f t="shared" si="11"/>
        <v>1666.4399999999998</v>
      </c>
      <c r="N82" s="83">
        <f t="shared" si="11"/>
        <v>1650.94</v>
      </c>
      <c r="O82" s="83">
        <f t="shared" si="11"/>
        <v>1264.54</v>
      </c>
      <c r="P82" s="83">
        <f t="shared" si="11"/>
        <v>1240.54</v>
      </c>
      <c r="Q82" s="83">
        <f t="shared" si="11"/>
        <v>1162.54</v>
      </c>
      <c r="R82" s="83">
        <f t="shared" si="11"/>
        <v>1167.6400000000001</v>
      </c>
      <c r="S82" s="83">
        <f t="shared" si="11"/>
        <v>1178.3400000000001</v>
      </c>
      <c r="T82" s="83">
        <f t="shared" si="11"/>
        <v>1185.3400000000001</v>
      </c>
      <c r="U82" s="83">
        <f t="shared" si="11"/>
        <v>1205.04</v>
      </c>
      <c r="V82" s="83">
        <f t="shared" si="11"/>
        <v>1410.3400000000001</v>
      </c>
      <c r="W82" s="83">
        <f t="shared" si="11"/>
        <v>1613.6399999999999</v>
      </c>
      <c r="X82" s="83">
        <f t="shared" si="11"/>
        <v>1736.2999999999997</v>
      </c>
      <c r="Y82" s="83">
        <f t="shared" si="11"/>
        <v>1707.0400000000002</v>
      </c>
      <c r="Z82" s="83">
        <f t="shared" si="11"/>
        <v>1589.24</v>
      </c>
      <c r="AA82" s="83">
        <f t="shared" si="11"/>
        <v>1555.74</v>
      </c>
      <c r="AB82" s="83">
        <f t="shared" si="11"/>
        <v>1441.04</v>
      </c>
      <c r="AC82" s="83">
        <f t="shared" si="11"/>
        <v>1446.84</v>
      </c>
      <c r="AD82" s="83">
        <f t="shared" si="11"/>
        <v>1353.94</v>
      </c>
      <c r="AE82" s="83">
        <f t="shared" si="11"/>
        <v>1263.54</v>
      </c>
      <c r="AF82" s="83">
        <f t="shared" si="11"/>
        <v>1128.44</v>
      </c>
      <c r="AG82" s="62">
        <f t="shared" si="11"/>
        <v>1986.1900000000003</v>
      </c>
      <c r="AH82" s="48">
        <f t="shared" si="9"/>
        <v>1736.2999999999997</v>
      </c>
      <c r="AI82" s="49">
        <f t="shared" si="10"/>
        <v>1003.94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>
        <v>110</v>
      </c>
      <c r="P83" s="85">
        <v>130</v>
      </c>
      <c r="Q83" s="85">
        <v>90</v>
      </c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9"/>
        <v>130</v>
      </c>
      <c r="AI83" s="49">
        <f t="shared" si="10"/>
        <v>90</v>
      </c>
    </row>
    <row r="84" spans="1:37" ht="15.75" thickBot="1" x14ac:dyDescent="0.3">
      <c r="A84" s="74" t="s">
        <v>89</v>
      </c>
      <c r="B84" s="83">
        <f t="shared" ref="B84:AF84" si="12">B82+B83</f>
        <v>1049.5400000000002</v>
      </c>
      <c r="C84" s="83">
        <f t="shared" si="12"/>
        <v>1049.94</v>
      </c>
      <c r="D84" s="83">
        <f t="shared" si="12"/>
        <v>1003.94</v>
      </c>
      <c r="E84" s="83">
        <f t="shared" si="12"/>
        <v>1022.04</v>
      </c>
      <c r="F84" s="83">
        <f t="shared" si="12"/>
        <v>1008.44</v>
      </c>
      <c r="G84" s="83">
        <f t="shared" si="12"/>
        <v>1083.44</v>
      </c>
      <c r="H84" s="83">
        <f t="shared" si="12"/>
        <v>1187.3400000000001</v>
      </c>
      <c r="I84" s="83">
        <f t="shared" si="12"/>
        <v>1260.5400000000002</v>
      </c>
      <c r="J84" s="83">
        <f t="shared" si="12"/>
        <v>1384.8400000000001</v>
      </c>
      <c r="K84" s="83">
        <f t="shared" si="12"/>
        <v>1600.44</v>
      </c>
      <c r="L84" s="83">
        <f t="shared" si="12"/>
        <v>1670.54</v>
      </c>
      <c r="M84" s="83">
        <f t="shared" si="12"/>
        <v>1666.4399999999998</v>
      </c>
      <c r="N84" s="83">
        <f t="shared" si="12"/>
        <v>1650.94</v>
      </c>
      <c r="O84" s="83">
        <f t="shared" si="12"/>
        <v>1374.54</v>
      </c>
      <c r="P84" s="83">
        <f t="shared" si="12"/>
        <v>1370.54</v>
      </c>
      <c r="Q84" s="83">
        <f t="shared" si="12"/>
        <v>1252.54</v>
      </c>
      <c r="R84" s="83">
        <f t="shared" si="12"/>
        <v>1167.6400000000001</v>
      </c>
      <c r="S84" s="83">
        <f t="shared" si="12"/>
        <v>1178.3400000000001</v>
      </c>
      <c r="T84" s="83">
        <f t="shared" si="12"/>
        <v>1185.3400000000001</v>
      </c>
      <c r="U84" s="83">
        <f t="shared" si="12"/>
        <v>1205.04</v>
      </c>
      <c r="V84" s="83">
        <f t="shared" si="12"/>
        <v>1410.3400000000001</v>
      </c>
      <c r="W84" s="83">
        <f t="shared" si="12"/>
        <v>1613.6399999999999</v>
      </c>
      <c r="X84" s="83">
        <f t="shared" si="12"/>
        <v>1736.2999999999997</v>
      </c>
      <c r="Y84" s="83">
        <f t="shared" si="12"/>
        <v>1707.0400000000002</v>
      </c>
      <c r="Z84" s="83">
        <f t="shared" si="12"/>
        <v>1589.24</v>
      </c>
      <c r="AA84" s="83">
        <f t="shared" si="12"/>
        <v>1555.74</v>
      </c>
      <c r="AB84" s="83">
        <f t="shared" si="12"/>
        <v>1441.04</v>
      </c>
      <c r="AC84" s="83">
        <f t="shared" si="12"/>
        <v>1446.84</v>
      </c>
      <c r="AD84" s="83">
        <f t="shared" si="12"/>
        <v>1353.94</v>
      </c>
      <c r="AE84" s="83">
        <f t="shared" si="12"/>
        <v>1263.54</v>
      </c>
      <c r="AF84" s="83">
        <f t="shared" si="12"/>
        <v>1128.44</v>
      </c>
      <c r="AG84" s="81">
        <f>AG81+AG77+AG65+AG61+AG43+AG83</f>
        <v>1448.0900000000001</v>
      </c>
      <c r="AH84" s="48">
        <f t="shared" si="9"/>
        <v>1736.2999999999997</v>
      </c>
      <c r="AI84" s="49">
        <f t="shared" si="10"/>
        <v>1003.94</v>
      </c>
    </row>
    <row r="85" spans="1:37" ht="15.75" thickBot="1" x14ac:dyDescent="0.3">
      <c r="A85" s="74" t="s">
        <v>90</v>
      </c>
      <c r="B85" s="83">
        <f t="shared" ref="B85:AF85" si="13">B84-B92</f>
        <v>982.54000000000019</v>
      </c>
      <c r="C85" s="83">
        <f t="shared" si="13"/>
        <v>975.74</v>
      </c>
      <c r="D85" s="83">
        <f t="shared" si="13"/>
        <v>938.04000000000008</v>
      </c>
      <c r="E85" s="83">
        <f t="shared" si="13"/>
        <v>937.24</v>
      </c>
      <c r="F85" s="83">
        <f t="shared" si="13"/>
        <v>913.04000000000008</v>
      </c>
      <c r="G85" s="83">
        <f t="shared" si="13"/>
        <v>993.04000000000008</v>
      </c>
      <c r="H85" s="83">
        <f t="shared" si="13"/>
        <v>1105.3400000000001</v>
      </c>
      <c r="I85" s="83">
        <f t="shared" si="13"/>
        <v>1174.5400000000002</v>
      </c>
      <c r="J85" s="83">
        <f t="shared" si="13"/>
        <v>1275.5400000000002</v>
      </c>
      <c r="K85" s="83">
        <f t="shared" si="13"/>
        <v>1357.14</v>
      </c>
      <c r="L85" s="83">
        <f t="shared" si="13"/>
        <v>1475.54</v>
      </c>
      <c r="M85" s="83">
        <f t="shared" si="13"/>
        <v>1470.4399999999998</v>
      </c>
      <c r="N85" s="83">
        <f t="shared" si="13"/>
        <v>1450.54</v>
      </c>
      <c r="O85" s="83">
        <f t="shared" si="13"/>
        <v>1324.54</v>
      </c>
      <c r="P85" s="83">
        <f t="shared" si="13"/>
        <v>1328.54</v>
      </c>
      <c r="Q85" s="83">
        <f t="shared" si="13"/>
        <v>1245.54</v>
      </c>
      <c r="R85" s="83">
        <f t="shared" si="13"/>
        <v>1167.6400000000001</v>
      </c>
      <c r="S85" s="83">
        <f t="shared" si="13"/>
        <v>1174.3400000000001</v>
      </c>
      <c r="T85" s="83">
        <f t="shared" si="13"/>
        <v>1185.3400000000001</v>
      </c>
      <c r="U85" s="83">
        <f t="shared" si="13"/>
        <v>1205.04</v>
      </c>
      <c r="V85" s="83">
        <f t="shared" si="13"/>
        <v>1410.3400000000001</v>
      </c>
      <c r="W85" s="83">
        <f t="shared" si="13"/>
        <v>1404.6399999999999</v>
      </c>
      <c r="X85" s="83">
        <f t="shared" si="13"/>
        <v>1551.2999999999997</v>
      </c>
      <c r="Y85" s="83">
        <f t="shared" si="13"/>
        <v>1472.0400000000002</v>
      </c>
      <c r="Z85" s="83">
        <f t="shared" si="13"/>
        <v>1393.24</v>
      </c>
      <c r="AA85" s="83">
        <f t="shared" si="13"/>
        <v>1355.74</v>
      </c>
      <c r="AB85" s="83">
        <f t="shared" si="13"/>
        <v>1230.04</v>
      </c>
      <c r="AC85" s="83">
        <f t="shared" si="13"/>
        <v>1189.7399999999998</v>
      </c>
      <c r="AD85" s="83">
        <f t="shared" si="13"/>
        <v>1123.94</v>
      </c>
      <c r="AE85" s="83">
        <f t="shared" si="13"/>
        <v>1046.1399999999999</v>
      </c>
      <c r="AF85" s="83">
        <f t="shared" si="13"/>
        <v>1056.44</v>
      </c>
      <c r="AG85" s="81"/>
      <c r="AH85" s="48">
        <f t="shared" si="9"/>
        <v>1551.2999999999997</v>
      </c>
      <c r="AI85" s="49">
        <f t="shared" si="10"/>
        <v>913.04000000000008</v>
      </c>
    </row>
    <row r="86" spans="1:37" x14ac:dyDescent="0.25">
      <c r="A86" s="44" t="s">
        <v>74</v>
      </c>
      <c r="B86" s="76">
        <f t="shared" ref="B86:AF86" si="14">IF(B69&lt;0,B69*-1,0)</f>
        <v>0</v>
      </c>
      <c r="C86" s="76">
        <f t="shared" si="14"/>
        <v>0</v>
      </c>
      <c r="D86" s="76">
        <f t="shared" si="14"/>
        <v>0</v>
      </c>
      <c r="E86" s="76">
        <f t="shared" si="14"/>
        <v>0</v>
      </c>
      <c r="F86" s="76">
        <f t="shared" si="14"/>
        <v>0</v>
      </c>
      <c r="G86" s="76">
        <f t="shared" si="14"/>
        <v>0</v>
      </c>
      <c r="H86" s="76">
        <f t="shared" si="14"/>
        <v>0</v>
      </c>
      <c r="I86" s="76">
        <f t="shared" si="14"/>
        <v>0</v>
      </c>
      <c r="J86" s="76">
        <f t="shared" si="14"/>
        <v>0</v>
      </c>
      <c r="K86" s="76">
        <f t="shared" si="14"/>
        <v>0</v>
      </c>
      <c r="L86" s="76">
        <f t="shared" si="14"/>
        <v>0</v>
      </c>
      <c r="M86" s="76">
        <f t="shared" si="14"/>
        <v>0</v>
      </c>
      <c r="N86" s="76">
        <f t="shared" si="14"/>
        <v>0</v>
      </c>
      <c r="O86" s="76">
        <f t="shared" si="14"/>
        <v>0</v>
      </c>
      <c r="P86" s="76">
        <f t="shared" si="14"/>
        <v>0</v>
      </c>
      <c r="Q86" s="76">
        <f t="shared" si="14"/>
        <v>0</v>
      </c>
      <c r="R86" s="76">
        <f t="shared" si="14"/>
        <v>0</v>
      </c>
      <c r="S86" s="76">
        <f t="shared" si="14"/>
        <v>0</v>
      </c>
      <c r="T86" s="76">
        <f t="shared" si="14"/>
        <v>0</v>
      </c>
      <c r="U86" s="76">
        <f t="shared" si="14"/>
        <v>0</v>
      </c>
      <c r="V86" s="76">
        <f t="shared" si="14"/>
        <v>0</v>
      </c>
      <c r="W86" s="76">
        <f t="shared" si="14"/>
        <v>0</v>
      </c>
      <c r="X86" s="76">
        <f t="shared" si="14"/>
        <v>0</v>
      </c>
      <c r="Y86" s="76">
        <f t="shared" si="14"/>
        <v>0</v>
      </c>
      <c r="Z86" s="76">
        <f t="shared" si="14"/>
        <v>0</v>
      </c>
      <c r="AA86" s="76">
        <f t="shared" si="14"/>
        <v>0</v>
      </c>
      <c r="AB86" s="76">
        <f t="shared" si="14"/>
        <v>0</v>
      </c>
      <c r="AC86" s="76">
        <f t="shared" si="14"/>
        <v>0</v>
      </c>
      <c r="AD86" s="76">
        <f t="shared" si="14"/>
        <v>0</v>
      </c>
      <c r="AE86" s="76">
        <f t="shared" si="14"/>
        <v>0</v>
      </c>
      <c r="AF86" s="76">
        <f t="shared" si="14"/>
        <v>0</v>
      </c>
      <c r="AG86" s="52"/>
      <c r="AH86" s="48">
        <f t="shared" si="9"/>
        <v>0</v>
      </c>
      <c r="AI86" s="49">
        <f t="shared" si="10"/>
        <v>0</v>
      </c>
    </row>
    <row r="87" spans="1:37" x14ac:dyDescent="0.25">
      <c r="A87" s="54" t="s">
        <v>72</v>
      </c>
      <c r="B87" s="76">
        <f t="shared" ref="B87:AF87" si="15">IF(B67&lt;0,B67*-1,0)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f t="shared" si="15"/>
        <v>0</v>
      </c>
      <c r="Y87" s="76">
        <f t="shared" si="15"/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5"/>
      <c r="AH87" s="48">
        <f t="shared" si="9"/>
        <v>0</v>
      </c>
      <c r="AI87" s="49">
        <f t="shared" si="10"/>
        <v>0</v>
      </c>
    </row>
    <row r="88" spans="1:37" x14ac:dyDescent="0.25">
      <c r="A88" s="78" t="s">
        <v>91</v>
      </c>
      <c r="B88" s="76">
        <f t="shared" ref="B88:AF88" si="16">IF(B70&lt;0,B70*-1,0)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f t="shared" si="16"/>
        <v>0</v>
      </c>
      <c r="Y88" s="76">
        <f t="shared" si="16"/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86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92</v>
      </c>
      <c r="B89" s="76">
        <f t="shared" ref="B89:AF89" si="17">IF(B68&lt;0,B68*-1,0)</f>
        <v>67</v>
      </c>
      <c r="C89" s="76">
        <f t="shared" si="17"/>
        <v>74.2</v>
      </c>
      <c r="D89" s="76">
        <f t="shared" si="17"/>
        <v>65.900000000000006</v>
      </c>
      <c r="E89" s="76">
        <f t="shared" si="17"/>
        <v>84.8</v>
      </c>
      <c r="F89" s="76">
        <f t="shared" si="17"/>
        <v>95.4</v>
      </c>
      <c r="G89" s="76">
        <f t="shared" si="17"/>
        <v>90.4</v>
      </c>
      <c r="H89" s="76">
        <f t="shared" si="17"/>
        <v>82</v>
      </c>
      <c r="I89" s="76">
        <f t="shared" si="17"/>
        <v>86</v>
      </c>
      <c r="J89" s="76">
        <f t="shared" si="17"/>
        <v>109.3</v>
      </c>
      <c r="K89" s="76">
        <f t="shared" si="17"/>
        <v>243.3</v>
      </c>
      <c r="L89" s="76">
        <f t="shared" si="17"/>
        <v>195</v>
      </c>
      <c r="M89" s="76">
        <f t="shared" si="17"/>
        <v>196</v>
      </c>
      <c r="N89" s="76">
        <f t="shared" si="17"/>
        <v>200.4</v>
      </c>
      <c r="O89" s="76">
        <f t="shared" si="17"/>
        <v>50</v>
      </c>
      <c r="P89" s="76">
        <f t="shared" si="17"/>
        <v>42</v>
      </c>
      <c r="Q89" s="76">
        <f t="shared" si="17"/>
        <v>7</v>
      </c>
      <c r="R89" s="76">
        <f t="shared" si="17"/>
        <v>0</v>
      </c>
      <c r="S89" s="76">
        <f t="shared" si="17"/>
        <v>4</v>
      </c>
      <c r="T89" s="76">
        <f t="shared" si="17"/>
        <v>0</v>
      </c>
      <c r="U89" s="76">
        <f t="shared" si="17"/>
        <v>0</v>
      </c>
      <c r="V89" s="76">
        <f t="shared" si="17"/>
        <v>0</v>
      </c>
      <c r="W89" s="76">
        <f t="shared" si="17"/>
        <v>209</v>
      </c>
      <c r="X89" s="76">
        <f t="shared" si="17"/>
        <v>185</v>
      </c>
      <c r="Y89" s="76">
        <f t="shared" si="17"/>
        <v>235</v>
      </c>
      <c r="Z89" s="76">
        <f t="shared" si="17"/>
        <v>196</v>
      </c>
      <c r="AA89" s="76">
        <f t="shared" si="17"/>
        <v>200</v>
      </c>
      <c r="AB89" s="76">
        <f t="shared" si="17"/>
        <v>211</v>
      </c>
      <c r="AC89" s="76">
        <f t="shared" si="17"/>
        <v>257.10000000000002</v>
      </c>
      <c r="AD89" s="76">
        <f t="shared" si="17"/>
        <v>230</v>
      </c>
      <c r="AE89" s="76">
        <f t="shared" si="17"/>
        <v>217.4</v>
      </c>
      <c r="AF89" s="76">
        <f t="shared" si="17"/>
        <v>72</v>
      </c>
      <c r="AG89" s="86"/>
      <c r="AH89" s="48">
        <f t="shared" si="9"/>
        <v>257.10000000000002</v>
      </c>
      <c r="AI89" s="49">
        <f t="shared" si="10"/>
        <v>0</v>
      </c>
    </row>
    <row r="90" spans="1:37" x14ac:dyDescent="0.25">
      <c r="A90" s="78" t="s">
        <v>71</v>
      </c>
      <c r="B90" s="76">
        <f t="shared" ref="B90:AF90" si="18">IF(B66&lt;0,B66*-1,0)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0</v>
      </c>
      <c r="K90" s="76">
        <f t="shared" si="18"/>
        <v>0</v>
      </c>
      <c r="L90" s="76">
        <f t="shared" si="18"/>
        <v>0</v>
      </c>
      <c r="M90" s="76">
        <f t="shared" si="18"/>
        <v>0</v>
      </c>
      <c r="N90" s="76">
        <f t="shared" si="18"/>
        <v>0</v>
      </c>
      <c r="O90" s="76">
        <f t="shared" si="18"/>
        <v>0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0</v>
      </c>
      <c r="T90" s="76">
        <f t="shared" si="18"/>
        <v>0</v>
      </c>
      <c r="U90" s="76">
        <f t="shared" si="18"/>
        <v>0</v>
      </c>
      <c r="V90" s="76">
        <f t="shared" si="18"/>
        <v>0</v>
      </c>
      <c r="W90" s="76">
        <f t="shared" si="18"/>
        <v>0</v>
      </c>
      <c r="X90" s="76">
        <f t="shared" si="18"/>
        <v>0</v>
      </c>
      <c r="Y90" s="76">
        <f t="shared" si="18"/>
        <v>0</v>
      </c>
      <c r="Z90" s="76">
        <f t="shared" si="18"/>
        <v>0</v>
      </c>
      <c r="AA90" s="76">
        <f t="shared" si="18"/>
        <v>0</v>
      </c>
      <c r="AB90" s="76">
        <f t="shared" si="18"/>
        <v>0</v>
      </c>
      <c r="AC90" s="76">
        <f t="shared" si="18"/>
        <v>0</v>
      </c>
      <c r="AD90" s="76">
        <f t="shared" si="18"/>
        <v>0</v>
      </c>
      <c r="AE90" s="76">
        <f t="shared" si="18"/>
        <v>0</v>
      </c>
      <c r="AF90" s="76">
        <f t="shared" si="18"/>
        <v>0</v>
      </c>
      <c r="AG90" s="86"/>
      <c r="AH90" s="48">
        <f t="shared" si="9"/>
        <v>0</v>
      </c>
      <c r="AI90" s="49">
        <f t="shared" si="10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87" t="s">
        <v>94</v>
      </c>
      <c r="B92" s="61">
        <f t="shared" ref="B92:AF92" si="19">SUM(B86:B91)</f>
        <v>67</v>
      </c>
      <c r="C92" s="61">
        <f t="shared" si="19"/>
        <v>74.2</v>
      </c>
      <c r="D92" s="61">
        <f t="shared" si="19"/>
        <v>65.900000000000006</v>
      </c>
      <c r="E92" s="61">
        <f t="shared" si="19"/>
        <v>84.8</v>
      </c>
      <c r="F92" s="61">
        <f t="shared" si="19"/>
        <v>95.4</v>
      </c>
      <c r="G92" s="61">
        <f t="shared" si="19"/>
        <v>90.4</v>
      </c>
      <c r="H92" s="61">
        <f t="shared" si="19"/>
        <v>82</v>
      </c>
      <c r="I92" s="61">
        <f t="shared" si="19"/>
        <v>86</v>
      </c>
      <c r="J92" s="61">
        <f t="shared" si="19"/>
        <v>109.3</v>
      </c>
      <c r="K92" s="61">
        <f t="shared" si="19"/>
        <v>243.3</v>
      </c>
      <c r="L92" s="61">
        <f t="shared" si="19"/>
        <v>195</v>
      </c>
      <c r="M92" s="61">
        <f t="shared" si="19"/>
        <v>196</v>
      </c>
      <c r="N92" s="61">
        <f t="shared" si="19"/>
        <v>200.4</v>
      </c>
      <c r="O92" s="61">
        <f t="shared" si="19"/>
        <v>50</v>
      </c>
      <c r="P92" s="61">
        <f t="shared" si="19"/>
        <v>42</v>
      </c>
      <c r="Q92" s="61">
        <f t="shared" si="19"/>
        <v>7</v>
      </c>
      <c r="R92" s="61">
        <f t="shared" si="19"/>
        <v>0</v>
      </c>
      <c r="S92" s="61">
        <f t="shared" si="19"/>
        <v>4</v>
      </c>
      <c r="T92" s="61">
        <f t="shared" si="19"/>
        <v>0</v>
      </c>
      <c r="U92" s="61">
        <f t="shared" si="19"/>
        <v>0</v>
      </c>
      <c r="V92" s="61">
        <f t="shared" si="19"/>
        <v>0</v>
      </c>
      <c r="W92" s="61">
        <f t="shared" si="19"/>
        <v>209</v>
      </c>
      <c r="X92" s="61">
        <f t="shared" si="19"/>
        <v>185</v>
      </c>
      <c r="Y92" s="61">
        <f t="shared" si="19"/>
        <v>235</v>
      </c>
      <c r="Z92" s="61">
        <f t="shared" si="19"/>
        <v>196</v>
      </c>
      <c r="AA92" s="61">
        <f t="shared" si="19"/>
        <v>200</v>
      </c>
      <c r="AB92" s="61">
        <f t="shared" si="19"/>
        <v>211</v>
      </c>
      <c r="AC92" s="61">
        <f t="shared" si="19"/>
        <v>257.10000000000002</v>
      </c>
      <c r="AD92" s="61">
        <f t="shared" si="19"/>
        <v>230</v>
      </c>
      <c r="AE92" s="61">
        <f t="shared" si="19"/>
        <v>217.4</v>
      </c>
      <c r="AF92" s="61">
        <f t="shared" si="19"/>
        <v>72</v>
      </c>
      <c r="AG92" s="81"/>
      <c r="AH92" s="48">
        <f t="shared" si="9"/>
        <v>257.10000000000002</v>
      </c>
      <c r="AI92" s="49">
        <f t="shared" si="10"/>
        <v>0</v>
      </c>
      <c r="AK92" s="50"/>
    </row>
    <row r="93" spans="1:37" ht="15.75" thickBot="1" x14ac:dyDescent="0.3">
      <c r="A93" s="74" t="s">
        <v>95</v>
      </c>
      <c r="B93" s="61">
        <f t="shared" ref="B93:AF93" si="20">B77-B92</f>
        <v>-67</v>
      </c>
      <c r="C93" s="61">
        <f t="shared" si="20"/>
        <v>-74.2</v>
      </c>
      <c r="D93" s="61">
        <f t="shared" si="20"/>
        <v>-65.900000000000006</v>
      </c>
      <c r="E93" s="61">
        <f t="shared" si="20"/>
        <v>-84.8</v>
      </c>
      <c r="F93" s="61">
        <f t="shared" si="20"/>
        <v>-95.4</v>
      </c>
      <c r="G93" s="61">
        <f t="shared" si="20"/>
        <v>-90.4</v>
      </c>
      <c r="H93" s="61">
        <f t="shared" si="20"/>
        <v>-82</v>
      </c>
      <c r="I93" s="61">
        <f t="shared" si="20"/>
        <v>-60.3</v>
      </c>
      <c r="J93" s="61">
        <f t="shared" si="20"/>
        <v>-74.3</v>
      </c>
      <c r="K93" s="61">
        <f t="shared" si="20"/>
        <v>-206.60000000000002</v>
      </c>
      <c r="L93" s="61">
        <f t="shared" si="20"/>
        <v>-157.9</v>
      </c>
      <c r="M93" s="61">
        <f t="shared" si="20"/>
        <v>-161.69999999999999</v>
      </c>
      <c r="N93" s="61">
        <f t="shared" si="20"/>
        <v>-168</v>
      </c>
      <c r="O93" s="61">
        <f t="shared" si="20"/>
        <v>-30</v>
      </c>
      <c r="P93" s="61">
        <f t="shared" si="20"/>
        <v>-22</v>
      </c>
      <c r="Q93" s="61">
        <f t="shared" si="20"/>
        <v>13</v>
      </c>
      <c r="R93" s="61">
        <f t="shared" si="20"/>
        <v>10</v>
      </c>
      <c r="S93" s="61">
        <f t="shared" si="20"/>
        <v>-4</v>
      </c>
      <c r="T93" s="61">
        <f t="shared" si="20"/>
        <v>0</v>
      </c>
      <c r="U93" s="61">
        <f t="shared" si="20"/>
        <v>5</v>
      </c>
      <c r="V93" s="61">
        <f t="shared" si="20"/>
        <v>11</v>
      </c>
      <c r="W93" s="61">
        <f t="shared" si="20"/>
        <v>-209</v>
      </c>
      <c r="X93" s="61">
        <f t="shared" si="20"/>
        <v>-140.9</v>
      </c>
      <c r="Y93" s="61">
        <f t="shared" si="20"/>
        <v>-209.8</v>
      </c>
      <c r="Z93" s="61">
        <f t="shared" si="20"/>
        <v>-178.8</v>
      </c>
      <c r="AA93" s="61">
        <f t="shared" si="20"/>
        <v>-180.8</v>
      </c>
      <c r="AB93" s="61">
        <f t="shared" si="20"/>
        <v>-194.5</v>
      </c>
      <c r="AC93" s="61">
        <f t="shared" si="20"/>
        <v>-244.8</v>
      </c>
      <c r="AD93" s="61">
        <f t="shared" si="20"/>
        <v>-219.6</v>
      </c>
      <c r="AE93" s="61">
        <f t="shared" si="20"/>
        <v>-217.4</v>
      </c>
      <c r="AF93" s="61">
        <f t="shared" si="20"/>
        <v>-72</v>
      </c>
      <c r="AG93" s="81"/>
      <c r="AH93" s="48">
        <f t="shared" si="9"/>
        <v>13</v>
      </c>
      <c r="AI93" s="49">
        <f t="shared" si="10"/>
        <v>-244.8</v>
      </c>
    </row>
    <row r="94" spans="1:37" x14ac:dyDescent="0.25">
      <c r="A94" s="88" t="s">
        <v>96</v>
      </c>
      <c r="B94" s="89">
        <v>49.987000000000002</v>
      </c>
      <c r="C94" s="89">
        <v>50.051000000000002</v>
      </c>
      <c r="D94" s="89">
        <v>50.029000000000003</v>
      </c>
      <c r="E94" s="89">
        <v>50.024000000000001</v>
      </c>
      <c r="F94" s="89">
        <v>49.996000000000002</v>
      </c>
      <c r="G94" s="89">
        <v>49.970999999999997</v>
      </c>
      <c r="H94" s="89">
        <v>49.875</v>
      </c>
      <c r="I94" s="89">
        <v>49.966000000000001</v>
      </c>
      <c r="J94" s="89">
        <v>49.999000000000002</v>
      </c>
      <c r="K94" s="89">
        <v>49.835000000000001</v>
      </c>
      <c r="L94" s="89">
        <v>49.94</v>
      </c>
      <c r="M94" s="89">
        <v>49.993000000000002</v>
      </c>
      <c r="N94" s="89">
        <v>49.832999999999998</v>
      </c>
      <c r="O94" s="89">
        <v>49.65</v>
      </c>
      <c r="P94" s="89">
        <v>49.99</v>
      </c>
      <c r="Q94" s="89">
        <v>49.98</v>
      </c>
      <c r="R94" s="89">
        <v>49.973999999999997</v>
      </c>
      <c r="S94" s="89">
        <v>50.01</v>
      </c>
      <c r="T94" s="89">
        <v>49.9</v>
      </c>
      <c r="U94" s="89">
        <v>50.06</v>
      </c>
      <c r="V94" s="89">
        <v>50.06</v>
      </c>
      <c r="W94" s="89">
        <v>49.960999999999999</v>
      </c>
      <c r="X94" s="89">
        <v>50.064999999999998</v>
      </c>
      <c r="Y94" s="89">
        <v>50</v>
      </c>
      <c r="Z94" s="89">
        <v>50.031999999999996</v>
      </c>
      <c r="AA94" s="89">
        <v>49.941000000000003</v>
      </c>
      <c r="AB94" s="89">
        <v>50.085000000000001</v>
      </c>
      <c r="AC94" s="89">
        <v>50.000999999999998</v>
      </c>
      <c r="AD94" s="89">
        <v>49.972999999999999</v>
      </c>
      <c r="AE94" s="89">
        <v>50.031999999999996</v>
      </c>
      <c r="AF94" s="89">
        <v>49.945</v>
      </c>
      <c r="AG94" s="90"/>
      <c r="AH94" s="48">
        <f t="shared" si="9"/>
        <v>50.085000000000001</v>
      </c>
      <c r="AI94" s="49">
        <f t="shared" si="10"/>
        <v>49.65</v>
      </c>
    </row>
    <row r="95" spans="1:37" x14ac:dyDescent="0.25">
      <c r="A95" s="91" t="s">
        <v>97</v>
      </c>
      <c r="B95" s="65">
        <v>126.9</v>
      </c>
      <c r="C95" s="65">
        <v>127.7</v>
      </c>
      <c r="D95" s="65">
        <v>126.6</v>
      </c>
      <c r="E95" s="65">
        <v>127</v>
      </c>
      <c r="F95" s="65">
        <v>128.80000000000001</v>
      </c>
      <c r="G95" s="65">
        <v>127</v>
      </c>
      <c r="H95" s="65">
        <v>125.7</v>
      </c>
      <c r="I95" s="65">
        <v>125.9</v>
      </c>
      <c r="J95" s="65">
        <v>125.3</v>
      </c>
      <c r="K95" s="65">
        <v>123.9</v>
      </c>
      <c r="L95" s="65">
        <v>122.9</v>
      </c>
      <c r="M95" s="65">
        <v>122.9</v>
      </c>
      <c r="N95" s="65">
        <v>120.7</v>
      </c>
      <c r="O95" s="65">
        <v>120.7</v>
      </c>
      <c r="P95" s="65">
        <v>120.7</v>
      </c>
      <c r="Q95" s="65">
        <v>120.7</v>
      </c>
      <c r="R95" s="65">
        <v>123.9</v>
      </c>
      <c r="S95" s="65">
        <v>125.6</v>
      </c>
      <c r="T95" s="65">
        <v>125.6</v>
      </c>
      <c r="U95" s="65">
        <v>126.6</v>
      </c>
      <c r="V95" s="65">
        <v>126.6</v>
      </c>
      <c r="W95" s="65">
        <v>125.2</v>
      </c>
      <c r="X95" s="65">
        <v>127.1</v>
      </c>
      <c r="Y95" s="65">
        <v>127.5</v>
      </c>
      <c r="Z95" s="65">
        <v>127.5</v>
      </c>
      <c r="AA95" s="65">
        <v>127.7</v>
      </c>
      <c r="AB95" s="65">
        <v>127.9</v>
      </c>
      <c r="AC95" s="65">
        <v>127.5</v>
      </c>
      <c r="AD95" s="65">
        <v>127.2</v>
      </c>
      <c r="AE95" s="65">
        <v>127.7</v>
      </c>
      <c r="AF95" s="65">
        <v>127.1</v>
      </c>
      <c r="AG95" s="92"/>
      <c r="AH95" s="48">
        <f t="shared" si="9"/>
        <v>128.80000000000001</v>
      </c>
      <c r="AI95" s="49">
        <f t="shared" si="10"/>
        <v>120.7</v>
      </c>
    </row>
    <row r="96" spans="1:37" x14ac:dyDescent="0.25">
      <c r="A96" s="91" t="s">
        <v>98</v>
      </c>
      <c r="B96" s="65">
        <v>131.6</v>
      </c>
      <c r="C96" s="65">
        <v>131.69999999999999</v>
      </c>
      <c r="D96" s="65">
        <v>131.30000000000001</v>
      </c>
      <c r="E96" s="65">
        <v>131.6</v>
      </c>
      <c r="F96" s="65">
        <v>132.6</v>
      </c>
      <c r="G96" s="65">
        <v>131</v>
      </c>
      <c r="H96" s="65">
        <v>129.80000000000001</v>
      </c>
      <c r="I96" s="65">
        <v>129.4</v>
      </c>
      <c r="J96" s="65">
        <v>128.4</v>
      </c>
      <c r="K96" s="65">
        <v>127.2</v>
      </c>
      <c r="L96" s="65">
        <v>126.1</v>
      </c>
      <c r="M96" s="65">
        <v>126.2</v>
      </c>
      <c r="N96" s="65">
        <v>124.4</v>
      </c>
      <c r="O96" s="65">
        <v>124.4</v>
      </c>
      <c r="P96" s="65">
        <v>124.4</v>
      </c>
      <c r="Q96" s="65">
        <v>124.4</v>
      </c>
      <c r="R96" s="65">
        <v>126.8</v>
      </c>
      <c r="S96" s="65">
        <v>128.30000000000001</v>
      </c>
      <c r="T96" s="65">
        <v>128.30000000000001</v>
      </c>
      <c r="U96" s="65">
        <v>129.19999999999999</v>
      </c>
      <c r="V96" s="65">
        <v>129.19999999999999</v>
      </c>
      <c r="W96" s="65">
        <v>128</v>
      </c>
      <c r="X96" s="65">
        <v>129.30000000000001</v>
      </c>
      <c r="Y96" s="65">
        <v>129.5</v>
      </c>
      <c r="Z96" s="65">
        <v>129.5</v>
      </c>
      <c r="AA96" s="65">
        <v>129.80000000000001</v>
      </c>
      <c r="AB96" s="65">
        <v>130.19999999999999</v>
      </c>
      <c r="AC96" s="65">
        <v>129.9</v>
      </c>
      <c r="AD96" s="65">
        <v>130.1</v>
      </c>
      <c r="AE96" s="65">
        <v>130.80000000000001</v>
      </c>
      <c r="AF96" s="65">
        <v>130.6</v>
      </c>
      <c r="AG96" s="92"/>
      <c r="AH96" s="48">
        <f t="shared" si="9"/>
        <v>132.6</v>
      </c>
      <c r="AI96" s="49">
        <f t="shared" si="10"/>
        <v>124.4</v>
      </c>
    </row>
    <row r="97" spans="1:35" x14ac:dyDescent="0.25">
      <c r="A97" s="91" t="s">
        <v>99</v>
      </c>
      <c r="B97" s="65">
        <v>132.4</v>
      </c>
      <c r="C97" s="65">
        <v>133.80000000000001</v>
      </c>
      <c r="D97" s="65">
        <v>132.1</v>
      </c>
      <c r="E97" s="65">
        <v>132.30000000000001</v>
      </c>
      <c r="F97" s="65">
        <v>133.19999999999999</v>
      </c>
      <c r="G97" s="65">
        <v>131.1</v>
      </c>
      <c r="H97" s="65">
        <v>130.6</v>
      </c>
      <c r="I97" s="65">
        <v>130</v>
      </c>
      <c r="J97" s="65">
        <v>128.19999999999999</v>
      </c>
      <c r="K97" s="65">
        <v>128.69999999999999</v>
      </c>
      <c r="L97" s="65">
        <v>127.2</v>
      </c>
      <c r="M97" s="65">
        <v>126.7</v>
      </c>
      <c r="N97" s="65">
        <v>129.4</v>
      </c>
      <c r="O97" s="65">
        <v>129.4</v>
      </c>
      <c r="P97" s="65">
        <v>130</v>
      </c>
      <c r="Q97" s="65">
        <v>129</v>
      </c>
      <c r="R97" s="65">
        <v>129.9</v>
      </c>
      <c r="S97" s="65">
        <v>129.69999999999999</v>
      </c>
      <c r="T97" s="65">
        <v>129.69999999999999</v>
      </c>
      <c r="U97" s="65">
        <v>129.6</v>
      </c>
      <c r="V97" s="65">
        <v>129.6</v>
      </c>
      <c r="W97" s="65">
        <v>126.5</v>
      </c>
      <c r="X97" s="65">
        <v>130</v>
      </c>
      <c r="Y97" s="65">
        <v>132.4</v>
      </c>
      <c r="Z97" s="65">
        <v>133.5</v>
      </c>
      <c r="AA97" s="65">
        <v>135.19999999999999</v>
      </c>
      <c r="AB97" s="65">
        <v>131</v>
      </c>
      <c r="AC97" s="65">
        <v>131.69999999999999</v>
      </c>
      <c r="AD97" s="65">
        <v>132</v>
      </c>
      <c r="AE97" s="65">
        <v>131.80000000000001</v>
      </c>
      <c r="AF97" s="65">
        <v>131.69999999999999</v>
      </c>
      <c r="AG97" s="92"/>
      <c r="AH97" s="48">
        <f t="shared" si="9"/>
        <v>135.19999999999999</v>
      </c>
      <c r="AI97" s="49">
        <f t="shared" si="10"/>
        <v>126.5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9"/>
        <v>0</v>
      </c>
      <c r="AI98" s="49">
        <f t="shared" si="10"/>
        <v>0</v>
      </c>
    </row>
    <row r="99" spans="1:35" x14ac:dyDescent="0.25">
      <c r="A99" s="93" t="s">
        <v>101</v>
      </c>
      <c r="B99" s="94">
        <v>131.9</v>
      </c>
      <c r="C99" s="94">
        <v>131.6</v>
      </c>
      <c r="D99" s="94">
        <v>133.30000000000001</v>
      </c>
      <c r="E99" s="94">
        <v>132</v>
      </c>
      <c r="F99" s="94">
        <v>134.5</v>
      </c>
      <c r="G99" s="94">
        <v>133.80000000000001</v>
      </c>
      <c r="H99" s="94">
        <v>134.4</v>
      </c>
      <c r="I99" s="94">
        <v>132.5</v>
      </c>
      <c r="J99" s="94">
        <v>131.9</v>
      </c>
      <c r="K99" s="94">
        <v>132</v>
      </c>
      <c r="L99" s="94">
        <v>134.30000000000001</v>
      </c>
      <c r="M99" s="94">
        <v>133.30000000000001</v>
      </c>
      <c r="N99" s="94">
        <v>132.5</v>
      </c>
      <c r="O99" s="94">
        <v>131</v>
      </c>
      <c r="P99" s="94">
        <v>132.5</v>
      </c>
      <c r="Q99" s="94">
        <v>132</v>
      </c>
      <c r="R99" s="94">
        <v>131.9</v>
      </c>
      <c r="S99" s="94">
        <v>134.30000000000001</v>
      </c>
      <c r="T99" s="94">
        <v>134.30000000000001</v>
      </c>
      <c r="U99" s="94">
        <v>134.30000000000001</v>
      </c>
      <c r="V99" s="94">
        <v>134.30000000000001</v>
      </c>
      <c r="W99" s="94">
        <v>135.30000000000001</v>
      </c>
      <c r="X99" s="94">
        <v>135.30000000000001</v>
      </c>
      <c r="Y99" s="94">
        <v>133.1</v>
      </c>
      <c r="Z99" s="94">
        <v>134.80000000000001</v>
      </c>
      <c r="AA99" s="94">
        <v>134.19999999999999</v>
      </c>
      <c r="AB99" s="94">
        <v>132.19999999999999</v>
      </c>
      <c r="AC99" s="94">
        <v>132.30000000000001</v>
      </c>
      <c r="AD99" s="94">
        <v>134.69999999999999</v>
      </c>
      <c r="AE99" s="94">
        <v>133.5</v>
      </c>
      <c r="AF99" s="94">
        <v>132.9</v>
      </c>
      <c r="AG99" s="95"/>
      <c r="AH99" s="48">
        <f t="shared" si="9"/>
        <v>135.30000000000001</v>
      </c>
      <c r="AI99" s="49">
        <f t="shared" si="10"/>
        <v>131</v>
      </c>
    </row>
    <row r="100" spans="1:35" x14ac:dyDescent="0.25">
      <c r="A100" s="91" t="s">
        <v>102</v>
      </c>
      <c r="B100" s="65">
        <v>130.80000000000001</v>
      </c>
      <c r="C100" s="65">
        <v>66.7</v>
      </c>
      <c r="D100" s="65">
        <v>133.6</v>
      </c>
      <c r="E100" s="65">
        <v>131.5</v>
      </c>
      <c r="F100" s="65">
        <v>135.19999999999999</v>
      </c>
      <c r="G100" s="65">
        <v>131.6</v>
      </c>
      <c r="H100" s="65">
        <v>130.4</v>
      </c>
      <c r="I100" s="65">
        <v>129.19999999999999</v>
      </c>
      <c r="J100" s="65">
        <v>128.5</v>
      </c>
      <c r="K100" s="65">
        <v>126.8</v>
      </c>
      <c r="L100" s="65">
        <v>129.4</v>
      </c>
      <c r="M100" s="65">
        <v>127.3</v>
      </c>
      <c r="N100" s="65">
        <v>125.7</v>
      </c>
      <c r="O100" s="65">
        <v>126</v>
      </c>
      <c r="P100" s="65">
        <v>125.7</v>
      </c>
      <c r="Q100" s="65">
        <v>125.4</v>
      </c>
      <c r="R100" s="65">
        <v>128.69999999999999</v>
      </c>
      <c r="S100" s="65">
        <v>131.4</v>
      </c>
      <c r="T100" s="65">
        <v>131.4</v>
      </c>
      <c r="U100" s="65">
        <v>133.30000000000001</v>
      </c>
      <c r="V100" s="65">
        <v>133.30000000000001</v>
      </c>
      <c r="W100" s="65">
        <v>135.1</v>
      </c>
      <c r="X100" s="65">
        <v>131.6</v>
      </c>
      <c r="Y100" s="65">
        <v>132.6</v>
      </c>
      <c r="Z100" s="65">
        <v>134.5</v>
      </c>
      <c r="AA100" s="65">
        <v>135.1</v>
      </c>
      <c r="AB100" s="65">
        <v>130.80000000000001</v>
      </c>
      <c r="AC100" s="65">
        <v>130.4</v>
      </c>
      <c r="AD100" s="65">
        <v>135.80000000000001</v>
      </c>
      <c r="AE100" s="65">
        <v>134.1</v>
      </c>
      <c r="AF100" s="65">
        <v>132.19999999999999</v>
      </c>
      <c r="AG100" s="92"/>
      <c r="AH100" s="48">
        <f t="shared" si="9"/>
        <v>135.80000000000001</v>
      </c>
      <c r="AI100" s="49">
        <f t="shared" si="10"/>
        <v>66.7</v>
      </c>
    </row>
    <row r="101" spans="1:35" ht="15.75" thickBot="1" x14ac:dyDescent="0.3">
      <c r="A101" s="91" t="s">
        <v>104</v>
      </c>
      <c r="B101" s="96">
        <v>66.5</v>
      </c>
      <c r="C101" s="96">
        <v>66</v>
      </c>
      <c r="D101" s="96">
        <v>66.5</v>
      </c>
      <c r="E101" s="96">
        <v>66.599999999999994</v>
      </c>
      <c r="F101" s="96">
        <v>67.099999999999994</v>
      </c>
      <c r="G101" s="96">
        <v>66.3</v>
      </c>
      <c r="H101" s="96">
        <v>65.8</v>
      </c>
      <c r="I101" s="96">
        <v>65.400000000000006</v>
      </c>
      <c r="J101" s="96">
        <v>65</v>
      </c>
      <c r="K101" s="96">
        <v>64.3</v>
      </c>
      <c r="L101" s="96">
        <v>63.6</v>
      </c>
      <c r="M101" s="96">
        <v>63.6</v>
      </c>
      <c r="N101" s="96">
        <v>62.8</v>
      </c>
      <c r="O101" s="96">
        <v>63</v>
      </c>
      <c r="P101" s="96">
        <v>64</v>
      </c>
      <c r="Q101" s="96">
        <v>63</v>
      </c>
      <c r="R101" s="96">
        <v>63.6</v>
      </c>
      <c r="S101" s="96">
        <v>64</v>
      </c>
      <c r="T101" s="96">
        <v>64.8</v>
      </c>
      <c r="U101" s="96">
        <v>65.099999999999994</v>
      </c>
      <c r="V101" s="96">
        <v>65.099999999999994</v>
      </c>
      <c r="W101" s="96">
        <v>64.7</v>
      </c>
      <c r="X101" s="96">
        <v>65.3</v>
      </c>
      <c r="Y101" s="96">
        <v>65.400000000000006</v>
      </c>
      <c r="Z101" s="96">
        <v>65.400000000000006</v>
      </c>
      <c r="AA101" s="96">
        <v>65.5</v>
      </c>
      <c r="AB101" s="96">
        <v>65.599999999999994</v>
      </c>
      <c r="AC101" s="96">
        <v>65.5</v>
      </c>
      <c r="AD101" s="96">
        <v>65.7</v>
      </c>
      <c r="AE101" s="96">
        <v>66.3</v>
      </c>
      <c r="AF101" s="96">
        <v>65.900000000000006</v>
      </c>
      <c r="AG101" s="97"/>
      <c r="AH101" s="48">
        <f t="shared" si="9"/>
        <v>67.099999999999994</v>
      </c>
      <c r="AI101" s="49">
        <f t="shared" si="10"/>
        <v>62.8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9"/>
        <v>0</v>
      </c>
      <c r="AI102" s="49">
        <f t="shared" si="10"/>
        <v>0</v>
      </c>
    </row>
    <row r="103" spans="1:35" ht="15.75" thickBot="1" x14ac:dyDescent="0.3">
      <c r="A103" s="99" t="s">
        <v>105</v>
      </c>
      <c r="B103" s="100">
        <f t="shared" ref="B103:AF103" si="21">SUM(B16,B22,B25:B26,B51,B53:B54,B56,B58,B104:B108,B130,B136,B142,B151,B153,B165,B172,B175:B176,B183,B185,B187,B191:B193,B195:B197,B202,B208:B209,B211:B213,B221,B226)</f>
        <v>71.300000000000026</v>
      </c>
      <c r="C103" s="100">
        <f t="shared" si="21"/>
        <v>161.04</v>
      </c>
      <c r="D103" s="100">
        <f t="shared" si="21"/>
        <v>62.540000000000006</v>
      </c>
      <c r="E103" s="100">
        <f t="shared" si="21"/>
        <v>63.839999999999989</v>
      </c>
      <c r="F103" s="100">
        <f t="shared" si="21"/>
        <v>67.639999999999972</v>
      </c>
      <c r="G103" s="100">
        <f t="shared" si="21"/>
        <v>77.44</v>
      </c>
      <c r="H103" s="100">
        <f t="shared" si="21"/>
        <v>108.13999999999997</v>
      </c>
      <c r="I103" s="100">
        <f t="shared" si="21"/>
        <v>136.13999999999996</v>
      </c>
      <c r="J103" s="100">
        <f t="shared" si="21"/>
        <v>198.54000000000002</v>
      </c>
      <c r="K103" s="100">
        <f t="shared" si="21"/>
        <v>224.43999999999997</v>
      </c>
      <c r="L103" s="100">
        <f t="shared" si="21"/>
        <v>263.74</v>
      </c>
      <c r="M103" s="100">
        <f t="shared" si="21"/>
        <v>270.04000000000002</v>
      </c>
      <c r="N103" s="100">
        <f t="shared" si="21"/>
        <v>248.64</v>
      </c>
      <c r="O103" s="100">
        <f t="shared" si="21"/>
        <v>238.14000000000001</v>
      </c>
      <c r="P103" s="100">
        <f t="shared" si="21"/>
        <v>220.04000000000002</v>
      </c>
      <c r="Q103" s="100">
        <f t="shared" si="21"/>
        <v>247.7</v>
      </c>
      <c r="R103" s="100">
        <f t="shared" si="21"/>
        <v>199.09999999999997</v>
      </c>
      <c r="S103" s="100">
        <f t="shared" si="21"/>
        <v>194.29999999999995</v>
      </c>
      <c r="T103" s="100">
        <f t="shared" si="21"/>
        <v>194.39999999999998</v>
      </c>
      <c r="U103" s="100">
        <f t="shared" si="21"/>
        <v>203.39999999999998</v>
      </c>
      <c r="V103" s="100">
        <f t="shared" si="21"/>
        <v>261.10000000000002</v>
      </c>
      <c r="W103" s="100">
        <f t="shared" si="21"/>
        <v>274.8</v>
      </c>
      <c r="X103" s="100">
        <v>358</v>
      </c>
      <c r="Y103" s="100">
        <f t="shared" si="21"/>
        <v>278.8</v>
      </c>
      <c r="Z103" s="100">
        <f t="shared" si="21"/>
        <v>270.5</v>
      </c>
      <c r="AA103" s="100">
        <f t="shared" si="21"/>
        <v>274.10000000000002</v>
      </c>
      <c r="AB103" s="100">
        <f t="shared" si="21"/>
        <v>240.2</v>
      </c>
      <c r="AC103" s="100">
        <f t="shared" si="21"/>
        <v>228.6</v>
      </c>
      <c r="AD103" s="100">
        <f t="shared" si="21"/>
        <v>214.09999999999994</v>
      </c>
      <c r="AE103" s="100">
        <f t="shared" si="21"/>
        <v>158.69999999999999</v>
      </c>
      <c r="AF103" s="100">
        <f t="shared" si="21"/>
        <v>100.49999999999996</v>
      </c>
      <c r="AG103" s="101"/>
      <c r="AH103" s="48">
        <f t="shared" si="9"/>
        <v>358</v>
      </c>
      <c r="AI103" s="49">
        <f t="shared" si="10"/>
        <v>62.540000000000006</v>
      </c>
    </row>
    <row r="104" spans="1:35" x14ac:dyDescent="0.25">
      <c r="A104" s="88" t="s">
        <v>106</v>
      </c>
      <c r="B104" s="102">
        <v>30.3</v>
      </c>
      <c r="C104" s="102">
        <v>27.9</v>
      </c>
      <c r="D104" s="102">
        <v>31</v>
      </c>
      <c r="E104" s="102">
        <v>28.9</v>
      </c>
      <c r="F104" s="102">
        <v>29.1</v>
      </c>
      <c r="G104" s="102">
        <v>36.1</v>
      </c>
      <c r="H104" s="102">
        <v>39.5</v>
      </c>
      <c r="I104" s="102">
        <v>46.3</v>
      </c>
      <c r="J104" s="102">
        <v>52.7</v>
      </c>
      <c r="K104" s="102">
        <v>51.3</v>
      </c>
      <c r="L104" s="102">
        <v>46.7</v>
      </c>
      <c r="M104" s="102">
        <v>46.9</v>
      </c>
      <c r="N104" s="102">
        <v>51.8</v>
      </c>
      <c r="O104" s="102">
        <v>53.2</v>
      </c>
      <c r="P104" s="102">
        <v>55.4</v>
      </c>
      <c r="Q104" s="102">
        <v>51.8</v>
      </c>
      <c r="R104" s="102">
        <v>48</v>
      </c>
      <c r="S104" s="102">
        <v>48</v>
      </c>
      <c r="T104" s="102">
        <v>40</v>
      </c>
      <c r="U104" s="102">
        <v>41.1</v>
      </c>
      <c r="V104" s="102">
        <v>47.6</v>
      </c>
      <c r="W104" s="102">
        <v>44.4</v>
      </c>
      <c r="X104" s="102">
        <v>39</v>
      </c>
      <c r="Y104" s="102">
        <v>43.5</v>
      </c>
      <c r="Z104" s="102">
        <v>46</v>
      </c>
      <c r="AA104" s="102">
        <v>48.4</v>
      </c>
      <c r="AB104" s="102">
        <v>52.3</v>
      </c>
      <c r="AC104" s="102">
        <v>53.5</v>
      </c>
      <c r="AD104" s="102">
        <v>60.1</v>
      </c>
      <c r="AE104" s="102">
        <v>53.9</v>
      </c>
      <c r="AF104" s="102">
        <v>37.700000000000003</v>
      </c>
      <c r="AG104" s="103">
        <v>75</v>
      </c>
      <c r="AH104" s="48">
        <f t="shared" si="9"/>
        <v>60.1</v>
      </c>
      <c r="AI104" s="49">
        <f t="shared" si="10"/>
        <v>27.9</v>
      </c>
    </row>
    <row r="105" spans="1:35" x14ac:dyDescent="0.25">
      <c r="A105" s="91" t="s">
        <v>107</v>
      </c>
      <c r="B105" s="104">
        <v>50.2</v>
      </c>
      <c r="C105" s="104">
        <v>46.2</v>
      </c>
      <c r="D105" s="104">
        <v>50.9</v>
      </c>
      <c r="E105" s="104">
        <v>48.2</v>
      </c>
      <c r="F105" s="104">
        <v>49.5</v>
      </c>
      <c r="G105" s="104">
        <v>59.9</v>
      </c>
      <c r="H105" s="104">
        <v>65.8</v>
      </c>
      <c r="I105" s="104">
        <v>73.400000000000006</v>
      </c>
      <c r="J105" s="104">
        <v>80.5</v>
      </c>
      <c r="K105" s="104">
        <v>77.7</v>
      </c>
      <c r="L105" s="104">
        <v>69.3</v>
      </c>
      <c r="M105" s="104">
        <v>69</v>
      </c>
      <c r="N105" s="104">
        <v>76.3</v>
      </c>
      <c r="O105" s="104">
        <v>80</v>
      </c>
      <c r="P105" s="104">
        <v>84.1</v>
      </c>
      <c r="Q105" s="104">
        <v>76.3</v>
      </c>
      <c r="R105" s="104">
        <v>74</v>
      </c>
      <c r="S105" s="104">
        <v>72.7</v>
      </c>
      <c r="T105" s="104">
        <v>62</v>
      </c>
      <c r="U105" s="104">
        <v>61.3</v>
      </c>
      <c r="V105" s="104">
        <v>68</v>
      </c>
      <c r="W105" s="104">
        <v>63.8</v>
      </c>
      <c r="X105" s="104">
        <v>53.9</v>
      </c>
      <c r="Y105" s="104">
        <v>61.9</v>
      </c>
      <c r="Z105" s="104">
        <v>63.7</v>
      </c>
      <c r="AA105" s="104">
        <v>67.2</v>
      </c>
      <c r="AB105" s="104">
        <v>75.099999999999994</v>
      </c>
      <c r="AC105" s="104">
        <v>76.900000000000006</v>
      </c>
      <c r="AD105" s="104">
        <v>86.6</v>
      </c>
      <c r="AE105" s="104">
        <v>80.7</v>
      </c>
      <c r="AF105" s="104">
        <v>60.9</v>
      </c>
      <c r="AG105" s="103">
        <v>240</v>
      </c>
      <c r="AH105" s="48">
        <f t="shared" si="9"/>
        <v>86.6</v>
      </c>
      <c r="AI105" s="49">
        <f t="shared" si="10"/>
        <v>46.2</v>
      </c>
    </row>
    <row r="106" spans="1:35" x14ac:dyDescent="0.25">
      <c r="A106" s="91" t="s">
        <v>108</v>
      </c>
      <c r="B106" s="104">
        <v>-135.6</v>
      </c>
      <c r="C106" s="104">
        <v>-36.4</v>
      </c>
      <c r="D106" s="104">
        <v>-144.19999999999999</v>
      </c>
      <c r="E106" s="104">
        <f>-71.4-75.7</f>
        <v>-147.10000000000002</v>
      </c>
      <c r="F106" s="104">
        <f>-67.9-73.1</f>
        <v>-141</v>
      </c>
      <c r="G106" s="104">
        <f>-71.9-76.1</f>
        <v>-148</v>
      </c>
      <c r="H106" s="104">
        <f>-64.5-67.9</f>
        <v>-132.4</v>
      </c>
      <c r="I106" s="104">
        <f>-59-62.9</f>
        <v>-121.9</v>
      </c>
      <c r="J106" s="104">
        <f>-38.1-41.5</f>
        <v>-79.599999999999994</v>
      </c>
      <c r="K106" s="104">
        <f>-25-27.7</f>
        <v>-52.7</v>
      </c>
      <c r="L106" s="104">
        <f>-5.5-6.7</f>
        <v>-12.2</v>
      </c>
      <c r="M106" s="104">
        <v>-13</v>
      </c>
      <c r="N106" s="104">
        <f>-16-18</f>
        <v>-34</v>
      </c>
      <c r="O106" s="104">
        <v>-51.6</v>
      </c>
      <c r="P106" s="104">
        <v>-75.2</v>
      </c>
      <c r="Q106" s="104">
        <v>-34</v>
      </c>
      <c r="R106" s="104">
        <f>-36-38</f>
        <v>-74</v>
      </c>
      <c r="S106" s="104">
        <v>-76</v>
      </c>
      <c r="T106" s="104">
        <v>-60</v>
      </c>
      <c r="U106" s="104">
        <v>-42</v>
      </c>
      <c r="V106" s="104">
        <v>-23</v>
      </c>
      <c r="W106" s="104">
        <v>-13.4</v>
      </c>
      <c r="X106" s="104">
        <v>-19</v>
      </c>
      <c r="Y106" s="104">
        <v>-26</v>
      </c>
      <c r="Z106" s="104">
        <v>-16.899999999999999</v>
      </c>
      <c r="AA106" s="104">
        <v>-12</v>
      </c>
      <c r="AB106" s="104">
        <v>-46</v>
      </c>
      <c r="AC106" s="104">
        <v>-55</v>
      </c>
      <c r="AD106" s="104">
        <v>-81.3</v>
      </c>
      <c r="AE106" s="104">
        <v>-115.8</v>
      </c>
      <c r="AF106" s="104">
        <v>-131</v>
      </c>
      <c r="AG106" s="103">
        <v>240</v>
      </c>
      <c r="AH106" s="48">
        <f t="shared" si="9"/>
        <v>-12</v>
      </c>
      <c r="AI106" s="49">
        <f t="shared" si="10"/>
        <v>-148</v>
      </c>
    </row>
    <row r="107" spans="1:35" x14ac:dyDescent="0.25">
      <c r="A107" s="91" t="s">
        <v>109</v>
      </c>
      <c r="B107" s="104">
        <v>-11.7</v>
      </c>
      <c r="C107" s="104">
        <v>-15.7</v>
      </c>
      <c r="D107" s="104">
        <v>-14.7</v>
      </c>
      <c r="E107" s="104">
        <v>-10.8</v>
      </c>
      <c r="F107" s="104">
        <v>-14.7</v>
      </c>
      <c r="G107" s="104">
        <v>-17.100000000000001</v>
      </c>
      <c r="H107" s="104">
        <v>-11.3</v>
      </c>
      <c r="I107" s="104">
        <v>-8.1999999999999993</v>
      </c>
      <c r="J107" s="104">
        <v>-1.6</v>
      </c>
      <c r="K107" s="104">
        <v>1.6</v>
      </c>
      <c r="L107" s="104">
        <v>13.4</v>
      </c>
      <c r="M107" s="104">
        <v>20.6</v>
      </c>
      <c r="N107" s="104">
        <v>8</v>
      </c>
      <c r="O107" s="104">
        <v>10</v>
      </c>
      <c r="P107" s="104">
        <v>9.1999999999999993</v>
      </c>
      <c r="Q107" s="104">
        <v>8</v>
      </c>
      <c r="R107" s="104">
        <v>5.7</v>
      </c>
      <c r="S107" s="104">
        <v>4.2</v>
      </c>
      <c r="T107" s="104">
        <v>7</v>
      </c>
      <c r="U107" s="104">
        <v>0</v>
      </c>
      <c r="V107" s="104">
        <v>25.5</v>
      </c>
      <c r="W107" s="104">
        <v>37.4</v>
      </c>
      <c r="X107" s="104">
        <v>62.5</v>
      </c>
      <c r="Y107" s="104">
        <v>56.9</v>
      </c>
      <c r="Z107" s="104">
        <v>35.200000000000003</v>
      </c>
      <c r="AA107" s="104">
        <v>28</v>
      </c>
      <c r="AB107" s="104">
        <v>15.7</v>
      </c>
      <c r="AC107" s="104">
        <v>10.1</v>
      </c>
      <c r="AD107" s="104">
        <v>5.6</v>
      </c>
      <c r="AE107" s="104">
        <v>-3.2</v>
      </c>
      <c r="AF107" s="104">
        <v>-10.199999999999999</v>
      </c>
      <c r="AG107" s="103">
        <v>60</v>
      </c>
      <c r="AH107" s="48">
        <f t="shared" si="9"/>
        <v>62.5</v>
      </c>
      <c r="AI107" s="49">
        <f t="shared" si="10"/>
        <v>-17.100000000000001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9"/>
        <v>0</v>
      </c>
      <c r="AI108" s="49">
        <f t="shared" si="10"/>
        <v>0</v>
      </c>
    </row>
    <row r="109" spans="1:35" x14ac:dyDescent="0.25">
      <c r="A109" s="105" t="s">
        <v>111</v>
      </c>
      <c r="B109" s="106">
        <v>1</v>
      </c>
      <c r="C109" s="106">
        <v>-7.9</v>
      </c>
      <c r="D109" s="106">
        <v>-7.2</v>
      </c>
      <c r="E109" s="106">
        <v>-8.1999999999999993</v>
      </c>
      <c r="F109" s="106">
        <v>-18.399999999999999</v>
      </c>
      <c r="G109" s="106">
        <v>-14.7</v>
      </c>
      <c r="H109" s="106">
        <v>-2.6</v>
      </c>
      <c r="I109" s="106">
        <v>6.5</v>
      </c>
      <c r="J109" s="106">
        <v>24.2</v>
      </c>
      <c r="K109" s="106">
        <v>58.3</v>
      </c>
      <c r="L109" s="106">
        <v>89.3</v>
      </c>
      <c r="M109" s="106">
        <v>91.1</v>
      </c>
      <c r="N109" s="106">
        <v>82.9</v>
      </c>
      <c r="O109" s="106">
        <v>36.799999999999997</v>
      </c>
      <c r="P109" s="106">
        <v>15.7</v>
      </c>
      <c r="Q109" s="106">
        <v>82.9</v>
      </c>
      <c r="R109" s="106">
        <v>31.8</v>
      </c>
      <c r="S109" s="106">
        <v>37.799999999999997</v>
      </c>
      <c r="T109" s="106">
        <v>52</v>
      </c>
      <c r="U109" s="106">
        <v>48.3</v>
      </c>
      <c r="V109" s="106">
        <v>62</v>
      </c>
      <c r="W109" s="106">
        <v>73.099999999999994</v>
      </c>
      <c r="X109" s="106">
        <v>77.2</v>
      </c>
      <c r="Y109" s="106">
        <v>52.8</v>
      </c>
      <c r="Z109" s="106">
        <v>64.3</v>
      </c>
      <c r="AA109" s="106">
        <v>52</v>
      </c>
      <c r="AB109" s="106">
        <v>35.9</v>
      </c>
      <c r="AC109" s="106">
        <v>20.6</v>
      </c>
      <c r="AD109" s="106">
        <v>-1.8</v>
      </c>
      <c r="AE109" s="106">
        <v>-28.8</v>
      </c>
      <c r="AF109" s="106">
        <v>-7.8</v>
      </c>
      <c r="AG109" s="107"/>
      <c r="AH109" s="48">
        <f t="shared" si="9"/>
        <v>91.1</v>
      </c>
      <c r="AI109" s="49">
        <f t="shared" si="10"/>
        <v>-28.8</v>
      </c>
    </row>
    <row r="110" spans="1:35" x14ac:dyDescent="0.25">
      <c r="A110" s="105" t="s">
        <v>112</v>
      </c>
      <c r="B110" s="106">
        <v>6.5</v>
      </c>
      <c r="C110" s="106">
        <v>18.100000000000001</v>
      </c>
      <c r="D110" s="106">
        <v>9.9</v>
      </c>
      <c r="E110" s="106">
        <v>17</v>
      </c>
      <c r="F110" s="106">
        <v>22.2</v>
      </c>
      <c r="G110" s="106">
        <v>13.5</v>
      </c>
      <c r="H110" s="106">
        <v>1.9</v>
      </c>
      <c r="I110" s="106">
        <v>4.9000000000000004</v>
      </c>
      <c r="J110" s="106">
        <v>-0.9</v>
      </c>
      <c r="K110" s="106">
        <v>3.5</v>
      </c>
      <c r="L110" s="106">
        <v>19.399999999999999</v>
      </c>
      <c r="M110" s="106">
        <v>14.8</v>
      </c>
      <c r="N110" s="106">
        <v>8.4</v>
      </c>
      <c r="O110" s="106">
        <v>0.3</v>
      </c>
      <c r="P110" s="106">
        <v>-3.8</v>
      </c>
      <c r="Q110" s="106">
        <v>8.4</v>
      </c>
      <c r="R110" s="106">
        <v>13</v>
      </c>
      <c r="S110" s="106">
        <v>11.3</v>
      </c>
      <c r="T110" s="106">
        <v>27</v>
      </c>
      <c r="U110" s="106">
        <v>10.6</v>
      </c>
      <c r="V110" s="106">
        <v>25.6</v>
      </c>
      <c r="W110" s="106">
        <v>26.5</v>
      </c>
      <c r="X110" s="106">
        <v>39.1</v>
      </c>
      <c r="Y110" s="106">
        <v>34.9</v>
      </c>
      <c r="Z110" s="106">
        <v>25</v>
      </c>
      <c r="AA110" s="106">
        <v>23.5</v>
      </c>
      <c r="AB110" s="106">
        <v>10.8</v>
      </c>
      <c r="AC110" s="106">
        <v>10.1</v>
      </c>
      <c r="AD110" s="106">
        <v>-11.3</v>
      </c>
      <c r="AE110" s="106">
        <v>-2.2000000000000002</v>
      </c>
      <c r="AF110" s="106">
        <v>10.7</v>
      </c>
      <c r="AG110" s="108"/>
      <c r="AH110" s="48">
        <f t="shared" si="9"/>
        <v>39.1</v>
      </c>
      <c r="AI110" s="49">
        <f t="shared" si="10"/>
        <v>-11.3</v>
      </c>
    </row>
    <row r="111" spans="1:35" x14ac:dyDescent="0.25">
      <c r="A111" s="109" t="s">
        <v>113</v>
      </c>
      <c r="B111" s="94">
        <v>45</v>
      </c>
      <c r="C111" s="94">
        <v>45.2</v>
      </c>
      <c r="D111" s="94">
        <v>45.1</v>
      </c>
      <c r="E111" s="94">
        <v>51</v>
      </c>
      <c r="F111" s="94">
        <v>47.6</v>
      </c>
      <c r="G111" s="94">
        <v>42.3</v>
      </c>
      <c r="H111" s="94">
        <v>39.299999999999997</v>
      </c>
      <c r="I111" s="94">
        <v>35.9</v>
      </c>
      <c r="J111" s="94">
        <v>30.1</v>
      </c>
      <c r="K111" s="94">
        <v>30.1</v>
      </c>
      <c r="L111" s="94">
        <v>23</v>
      </c>
      <c r="M111" s="94">
        <v>23.1</v>
      </c>
      <c r="N111" s="94">
        <v>30.3</v>
      </c>
      <c r="O111" s="94">
        <v>39.4</v>
      </c>
      <c r="P111" s="94">
        <v>40.9</v>
      </c>
      <c r="Q111" s="94">
        <v>30.3</v>
      </c>
      <c r="R111" s="94">
        <v>32.4</v>
      </c>
      <c r="S111" s="94">
        <v>28</v>
      </c>
      <c r="T111" s="94">
        <v>27</v>
      </c>
      <c r="U111" s="94">
        <v>23.6</v>
      </c>
      <c r="V111" s="94">
        <v>4.2</v>
      </c>
      <c r="W111" s="94">
        <v>2.2000000000000002</v>
      </c>
      <c r="X111" s="94">
        <v>71.400000000000006</v>
      </c>
      <c r="Y111" s="94">
        <v>65.099999999999994</v>
      </c>
      <c r="Z111" s="94">
        <v>16.7</v>
      </c>
      <c r="AA111" s="94">
        <v>22.3</v>
      </c>
      <c r="AB111" s="94">
        <v>30.7</v>
      </c>
      <c r="AC111" s="94">
        <v>40.1</v>
      </c>
      <c r="AD111" s="94">
        <v>39.9</v>
      </c>
      <c r="AE111" s="94">
        <v>40.9</v>
      </c>
      <c r="AF111" s="94">
        <v>42.8</v>
      </c>
      <c r="AG111" s="108"/>
      <c r="AH111" s="48">
        <f t="shared" si="9"/>
        <v>71.400000000000006</v>
      </c>
      <c r="AI111" s="49">
        <f t="shared" si="10"/>
        <v>2.2000000000000002</v>
      </c>
    </row>
    <row r="112" spans="1:35" ht="15.75" thickBot="1" x14ac:dyDescent="0.3">
      <c r="A112" s="109" t="s">
        <v>114</v>
      </c>
      <c r="B112" s="94">
        <v>98.5</v>
      </c>
      <c r="C112" s="94">
        <v>96</v>
      </c>
      <c r="D112" s="94">
        <v>104</v>
      </c>
      <c r="E112" s="94">
        <v>102</v>
      </c>
      <c r="F112" s="94">
        <v>94.2</v>
      </c>
      <c r="G112" s="94">
        <v>99.8</v>
      </c>
      <c r="H112" s="94">
        <v>96.7</v>
      </c>
      <c r="I112" s="94">
        <v>86.1</v>
      </c>
      <c r="J112" s="94">
        <v>61</v>
      </c>
      <c r="K112" s="94">
        <v>36.799999999999997</v>
      </c>
      <c r="L112" s="94">
        <v>8.4</v>
      </c>
      <c r="M112" s="94">
        <v>20.100000000000001</v>
      </c>
      <c r="N112" s="94">
        <v>30.9</v>
      </c>
      <c r="O112" s="94">
        <v>99</v>
      </c>
      <c r="P112" s="94">
        <v>92</v>
      </c>
      <c r="Q112" s="94">
        <v>30.9</v>
      </c>
      <c r="R112" s="94">
        <v>58.6</v>
      </c>
      <c r="S112" s="94">
        <v>58</v>
      </c>
      <c r="T112" s="94">
        <v>42</v>
      </c>
      <c r="U112" s="94">
        <v>35.1</v>
      </c>
      <c r="V112" s="94">
        <v>21.3</v>
      </c>
      <c r="W112" s="94">
        <v>13.5</v>
      </c>
      <c r="X112" s="94"/>
      <c r="Y112" s="94">
        <v>26.3</v>
      </c>
      <c r="Z112" s="94">
        <v>17.100000000000001</v>
      </c>
      <c r="AA112" s="94">
        <v>14.3</v>
      </c>
      <c r="AB112" s="94">
        <v>39.200000000000003</v>
      </c>
      <c r="AC112" s="94">
        <v>45.3</v>
      </c>
      <c r="AD112" s="94">
        <v>71.099999999999994</v>
      </c>
      <c r="AE112" s="94">
        <v>88.7</v>
      </c>
      <c r="AF112" s="94">
        <v>93.8</v>
      </c>
      <c r="AG112" s="108"/>
      <c r="AH112" s="48">
        <f t="shared" si="9"/>
        <v>104</v>
      </c>
      <c r="AI112" s="49">
        <f t="shared" si="10"/>
        <v>8.4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22">SUM(B114:B218)</f>
        <v>0</v>
      </c>
      <c r="C219" s="125">
        <f t="shared" si="22"/>
        <v>0</v>
      </c>
      <c r="D219" s="125">
        <f t="shared" si="22"/>
        <v>0</v>
      </c>
      <c r="E219" s="125">
        <f t="shared" si="22"/>
        <v>0</v>
      </c>
      <c r="F219" s="125">
        <f t="shared" si="22"/>
        <v>0</v>
      </c>
      <c r="G219" s="125">
        <f t="shared" si="22"/>
        <v>0</v>
      </c>
      <c r="H219" s="125">
        <f t="shared" si="22"/>
        <v>0</v>
      </c>
      <c r="I219" s="125">
        <f t="shared" si="22"/>
        <v>0</v>
      </c>
      <c r="J219" s="125">
        <f t="shared" si="22"/>
        <v>0</v>
      </c>
      <c r="K219" s="125">
        <f t="shared" si="22"/>
        <v>0</v>
      </c>
      <c r="L219" s="125">
        <f t="shared" si="22"/>
        <v>0</v>
      </c>
      <c r="M219" s="125">
        <f t="shared" si="22"/>
        <v>0</v>
      </c>
      <c r="N219" s="125">
        <f t="shared" si="22"/>
        <v>0</v>
      </c>
      <c r="O219" s="125">
        <f t="shared" si="22"/>
        <v>0</v>
      </c>
      <c r="P219" s="125">
        <f t="shared" si="22"/>
        <v>0</v>
      </c>
      <c r="Q219" s="125">
        <f t="shared" si="22"/>
        <v>0</v>
      </c>
      <c r="R219" s="125">
        <f t="shared" si="22"/>
        <v>0</v>
      </c>
      <c r="S219" s="125">
        <f t="shared" si="22"/>
        <v>0</v>
      </c>
      <c r="T219" s="125">
        <f t="shared" si="22"/>
        <v>0</v>
      </c>
      <c r="U219" s="125">
        <f t="shared" si="22"/>
        <v>0</v>
      </c>
      <c r="V219" s="125">
        <f t="shared" si="22"/>
        <v>0</v>
      </c>
      <c r="W219" s="125">
        <f t="shared" si="22"/>
        <v>0</v>
      </c>
      <c r="X219" s="125">
        <f t="shared" si="22"/>
        <v>0</v>
      </c>
      <c r="Y219" s="125">
        <f t="shared" si="22"/>
        <v>0</v>
      </c>
      <c r="Z219" s="125">
        <f t="shared" si="22"/>
        <v>0</v>
      </c>
      <c r="AA219" s="125">
        <f t="shared" si="22"/>
        <v>0</v>
      </c>
      <c r="AB219" s="125">
        <f t="shared" si="22"/>
        <v>0</v>
      </c>
      <c r="AC219" s="125">
        <f t="shared" si="22"/>
        <v>0</v>
      </c>
      <c r="AD219" s="125">
        <f t="shared" si="22"/>
        <v>0</v>
      </c>
      <c r="AE219" s="125">
        <f t="shared" si="22"/>
        <v>0</v>
      </c>
      <c r="AF219" s="126">
        <f t="shared" si="22"/>
        <v>0</v>
      </c>
      <c r="AG219" s="127">
        <f t="shared" si="22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23">AF221</f>
        <v>0</v>
      </c>
      <c r="C221" s="129">
        <v>0.3</v>
      </c>
      <c r="D221" s="129">
        <f t="shared" ref="D221:P226" si="24">C221</f>
        <v>0.3</v>
      </c>
      <c r="E221" s="129">
        <f t="shared" si="24"/>
        <v>0.3</v>
      </c>
      <c r="F221" s="129">
        <f t="shared" si="24"/>
        <v>0.3</v>
      </c>
      <c r="G221" s="129">
        <f t="shared" si="24"/>
        <v>0.3</v>
      </c>
      <c r="H221" s="129">
        <f t="shared" si="24"/>
        <v>0.3</v>
      </c>
      <c r="I221" s="129">
        <f t="shared" si="24"/>
        <v>0.3</v>
      </c>
      <c r="J221" s="129">
        <f t="shared" si="24"/>
        <v>0.3</v>
      </c>
      <c r="K221" s="129">
        <f t="shared" si="24"/>
        <v>0.3</v>
      </c>
      <c r="L221" s="129">
        <f t="shared" si="24"/>
        <v>0.3</v>
      </c>
      <c r="M221" s="129">
        <f t="shared" si="24"/>
        <v>0.3</v>
      </c>
      <c r="N221" s="129">
        <f t="shared" si="24"/>
        <v>0.3</v>
      </c>
      <c r="O221" s="129">
        <f t="shared" si="24"/>
        <v>0.3</v>
      </c>
      <c r="P221" s="129">
        <f t="shared" si="24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23"/>
        <v>0</v>
      </c>
      <c r="C222" s="117">
        <v>0.4</v>
      </c>
      <c r="D222" s="117">
        <f t="shared" si="24"/>
        <v>0.4</v>
      </c>
      <c r="E222" s="117">
        <f t="shared" si="24"/>
        <v>0.4</v>
      </c>
      <c r="F222" s="117">
        <f t="shared" si="24"/>
        <v>0.4</v>
      </c>
      <c r="G222" s="117">
        <f t="shared" si="24"/>
        <v>0.4</v>
      </c>
      <c r="H222" s="117">
        <f t="shared" si="24"/>
        <v>0.4</v>
      </c>
      <c r="I222" s="117">
        <f t="shared" si="24"/>
        <v>0.4</v>
      </c>
      <c r="J222" s="117">
        <f t="shared" si="24"/>
        <v>0.4</v>
      </c>
      <c r="K222" s="117">
        <f t="shared" si="24"/>
        <v>0.4</v>
      </c>
      <c r="L222" s="117">
        <f t="shared" si="24"/>
        <v>0.4</v>
      </c>
      <c r="M222" s="117">
        <f t="shared" si="24"/>
        <v>0.4</v>
      </c>
      <c r="N222" s="117">
        <f t="shared" si="24"/>
        <v>0.4</v>
      </c>
      <c r="O222" s="117">
        <f t="shared" si="24"/>
        <v>0.4</v>
      </c>
      <c r="P222" s="117">
        <f t="shared" si="24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23"/>
        <v>0</v>
      </c>
      <c r="C223" s="117">
        <v>1.5</v>
      </c>
      <c r="D223" s="117">
        <f t="shared" si="24"/>
        <v>1.5</v>
      </c>
      <c r="E223" s="117">
        <f t="shared" si="24"/>
        <v>1.5</v>
      </c>
      <c r="F223" s="117">
        <f t="shared" si="24"/>
        <v>1.5</v>
      </c>
      <c r="G223" s="117">
        <f t="shared" si="24"/>
        <v>1.5</v>
      </c>
      <c r="H223" s="117">
        <f t="shared" si="24"/>
        <v>1.5</v>
      </c>
      <c r="I223" s="117">
        <f t="shared" si="24"/>
        <v>1.5</v>
      </c>
      <c r="J223" s="117">
        <f t="shared" si="24"/>
        <v>1.5</v>
      </c>
      <c r="K223" s="117">
        <f t="shared" si="24"/>
        <v>1.5</v>
      </c>
      <c r="L223" s="117">
        <f t="shared" si="24"/>
        <v>1.5</v>
      </c>
      <c r="M223" s="117">
        <f t="shared" si="24"/>
        <v>1.5</v>
      </c>
      <c r="N223" s="117">
        <f t="shared" si="24"/>
        <v>1.5</v>
      </c>
      <c r="O223" s="117">
        <f t="shared" si="24"/>
        <v>1.5</v>
      </c>
      <c r="P223" s="117">
        <f t="shared" si="24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23"/>
        <v>0</v>
      </c>
      <c r="C224" s="117">
        <v>0.3</v>
      </c>
      <c r="D224" s="117">
        <f t="shared" si="24"/>
        <v>0.3</v>
      </c>
      <c r="E224" s="117">
        <f t="shared" si="24"/>
        <v>0.3</v>
      </c>
      <c r="F224" s="117">
        <f t="shared" si="24"/>
        <v>0.3</v>
      </c>
      <c r="G224" s="117">
        <f t="shared" si="24"/>
        <v>0.3</v>
      </c>
      <c r="H224" s="117">
        <f t="shared" si="24"/>
        <v>0.3</v>
      </c>
      <c r="I224" s="117">
        <f t="shared" si="24"/>
        <v>0.3</v>
      </c>
      <c r="J224" s="117">
        <f t="shared" si="24"/>
        <v>0.3</v>
      </c>
      <c r="K224" s="117">
        <f t="shared" si="24"/>
        <v>0.3</v>
      </c>
      <c r="L224" s="117">
        <f t="shared" si="24"/>
        <v>0.3</v>
      </c>
      <c r="M224" s="117">
        <f t="shared" si="24"/>
        <v>0.3</v>
      </c>
      <c r="N224" s="117">
        <f t="shared" si="24"/>
        <v>0.3</v>
      </c>
      <c r="O224" s="117">
        <f t="shared" si="24"/>
        <v>0.3</v>
      </c>
      <c r="P224" s="117">
        <f t="shared" si="24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23"/>
        <v>0</v>
      </c>
      <c r="C225" s="117">
        <v>0.4</v>
      </c>
      <c r="D225" s="117">
        <f t="shared" si="24"/>
        <v>0.4</v>
      </c>
      <c r="E225" s="117">
        <f t="shared" si="24"/>
        <v>0.4</v>
      </c>
      <c r="F225" s="117">
        <f t="shared" si="24"/>
        <v>0.4</v>
      </c>
      <c r="G225" s="117">
        <f t="shared" si="24"/>
        <v>0.4</v>
      </c>
      <c r="H225" s="117">
        <f t="shared" si="24"/>
        <v>0.4</v>
      </c>
      <c r="I225" s="117">
        <f t="shared" si="24"/>
        <v>0.4</v>
      </c>
      <c r="J225" s="117">
        <f t="shared" si="24"/>
        <v>0.4</v>
      </c>
      <c r="K225" s="117">
        <f t="shared" si="24"/>
        <v>0.4</v>
      </c>
      <c r="L225" s="117">
        <f t="shared" si="24"/>
        <v>0.4</v>
      </c>
      <c r="M225" s="117">
        <f t="shared" si="24"/>
        <v>0.4</v>
      </c>
      <c r="N225" s="117">
        <f t="shared" si="24"/>
        <v>0.4</v>
      </c>
      <c r="O225" s="117">
        <f t="shared" si="24"/>
        <v>0.4</v>
      </c>
      <c r="P225" s="117">
        <f t="shared" si="24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23"/>
        <v>0</v>
      </c>
      <c r="C226" s="121">
        <v>0.64</v>
      </c>
      <c r="D226" s="121">
        <f t="shared" si="24"/>
        <v>0.64</v>
      </c>
      <c r="E226" s="121">
        <f t="shared" si="24"/>
        <v>0.64</v>
      </c>
      <c r="F226" s="121">
        <f t="shared" si="24"/>
        <v>0.64</v>
      </c>
      <c r="G226" s="121">
        <f t="shared" si="24"/>
        <v>0.64</v>
      </c>
      <c r="H226" s="121">
        <f t="shared" si="24"/>
        <v>0.64</v>
      </c>
      <c r="I226" s="121">
        <f t="shared" si="24"/>
        <v>0.64</v>
      </c>
      <c r="J226" s="121">
        <f t="shared" si="24"/>
        <v>0.64</v>
      </c>
      <c r="K226" s="121">
        <f t="shared" si="24"/>
        <v>0.64</v>
      </c>
      <c r="L226" s="121">
        <f t="shared" si="24"/>
        <v>0.64</v>
      </c>
      <c r="M226" s="121">
        <f t="shared" si="24"/>
        <v>0.64</v>
      </c>
      <c r="N226" s="121">
        <f t="shared" si="24"/>
        <v>0.64</v>
      </c>
      <c r="O226" s="121">
        <f t="shared" si="24"/>
        <v>0.64</v>
      </c>
      <c r="P226" s="121">
        <f t="shared" si="24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25">SUM(B221:B226)</f>
        <v>0</v>
      </c>
      <c r="C227" s="125">
        <f t="shared" si="25"/>
        <v>3.54</v>
      </c>
      <c r="D227" s="125">
        <f t="shared" si="25"/>
        <v>3.54</v>
      </c>
      <c r="E227" s="125">
        <f t="shared" si="25"/>
        <v>3.54</v>
      </c>
      <c r="F227" s="125">
        <f t="shared" si="25"/>
        <v>3.54</v>
      </c>
      <c r="G227" s="125">
        <f t="shared" si="25"/>
        <v>3.54</v>
      </c>
      <c r="H227" s="125">
        <f t="shared" si="25"/>
        <v>3.54</v>
      </c>
      <c r="I227" s="125">
        <f t="shared" si="25"/>
        <v>3.54</v>
      </c>
      <c r="J227" s="125">
        <f t="shared" si="25"/>
        <v>3.54</v>
      </c>
      <c r="K227" s="125">
        <f t="shared" si="25"/>
        <v>3.54</v>
      </c>
      <c r="L227" s="125">
        <f t="shared" si="25"/>
        <v>3.54</v>
      </c>
      <c r="M227" s="125">
        <f t="shared" si="25"/>
        <v>3.54</v>
      </c>
      <c r="N227" s="125">
        <f t="shared" si="25"/>
        <v>3.54</v>
      </c>
      <c r="O227" s="125">
        <f t="shared" si="25"/>
        <v>3.54</v>
      </c>
      <c r="P227" s="125">
        <f t="shared" si="25"/>
        <v>3.54</v>
      </c>
      <c r="Q227" s="125">
        <f t="shared" si="25"/>
        <v>0</v>
      </c>
      <c r="R227" s="125">
        <f t="shared" si="25"/>
        <v>0</v>
      </c>
      <c r="S227" s="125">
        <f t="shared" si="25"/>
        <v>0</v>
      </c>
      <c r="T227" s="125">
        <f t="shared" si="25"/>
        <v>0</v>
      </c>
      <c r="U227" s="125">
        <f t="shared" si="25"/>
        <v>0</v>
      </c>
      <c r="V227" s="125">
        <f t="shared" si="25"/>
        <v>0</v>
      </c>
      <c r="W227" s="125">
        <f t="shared" si="25"/>
        <v>0</v>
      </c>
      <c r="X227" s="125">
        <f t="shared" si="25"/>
        <v>0</v>
      </c>
      <c r="Y227" s="125">
        <f t="shared" si="25"/>
        <v>0</v>
      </c>
      <c r="Z227" s="125">
        <f t="shared" si="25"/>
        <v>0</v>
      </c>
      <c r="AA227" s="125">
        <f t="shared" si="25"/>
        <v>0</v>
      </c>
      <c r="AB227" s="125">
        <f t="shared" si="25"/>
        <v>0</v>
      </c>
      <c r="AC227" s="125">
        <f t="shared" si="25"/>
        <v>0</v>
      </c>
      <c r="AD227" s="125">
        <f t="shared" si="25"/>
        <v>0</v>
      </c>
      <c r="AE227" s="125">
        <f t="shared" si="25"/>
        <v>0</v>
      </c>
      <c r="AF227" s="125">
        <f t="shared" si="25"/>
        <v>0</v>
      </c>
      <c r="AG227" s="134">
        <f t="shared" si="25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1670.54</v>
      </c>
      <c r="C236" s="150">
        <f>INDEX(G9:N9,1,MATCH(MAX(G84:N84),G84:N84,0))</f>
        <v>0.3125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16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2079/08/16)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2079/08/16)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26">B84</f>
        <v>1049.5400000000002</v>
      </c>
      <c r="U241" s="159">
        <f t="shared" si="26"/>
        <v>1049.94</v>
      </c>
      <c r="V241" s="159">
        <f t="shared" si="26"/>
        <v>1003.94</v>
      </c>
      <c r="W241" s="159">
        <f t="shared" si="26"/>
        <v>1022.04</v>
      </c>
      <c r="X241" s="159">
        <f t="shared" si="26"/>
        <v>1008.44</v>
      </c>
      <c r="Y241" s="159">
        <f t="shared" si="26"/>
        <v>1083.44</v>
      </c>
      <c r="Z241" s="159">
        <f t="shared" si="26"/>
        <v>1187.3400000000001</v>
      </c>
      <c r="AA241" s="159">
        <f t="shared" si="26"/>
        <v>1260.5400000000002</v>
      </c>
      <c r="AB241" s="159">
        <f t="shared" si="26"/>
        <v>1384.8400000000001</v>
      </c>
      <c r="AC241" s="159">
        <f t="shared" si="26"/>
        <v>1600.44</v>
      </c>
      <c r="AD241" s="159">
        <f t="shared" si="26"/>
        <v>1670.54</v>
      </c>
      <c r="AE241" s="159">
        <f t="shared" si="26"/>
        <v>1666.4399999999998</v>
      </c>
      <c r="AF241" s="159">
        <f t="shared" si="26"/>
        <v>1650.94</v>
      </c>
      <c r="AG241" s="159">
        <f t="shared" si="26"/>
        <v>1374.54</v>
      </c>
      <c r="AH241" s="159">
        <f t="shared" si="26"/>
        <v>1370.54</v>
      </c>
      <c r="AI241" s="159">
        <f t="shared" si="26"/>
        <v>1252.54</v>
      </c>
      <c r="AJ241" s="159">
        <f t="shared" si="26"/>
        <v>1167.6400000000001</v>
      </c>
      <c r="AK241" s="159">
        <f t="shared" si="26"/>
        <v>1178.3400000000001</v>
      </c>
      <c r="AL241" s="159">
        <f t="shared" si="26"/>
        <v>1185.3400000000001</v>
      </c>
      <c r="AM241" s="159">
        <f t="shared" si="26"/>
        <v>1205.04</v>
      </c>
      <c r="AN241" s="159">
        <f t="shared" si="26"/>
        <v>1410.3400000000001</v>
      </c>
      <c r="AO241" s="159">
        <f t="shared" si="26"/>
        <v>1613.6399999999999</v>
      </c>
      <c r="AP241" s="159">
        <f t="shared" si="26"/>
        <v>1736.2999999999997</v>
      </c>
      <c r="AQ241" s="159">
        <f t="shared" si="26"/>
        <v>1707.0400000000002</v>
      </c>
      <c r="AR241" s="159">
        <f t="shared" si="26"/>
        <v>1589.24</v>
      </c>
      <c r="AS241" s="159">
        <f t="shared" si="26"/>
        <v>1555.74</v>
      </c>
      <c r="AT241" s="159">
        <f t="shared" si="26"/>
        <v>1441.04</v>
      </c>
      <c r="AU241" s="159">
        <f t="shared" si="26"/>
        <v>1446.84</v>
      </c>
      <c r="AV241" s="159">
        <f t="shared" si="26"/>
        <v>1353.94</v>
      </c>
      <c r="AW241" s="159">
        <f t="shared" si="26"/>
        <v>1263.54</v>
      </c>
      <c r="AX241" s="159">
        <f t="shared" si="26"/>
        <v>1128.44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27">C226</f>
        <v>0.64</v>
      </c>
      <c r="C262" s="162">
        <f t="shared" si="27"/>
        <v>0.64</v>
      </c>
      <c r="D262" s="162">
        <f t="shared" si="27"/>
        <v>0.64</v>
      </c>
      <c r="E262" s="162">
        <f t="shared" si="27"/>
        <v>0.64</v>
      </c>
      <c r="F262" s="162">
        <f t="shared" si="27"/>
        <v>0.64</v>
      </c>
      <c r="G262" s="162">
        <f t="shared" si="27"/>
        <v>0.64</v>
      </c>
      <c r="H262" s="162">
        <f t="shared" si="27"/>
        <v>0.64</v>
      </c>
      <c r="I262" s="162">
        <f t="shared" si="27"/>
        <v>0.64</v>
      </c>
      <c r="J262" s="162">
        <f t="shared" si="27"/>
        <v>0.64</v>
      </c>
      <c r="K262" s="162">
        <f t="shared" si="27"/>
        <v>0.64</v>
      </c>
      <c r="L262" s="162">
        <f t="shared" si="27"/>
        <v>0.64</v>
      </c>
      <c r="M262" s="162">
        <f t="shared" si="27"/>
        <v>0.64</v>
      </c>
      <c r="N262" s="162">
        <f t="shared" si="27"/>
        <v>0.64</v>
      </c>
      <c r="O262" s="162">
        <f t="shared" si="27"/>
        <v>0.64</v>
      </c>
      <c r="P262" s="162">
        <f t="shared" si="27"/>
        <v>0</v>
      </c>
      <c r="Q262" s="162">
        <f t="shared" si="27"/>
        <v>0</v>
      </c>
      <c r="R262" s="162">
        <f t="shared" si="27"/>
        <v>0</v>
      </c>
      <c r="S262" s="162">
        <f t="shared" si="27"/>
        <v>0</v>
      </c>
      <c r="T262" s="162">
        <f t="shared" si="27"/>
        <v>0</v>
      </c>
      <c r="U262" s="162">
        <f t="shared" si="27"/>
        <v>0</v>
      </c>
      <c r="V262" s="162">
        <f t="shared" si="27"/>
        <v>0</v>
      </c>
      <c r="W262" s="162">
        <f t="shared" si="27"/>
        <v>0</v>
      </c>
      <c r="X262" s="162">
        <f t="shared" si="27"/>
        <v>0</v>
      </c>
      <c r="Y262" s="162">
        <f t="shared" si="27"/>
        <v>0</v>
      </c>
      <c r="Z262" s="162">
        <f t="shared" si="27"/>
        <v>0</v>
      </c>
      <c r="AA262" s="162">
        <f t="shared" si="27"/>
        <v>0</v>
      </c>
      <c r="AB262" s="162">
        <f t="shared" si="27"/>
        <v>0</v>
      </c>
      <c r="AC262" s="162">
        <f t="shared" si="27"/>
        <v>0</v>
      </c>
      <c r="AD262" s="162">
        <f t="shared" si="27"/>
        <v>0</v>
      </c>
      <c r="AE262" s="162">
        <f t="shared" si="27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28">IF(B230&lt;100,"",B230-520)</f>
        <v/>
      </c>
      <c r="C263" s="163" t="str">
        <f t="shared" si="28"/>
        <v/>
      </c>
      <c r="D263" s="163" t="str">
        <f t="shared" si="28"/>
        <v/>
      </c>
      <c r="E263" s="163" t="str">
        <f t="shared" si="28"/>
        <v/>
      </c>
      <c r="F263" s="163" t="str">
        <f t="shared" si="28"/>
        <v/>
      </c>
      <c r="G263" s="163" t="str">
        <f t="shared" si="28"/>
        <v/>
      </c>
      <c r="H263" s="163" t="str">
        <f t="shared" si="28"/>
        <v/>
      </c>
      <c r="I263" s="163" t="str">
        <f t="shared" si="28"/>
        <v/>
      </c>
      <c r="J263" s="163" t="str">
        <f t="shared" si="28"/>
        <v/>
      </c>
      <c r="K263" s="163" t="str">
        <f t="shared" si="28"/>
        <v/>
      </c>
      <c r="L263" s="163" t="str">
        <f t="shared" si="28"/>
        <v/>
      </c>
      <c r="M263" s="163" t="str">
        <f t="shared" si="28"/>
        <v/>
      </c>
      <c r="N263" s="163" t="str">
        <f t="shared" si="28"/>
        <v/>
      </c>
      <c r="O263" s="163" t="str">
        <f t="shared" si="28"/>
        <v/>
      </c>
      <c r="P263" s="163" t="str">
        <f t="shared" si="28"/>
        <v/>
      </c>
      <c r="Q263" s="163" t="str">
        <f t="shared" si="28"/>
        <v/>
      </c>
      <c r="R263" s="163" t="str">
        <f t="shared" si="28"/>
        <v/>
      </c>
      <c r="S263" s="163" t="str">
        <f t="shared" si="28"/>
        <v/>
      </c>
      <c r="T263" s="163" t="str">
        <f t="shared" si="28"/>
        <v/>
      </c>
      <c r="U263" s="163" t="str">
        <f t="shared" si="28"/>
        <v/>
      </c>
      <c r="V263" s="163" t="str">
        <f t="shared" si="28"/>
        <v/>
      </c>
      <c r="W263" s="163" t="str">
        <f t="shared" si="28"/>
        <v/>
      </c>
      <c r="X263" s="163" t="str">
        <f t="shared" si="28"/>
        <v/>
      </c>
      <c r="Y263" s="163" t="str">
        <f t="shared" si="28"/>
        <v/>
      </c>
      <c r="Z263" s="163" t="str">
        <f t="shared" si="28"/>
        <v/>
      </c>
      <c r="AA263" s="163" t="str">
        <f t="shared" si="28"/>
        <v/>
      </c>
      <c r="AB263" s="163" t="str">
        <f t="shared" si="28"/>
        <v/>
      </c>
      <c r="AC263" s="163" t="str">
        <f t="shared" si="28"/>
        <v/>
      </c>
      <c r="AD263" s="163" t="str">
        <f t="shared" si="28"/>
        <v/>
      </c>
      <c r="AE263" s="163" t="str">
        <f t="shared" si="28"/>
        <v/>
      </c>
      <c r="AF263" s="163" t="str">
        <f t="shared" si="28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29">IF(B231&lt;100,"",B231-620)</f>
        <v/>
      </c>
      <c r="C264" s="163" t="str">
        <f t="shared" si="29"/>
        <v/>
      </c>
      <c r="D264" s="163" t="str">
        <f t="shared" si="29"/>
        <v/>
      </c>
      <c r="E264" s="163" t="str">
        <f t="shared" si="29"/>
        <v/>
      </c>
      <c r="F264" s="163" t="str">
        <f t="shared" si="29"/>
        <v/>
      </c>
      <c r="G264" s="163" t="str">
        <f t="shared" si="29"/>
        <v/>
      </c>
      <c r="H264" s="163" t="str">
        <f t="shared" si="29"/>
        <v/>
      </c>
      <c r="I264" s="163" t="str">
        <f t="shared" si="29"/>
        <v/>
      </c>
      <c r="J264" s="163" t="str">
        <f t="shared" si="29"/>
        <v/>
      </c>
      <c r="K264" s="163" t="str">
        <f t="shared" si="29"/>
        <v/>
      </c>
      <c r="L264" s="163" t="str">
        <f t="shared" si="29"/>
        <v/>
      </c>
      <c r="M264" s="163" t="str">
        <f t="shared" si="29"/>
        <v/>
      </c>
      <c r="N264" s="163" t="str">
        <f t="shared" si="29"/>
        <v/>
      </c>
      <c r="O264" s="163" t="str">
        <f t="shared" si="29"/>
        <v/>
      </c>
      <c r="P264" s="163" t="str">
        <f t="shared" si="29"/>
        <v/>
      </c>
      <c r="Q264" s="163" t="str">
        <f t="shared" si="29"/>
        <v/>
      </c>
      <c r="R264" s="163" t="str">
        <f t="shared" si="29"/>
        <v/>
      </c>
      <c r="S264" s="163" t="str">
        <f t="shared" si="29"/>
        <v/>
      </c>
      <c r="T264" s="163" t="str">
        <f t="shared" si="29"/>
        <v/>
      </c>
      <c r="U264" s="163" t="str">
        <f t="shared" si="29"/>
        <v/>
      </c>
      <c r="V264" s="163" t="str">
        <f t="shared" si="29"/>
        <v/>
      </c>
      <c r="W264" s="163" t="str">
        <f t="shared" si="29"/>
        <v/>
      </c>
      <c r="X264" s="163" t="str">
        <f t="shared" si="29"/>
        <v/>
      </c>
      <c r="Y264" s="163" t="str">
        <f t="shared" si="29"/>
        <v/>
      </c>
      <c r="Z264" s="163" t="str">
        <f t="shared" si="29"/>
        <v/>
      </c>
      <c r="AA264" s="163" t="str">
        <f t="shared" si="29"/>
        <v/>
      </c>
      <c r="AB264" s="163" t="str">
        <f t="shared" si="29"/>
        <v/>
      </c>
      <c r="AC264" s="163" t="str">
        <f t="shared" si="29"/>
        <v/>
      </c>
      <c r="AD264" s="163" t="str">
        <f t="shared" si="29"/>
        <v/>
      </c>
      <c r="AE264" s="163" t="str">
        <f t="shared" si="29"/>
        <v/>
      </c>
      <c r="AF264" s="163" t="str">
        <f t="shared" si="29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30">IF(B232&lt;100,"",B232-330)</f>
        <v/>
      </c>
      <c r="C265" s="163" t="str">
        <f t="shared" si="30"/>
        <v/>
      </c>
      <c r="D265" s="163" t="str">
        <f t="shared" si="30"/>
        <v/>
      </c>
      <c r="E265" s="163" t="str">
        <f t="shared" si="30"/>
        <v/>
      </c>
      <c r="F265" s="163" t="str">
        <f t="shared" si="30"/>
        <v/>
      </c>
      <c r="G265" s="163" t="str">
        <f t="shared" si="30"/>
        <v/>
      </c>
      <c r="H265" s="163" t="str">
        <f t="shared" si="30"/>
        <v/>
      </c>
      <c r="I265" s="163" t="str">
        <f t="shared" si="30"/>
        <v/>
      </c>
      <c r="J265" s="163" t="str">
        <f t="shared" si="30"/>
        <v/>
      </c>
      <c r="K265" s="163" t="str">
        <f t="shared" si="30"/>
        <v/>
      </c>
      <c r="L265" s="163" t="str">
        <f t="shared" si="30"/>
        <v/>
      </c>
      <c r="M265" s="163" t="str">
        <f t="shared" si="30"/>
        <v/>
      </c>
      <c r="N265" s="163" t="str">
        <f t="shared" si="30"/>
        <v/>
      </c>
      <c r="O265" s="163" t="str">
        <f t="shared" si="30"/>
        <v/>
      </c>
      <c r="P265" s="163" t="str">
        <f t="shared" si="30"/>
        <v/>
      </c>
      <c r="Q265" s="163" t="str">
        <f t="shared" si="30"/>
        <v/>
      </c>
      <c r="R265" s="163" t="str">
        <f t="shared" si="30"/>
        <v/>
      </c>
      <c r="S265" s="163" t="str">
        <f t="shared" si="30"/>
        <v/>
      </c>
      <c r="T265" s="163" t="str">
        <f t="shared" si="30"/>
        <v/>
      </c>
      <c r="U265" s="163" t="str">
        <f t="shared" si="30"/>
        <v/>
      </c>
      <c r="V265" s="163" t="str">
        <f t="shared" si="30"/>
        <v/>
      </c>
      <c r="W265" s="163" t="str">
        <f t="shared" si="30"/>
        <v/>
      </c>
      <c r="X265" s="163" t="str">
        <f t="shared" si="30"/>
        <v/>
      </c>
      <c r="Y265" s="163" t="str">
        <f t="shared" si="30"/>
        <v/>
      </c>
      <c r="Z265" s="163" t="str">
        <f t="shared" si="30"/>
        <v/>
      </c>
      <c r="AA265" s="163" t="str">
        <f t="shared" si="30"/>
        <v/>
      </c>
      <c r="AB265" s="163" t="str">
        <f t="shared" si="30"/>
        <v/>
      </c>
      <c r="AC265" s="163" t="str">
        <f t="shared" si="30"/>
        <v/>
      </c>
      <c r="AD265" s="163" t="str">
        <f t="shared" si="30"/>
        <v/>
      </c>
      <c r="AE265" s="163" t="str">
        <f t="shared" si="30"/>
        <v/>
      </c>
      <c r="AF265" s="163" t="str">
        <f t="shared" si="30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31">IF(B233&lt;100,"",B233-1500)</f>
        <v/>
      </c>
      <c r="C266" s="163" t="str">
        <f t="shared" si="31"/>
        <v/>
      </c>
      <c r="D266" s="163" t="str">
        <f t="shared" si="31"/>
        <v/>
      </c>
      <c r="E266" s="163" t="str">
        <f t="shared" si="31"/>
        <v/>
      </c>
      <c r="F266" s="163" t="str">
        <f t="shared" si="31"/>
        <v/>
      </c>
      <c r="G266" s="163" t="str">
        <f t="shared" si="31"/>
        <v/>
      </c>
      <c r="H266" s="163" t="str">
        <f t="shared" si="31"/>
        <v/>
      </c>
      <c r="I266" s="163" t="str">
        <f t="shared" si="31"/>
        <v/>
      </c>
      <c r="J266" s="163" t="str">
        <f t="shared" si="31"/>
        <v/>
      </c>
      <c r="K266" s="163" t="str">
        <f t="shared" si="31"/>
        <v/>
      </c>
      <c r="L266" s="163" t="str">
        <f t="shared" si="31"/>
        <v/>
      </c>
      <c r="M266" s="163" t="str">
        <f t="shared" si="31"/>
        <v/>
      </c>
      <c r="N266" s="163" t="str">
        <f t="shared" si="31"/>
        <v/>
      </c>
      <c r="O266" s="163" t="str">
        <f t="shared" si="31"/>
        <v/>
      </c>
      <c r="P266" s="163" t="str">
        <f t="shared" si="31"/>
        <v/>
      </c>
      <c r="Q266" s="163" t="str">
        <f t="shared" si="31"/>
        <v/>
      </c>
      <c r="R266" s="163" t="str">
        <f t="shared" si="31"/>
        <v/>
      </c>
      <c r="S266" s="163" t="str">
        <f t="shared" si="31"/>
        <v/>
      </c>
      <c r="T266" s="163" t="str">
        <f t="shared" si="31"/>
        <v/>
      </c>
      <c r="U266" s="163" t="str">
        <f t="shared" si="31"/>
        <v/>
      </c>
      <c r="V266" s="163" t="str">
        <f t="shared" si="31"/>
        <v/>
      </c>
      <c r="W266" s="163" t="str">
        <f t="shared" si="31"/>
        <v/>
      </c>
      <c r="X266" s="163" t="str">
        <f t="shared" si="31"/>
        <v/>
      </c>
      <c r="Y266" s="163" t="str">
        <f t="shared" si="31"/>
        <v/>
      </c>
      <c r="Z266" s="163" t="str">
        <f t="shared" si="31"/>
        <v/>
      </c>
      <c r="AA266" s="163" t="str">
        <f t="shared" si="31"/>
        <v/>
      </c>
      <c r="AB266" s="163" t="str">
        <f t="shared" si="31"/>
        <v/>
      </c>
      <c r="AC266" s="163" t="str">
        <f t="shared" si="31"/>
        <v/>
      </c>
      <c r="AD266" s="163" t="str">
        <f t="shared" si="31"/>
        <v/>
      </c>
      <c r="AE266" s="163" t="str">
        <f t="shared" si="31"/>
        <v/>
      </c>
      <c r="AF266" s="163" t="str">
        <f t="shared" si="31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 X11:AF11 B22:AF26 B17:AF18 B15:AF15">
    <cfRule type="expression" dxfId="5259" priority="239">
      <formula>B$9&gt;=20/24</formula>
    </cfRule>
    <cfRule type="expression" dxfId="5258" priority="240">
      <formula>AND(B$9&gt;=14/24,B$9&lt;20/24)</formula>
    </cfRule>
    <cfRule type="expression" dxfId="5257" priority="241">
      <formula>AND(B$9&gt;=8/24,B$9&lt;14/24)</formula>
    </cfRule>
    <cfRule type="expression" dxfId="5256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U42:AF42">
    <cfRule type="expression" dxfId="5255" priority="234">
      <formula>U$9&gt;=20/24</formula>
    </cfRule>
    <cfRule type="expression" dxfId="5254" priority="235">
      <formula>AND(U$9&gt;=14/24,U$9&lt;20/24)</formula>
    </cfRule>
    <cfRule type="expression" dxfId="5253" priority="236">
      <formula>AND(U$9&gt;=8/24,U$9&lt;14/24)</formula>
    </cfRule>
    <cfRule type="expression" dxfId="5252" priority="237">
      <formula>U$9&lt;8/24</formula>
    </cfRule>
  </conditionalFormatting>
  <conditionalFormatting sqref="AG60 U42:AF42 R11 B12:R18 B40:AF40 B20:AF20 B22:AF26 S11:AF18">
    <cfRule type="expression" dxfId="5251" priority="233">
      <formula>B11&gt;$AG11</formula>
    </cfRule>
  </conditionalFormatting>
  <conditionalFormatting sqref="A94:A104 A54:A81 A90:A92 A197:A227 A41:A52 A113:A184 A37:A38 A86:A88 A83:A84 A106:A108 A34:A35 A20:A32 A17:A18 A11:A15">
    <cfRule type="expression" dxfId="5250" priority="232">
      <formula>$AH11=0</formula>
    </cfRule>
  </conditionalFormatting>
  <conditionalFormatting sqref="A109">
    <cfRule type="expression" dxfId="5249" priority="231">
      <formula>$AH109=0</formula>
    </cfRule>
  </conditionalFormatting>
  <conditionalFormatting sqref="AL38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248" priority="229">
      <formula>$AH40=0</formula>
    </cfRule>
  </conditionalFormatting>
  <conditionalFormatting sqref="A93">
    <cfRule type="expression" dxfId="5247" priority="228">
      <formula>$AH93=0</formula>
    </cfRule>
  </conditionalFormatting>
  <conditionalFormatting sqref="A16">
    <cfRule type="expression" dxfId="5246" priority="227">
      <formula>$AH16=0</formula>
    </cfRule>
  </conditionalFormatting>
  <conditionalFormatting sqref="A191:A196">
    <cfRule type="expression" dxfId="5245" priority="226">
      <formula>$AH191=0</formula>
    </cfRule>
  </conditionalFormatting>
  <conditionalFormatting sqref="A185:A190">
    <cfRule type="expression" dxfId="5244" priority="225">
      <formula>$AH185=0</formula>
    </cfRule>
  </conditionalFormatting>
  <conditionalFormatting sqref="A53">
    <cfRule type="expression" dxfId="5243" priority="224">
      <formula>$AH53=0</formula>
    </cfRule>
  </conditionalFormatting>
  <conditionalFormatting sqref="A89">
    <cfRule type="expression" dxfId="5242" priority="223">
      <formula>$AH89=0</formula>
    </cfRule>
  </conditionalFormatting>
  <conditionalFormatting sqref="C94:AF94">
    <cfRule type="expression" dxfId="5241" priority="219">
      <formula>C$9&gt;=20/24</formula>
    </cfRule>
    <cfRule type="expression" dxfId="5240" priority="220">
      <formula>AND(C$9&gt;=14/24,C$9&lt;20/24)</formula>
    </cfRule>
    <cfRule type="expression" dxfId="5239" priority="221">
      <formula>AND(C$9&gt;=8/24,C$9&lt;14/24)</formula>
    </cfRule>
    <cfRule type="expression" dxfId="5238" priority="222">
      <formula>C$9&lt;8/24</formula>
    </cfRule>
  </conditionalFormatting>
  <conditionalFormatting sqref="AL39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237" priority="245">
      <formula>C$9&gt;=20/24</formula>
    </cfRule>
    <cfRule type="expression" dxfId="5236" priority="246">
      <formula>AND(C$9&gt;=14/24,C$9&lt;20/24)</formula>
    </cfRule>
    <cfRule type="expression" dxfId="5235" priority="247">
      <formula>AND(C$9&gt;=8/24,C$9&lt;14/24)</formula>
    </cfRule>
    <cfRule type="expression" dxfId="5234" priority="248">
      <formula>C$9&lt;8/24</formula>
    </cfRule>
  </conditionalFormatting>
  <conditionalFormatting sqref="A228">
    <cfRule type="expression" dxfId="5233" priority="249">
      <formula>$AH228=0</formula>
    </cfRule>
  </conditionalFormatting>
  <conditionalFormatting sqref="AG240">
    <cfRule type="expression" dxfId="5232" priority="250">
      <formula>B$9&gt;=20/24</formula>
    </cfRule>
    <cfRule type="expression" dxfId="5231" priority="251">
      <formula>AND(B$9&gt;=14/24,B$9&lt;20/24)</formula>
    </cfRule>
    <cfRule type="expression" dxfId="5230" priority="252">
      <formula>AND(B$9&gt;=8/24,B$9&lt;14/24)</formula>
    </cfRule>
    <cfRule type="expression" dxfId="5229" priority="253">
      <formula>B$9&lt;8/24</formula>
    </cfRule>
  </conditionalFormatting>
  <conditionalFormatting sqref="S8">
    <cfRule type="expression" dxfId="5228" priority="214">
      <formula>U$9&gt;=20/24</formula>
    </cfRule>
    <cfRule type="expression" dxfId="5227" priority="215">
      <formula>AND(U$9&gt;=14/24,U$9&lt;20/24)</formula>
    </cfRule>
    <cfRule type="expression" dxfId="5226" priority="216">
      <formula>AND(U$9&gt;=8/24,U$9&lt;14/24)</formula>
    </cfRule>
    <cfRule type="expression" dxfId="5225" priority="217">
      <formula>U$9&lt;8/24</formula>
    </cfRule>
  </conditionalFormatting>
  <conditionalFormatting sqref="AB8">
    <cfRule type="expression" dxfId="5224" priority="210">
      <formula>AD$9&gt;=20/24</formula>
    </cfRule>
    <cfRule type="expression" dxfId="5223" priority="211">
      <formula>AND(AD$9&gt;=14/24,AD$9&lt;20/24)</formula>
    </cfRule>
    <cfRule type="expression" dxfId="5222" priority="212">
      <formula>AND(AD$9&gt;=8/24,AD$9&lt;14/24)</formula>
    </cfRule>
    <cfRule type="expression" dxfId="5221" priority="213">
      <formula>AD$9&lt;8/24</formula>
    </cfRule>
  </conditionalFormatting>
  <conditionalFormatting sqref="AH240:AX240">
    <cfRule type="expression" dxfId="5220" priority="254">
      <formula>AG$9&gt;=20/24</formula>
    </cfRule>
    <cfRule type="expression" dxfId="5219" priority="255">
      <formula>AND(AG$9&gt;=14/24,AG$9&lt;20/24)</formula>
    </cfRule>
    <cfRule type="expression" dxfId="5218" priority="256">
      <formula>AND(AG$9&gt;=8/24,AG$9&lt;14/24)</formula>
    </cfRule>
    <cfRule type="expression" dxfId="5217" priority="257">
      <formula>AG$9&lt;8/24</formula>
    </cfRule>
  </conditionalFormatting>
  <conditionalFormatting sqref="T240">
    <cfRule type="expression" dxfId="5216" priority="258">
      <formula>AX$9&gt;=20/24</formula>
    </cfRule>
    <cfRule type="expression" dxfId="5215" priority="259">
      <formula>AND(AX$9&gt;=14/24,AX$9&lt;20/24)</formula>
    </cfRule>
    <cfRule type="expression" dxfId="5214" priority="260">
      <formula>AND(AX$9&gt;=8/24,AX$9&lt;14/24)</formula>
    </cfRule>
    <cfRule type="expression" dxfId="5213" priority="261">
      <formula>AX$9&lt;8/24</formula>
    </cfRule>
  </conditionalFormatting>
  <conditionalFormatting sqref="A110:A111">
    <cfRule type="expression" dxfId="5212" priority="209">
      <formula>$AH110=0</formula>
    </cfRule>
  </conditionalFormatting>
  <conditionalFormatting sqref="F49:Q50 S49:W50 E66:AF66">
    <cfRule type="expression" dxfId="5211" priority="205">
      <formula>E$9&gt;=20/24</formula>
    </cfRule>
    <cfRule type="expression" dxfId="5210" priority="206">
      <formula>AND(E$9&gt;=14/24,E$9&lt;20/24)</formula>
    </cfRule>
    <cfRule type="expression" dxfId="5209" priority="207">
      <formula>AND(E$9&gt;=8/24,E$9&lt;14/24)</formula>
    </cfRule>
    <cfRule type="expression" dxfId="5208" priority="208">
      <formula>E$9&lt;8/24</formula>
    </cfRule>
  </conditionalFormatting>
  <conditionalFormatting sqref="F48:Q48 S48:W48">
    <cfRule type="expression" dxfId="5207" priority="201">
      <formula>F$9&gt;=20/24</formula>
    </cfRule>
    <cfRule type="expression" dxfId="5206" priority="202">
      <formula>AND(F$9&gt;=14/24,F$9&lt;20/24)</formula>
    </cfRule>
    <cfRule type="expression" dxfId="5205" priority="203">
      <formula>AND(F$9&gt;=8/24,F$9&lt;14/24)</formula>
    </cfRule>
    <cfRule type="expression" dxfId="5204" priority="204">
      <formula>F$9&lt;8/24</formula>
    </cfRule>
  </conditionalFormatting>
  <conditionalFormatting sqref="F48:Q50 S48:W50">
    <cfRule type="expression" dxfId="5203" priority="200">
      <formula>F48&gt;$AG48</formula>
    </cfRule>
  </conditionalFormatting>
  <conditionalFormatting sqref="C91:AF91 C81:AF81 U62:AF64 L42:T42 E67:T68 D95:AF101 R11:W11 U78:AF80 U67:AF76 X28:AF30 X32:AF32 X20:AF20 X12:AF14 X34:AF37">
    <cfRule type="expression" dxfId="5202" priority="196">
      <formula>C$9&gt;=20/24</formula>
    </cfRule>
    <cfRule type="expression" dxfId="5201" priority="197">
      <formula>AND(C$9&gt;=14/24,C$9&lt;20/24)</formula>
    </cfRule>
    <cfRule type="expression" dxfId="5200" priority="198">
      <formula>AND(C$9&gt;=8/24,C$9&lt;14/24)</formula>
    </cfRule>
    <cfRule type="expression" dxfId="5199" priority="199">
      <formula>C$9&lt;8/24</formula>
    </cfRule>
  </conditionalFormatting>
  <conditionalFormatting sqref="X38:AF38">
    <cfRule type="expression" dxfId="5198" priority="192">
      <formula>X$9&gt;=20/24</formula>
    </cfRule>
    <cfRule type="expression" dxfId="5197" priority="193">
      <formula>AND(X$9&gt;=14/24,X$9&lt;20/24)</formula>
    </cfRule>
    <cfRule type="expression" dxfId="5196" priority="194">
      <formula>AND(X$9&gt;=8/24,X$9&lt;14/24)</formula>
    </cfRule>
    <cfRule type="expression" dxfId="5195" priority="195">
      <formula>X$9&lt;8/24</formula>
    </cfRule>
  </conditionalFormatting>
  <conditionalFormatting sqref="C60:AF60 U62:AF64 F51:Q51 L42:T42 R11:W11 X28:AF32 X34:AF38">
    <cfRule type="expression" dxfId="5194" priority="191">
      <formula>C11&gt;$AG11</formula>
    </cfRule>
  </conditionalFormatting>
  <conditionalFormatting sqref="X40:AF40">
    <cfRule type="expression" dxfId="5193" priority="187">
      <formula>X$9&gt;=20/24</formula>
    </cfRule>
    <cfRule type="expression" dxfId="5192" priority="188">
      <formula>AND(X$9&gt;=14/24,X$9&lt;20/24)</formula>
    </cfRule>
    <cfRule type="expression" dxfId="5191" priority="189">
      <formula>AND(X$9&gt;=8/24,X$9&lt;14/24)</formula>
    </cfRule>
    <cfRule type="expression" dxfId="5190" priority="190">
      <formula>X$9&lt;8/24</formula>
    </cfRule>
  </conditionalFormatting>
  <conditionalFormatting sqref="X16:AF16">
    <cfRule type="expression" dxfId="5189" priority="183">
      <formula>X$9&gt;=20/24</formula>
    </cfRule>
    <cfRule type="expression" dxfId="5188" priority="184">
      <formula>AND(X$9&gt;=14/24,X$9&lt;20/24)</formula>
    </cfRule>
    <cfRule type="expression" dxfId="5187" priority="185">
      <formula>AND(X$9&gt;=8/24,X$9&lt;14/24)</formula>
    </cfRule>
    <cfRule type="expression" dxfId="5186" priority="186">
      <formula>X$9&lt;8/24</formula>
    </cfRule>
  </conditionalFormatting>
  <conditionalFormatting sqref="X39:AF39">
    <cfRule type="expression" dxfId="5185" priority="179">
      <formula>X$9&gt;=20/24</formula>
    </cfRule>
    <cfRule type="expression" dxfId="5184" priority="180">
      <formula>AND(X$9&gt;=14/24,X$9&lt;20/24)</formula>
    </cfRule>
    <cfRule type="expression" dxfId="5183" priority="181">
      <formula>AND(X$9&gt;=8/24,X$9&lt;14/24)</formula>
    </cfRule>
    <cfRule type="expression" dxfId="5182" priority="182">
      <formula>X$9&lt;8/24</formula>
    </cfRule>
  </conditionalFormatting>
  <conditionalFormatting sqref="X39:AF39">
    <cfRule type="expression" dxfId="5181" priority="178">
      <formula>X39&gt;$AG39</formula>
    </cfRule>
  </conditionalFormatting>
  <conditionalFormatting sqref="V51:AF52">
    <cfRule type="expression" dxfId="5180" priority="174">
      <formula>V$9&gt;=20/24</formula>
    </cfRule>
    <cfRule type="expression" dxfId="5179" priority="175">
      <formula>AND(V$9&gt;=14/24,V$9&lt;20/24)</formula>
    </cfRule>
    <cfRule type="expression" dxfId="5178" priority="176">
      <formula>AND(V$9&gt;=8/24,V$9&lt;14/24)</formula>
    </cfRule>
    <cfRule type="expression" dxfId="5177" priority="177">
      <formula>V$9&lt;8/24</formula>
    </cfRule>
  </conditionalFormatting>
  <conditionalFormatting sqref="V51:AF52">
    <cfRule type="expression" dxfId="5176" priority="173">
      <formula>V51&gt;$AG51</formula>
    </cfRule>
  </conditionalFormatting>
  <conditionalFormatting sqref="R48:R50 S53 R51:S52 U51:U52 T51:T53 U53:AF54">
    <cfRule type="expression" dxfId="5175" priority="169">
      <formula>R$9&gt;=20/24</formula>
    </cfRule>
    <cfRule type="expression" dxfId="5174" priority="170">
      <formula>AND(R$9&gt;=14/24,R$9&lt;20/24)</formula>
    </cfRule>
    <cfRule type="expression" dxfId="5173" priority="171">
      <formula>AND(R$9&gt;=8/24,R$9&lt;14/24)</formula>
    </cfRule>
    <cfRule type="expression" dxfId="5172" priority="172">
      <formula>R$9&lt;8/24</formula>
    </cfRule>
  </conditionalFormatting>
  <conditionalFormatting sqref="R48:R50 S53 R51:S52 U51:U52 T51:T53 U53:AF54">
    <cfRule type="expression" dxfId="5171" priority="168">
      <formula>R48&gt;$AG48</formula>
    </cfRule>
  </conditionalFormatting>
  <conditionalFormatting sqref="X31:AF31">
    <cfRule type="expression" dxfId="5170" priority="164">
      <formula>X$9&gt;=20/24</formula>
    </cfRule>
    <cfRule type="expression" dxfId="5169" priority="165">
      <formula>AND(X$9&gt;=14/24,X$9&lt;20/24)</formula>
    </cfRule>
    <cfRule type="expression" dxfId="5168" priority="166">
      <formula>AND(X$9&gt;=8/24,X$9&lt;14/24)</formula>
    </cfRule>
    <cfRule type="expression" dxfId="5167" priority="167">
      <formula>X$9&lt;8/24</formula>
    </cfRule>
  </conditionalFormatting>
  <conditionalFormatting sqref="X21:AF21 X27:AF27">
    <cfRule type="expression" dxfId="5166" priority="160">
      <formula>X$9&gt;=20/24</formula>
    </cfRule>
    <cfRule type="expression" dxfId="5165" priority="161">
      <formula>AND(X$9&gt;=14/24,X$9&lt;20/24)</formula>
    </cfRule>
    <cfRule type="expression" dxfId="5164" priority="162">
      <formula>AND(X$9&gt;=8/24,X$9&lt;14/24)</formula>
    </cfRule>
    <cfRule type="expression" dxfId="5163" priority="163">
      <formula>X$9&lt;8/24</formula>
    </cfRule>
  </conditionalFormatting>
  <conditionalFormatting sqref="X21:AF21 X27:AF27">
    <cfRule type="expression" dxfId="5162" priority="159">
      <formula>X21&gt;$AG21</formula>
    </cfRule>
  </conditionalFormatting>
  <conditionalFormatting sqref="X49:AF50">
    <cfRule type="expression" dxfId="5161" priority="150">
      <formula>X$9&gt;=20/24</formula>
    </cfRule>
    <cfRule type="expression" dxfId="5160" priority="151">
      <formula>AND(X$9&gt;=14/24,X$9&lt;20/24)</formula>
    </cfRule>
    <cfRule type="expression" dxfId="5159" priority="152">
      <formula>AND(X$9&gt;=8/24,X$9&lt;14/24)</formula>
    </cfRule>
    <cfRule type="expression" dxfId="5158" priority="153">
      <formula>X$9&lt;8/24</formula>
    </cfRule>
  </conditionalFormatting>
  <conditionalFormatting sqref="X48:AF48">
    <cfRule type="expression" dxfId="5157" priority="146">
      <formula>X$9&gt;=20/24</formula>
    </cfRule>
    <cfRule type="expression" dxfId="5156" priority="147">
      <formula>AND(X$9&gt;=14/24,X$9&lt;20/24)</formula>
    </cfRule>
    <cfRule type="expression" dxfId="5155" priority="148">
      <formula>AND(X$9&gt;=8/24,X$9&lt;14/24)</formula>
    </cfRule>
    <cfRule type="expression" dxfId="5154" priority="149">
      <formula>X$9&lt;8/24</formula>
    </cfRule>
  </conditionalFormatting>
  <conditionalFormatting sqref="X48:AF50">
    <cfRule type="expression" dxfId="5153" priority="145">
      <formula>X48&gt;$AG48</formula>
    </cfRule>
  </conditionalFormatting>
  <conditionalFormatting sqref="B104 B83:AF83 B92:AF92 B106:B111 B11:Q11">
    <cfRule type="expression" dxfId="5152" priority="141">
      <formula>B$9&gt;=20/24</formula>
    </cfRule>
    <cfRule type="expression" dxfId="5151" priority="142">
      <formula>AND(B$9&gt;=14/24,B$9&lt;20/24)</formula>
    </cfRule>
    <cfRule type="expression" dxfId="5150" priority="143">
      <formula>AND(B$9&gt;=8/24,B$9&lt;14/24)</formula>
    </cfRule>
    <cfRule type="expression" dxfId="5149" priority="144">
      <formula>B$9&lt;8/24</formula>
    </cfRule>
  </conditionalFormatting>
  <conditionalFormatting sqref="B42:K42">
    <cfRule type="expression" dxfId="5148" priority="137">
      <formula>B$9&gt;=20/24</formula>
    </cfRule>
    <cfRule type="expression" dxfId="5147" priority="138">
      <formula>AND(B$9&gt;=14/24,B$9&lt;20/24)</formula>
    </cfRule>
    <cfRule type="expression" dxfId="5146" priority="139">
      <formula>AND(B$9&gt;=8/24,B$9&lt;14/24)</formula>
    </cfRule>
    <cfRule type="expression" dxfId="5145" priority="140">
      <formula>B$9&lt;8/24</formula>
    </cfRule>
  </conditionalFormatting>
  <conditionalFormatting sqref="B42:K42 B11:Q11">
    <cfRule type="expression" dxfId="5144" priority="136">
      <formula>B11&gt;$AG11</formula>
    </cfRule>
  </conditionalFormatting>
  <conditionalFormatting sqref="B94">
    <cfRule type="expression" dxfId="5143" priority="132">
      <formula>B$9&gt;=20/24</formula>
    </cfRule>
    <cfRule type="expression" dxfId="5142" priority="133">
      <formula>AND(B$9&gt;=14/24,B$9&lt;20/24)</formula>
    </cfRule>
    <cfRule type="expression" dxfId="5141" priority="134">
      <formula>AND(B$9&gt;=8/24,B$9&lt;14/24)</formula>
    </cfRule>
    <cfRule type="expression" dxfId="5140" priority="135">
      <formula>B$9&lt;8/24</formula>
    </cfRule>
  </conditionalFormatting>
  <conditionalFormatting sqref="B66:D66 B49:E50 B41:AF41">
    <cfRule type="expression" dxfId="5139" priority="128">
      <formula>B$9&gt;=20/24</formula>
    </cfRule>
    <cfRule type="expression" dxfId="5138" priority="129">
      <formula>AND(B$9&gt;=14/24,B$9&lt;20/24)</formula>
    </cfRule>
    <cfRule type="expression" dxfId="5137" priority="130">
      <formula>AND(B$9&gt;=8/24,B$9&lt;14/24)</formula>
    </cfRule>
    <cfRule type="expression" dxfId="5136" priority="131">
      <formula>B$9&lt;8/24</formula>
    </cfRule>
  </conditionalFormatting>
  <conditionalFormatting sqref="B48:E48">
    <cfRule type="expression" dxfId="5135" priority="124">
      <formula>B$9&gt;=20/24</formula>
    </cfRule>
    <cfRule type="expression" dxfId="5134" priority="125">
      <formula>AND(B$9&gt;=14/24,B$9&lt;20/24)</formula>
    </cfRule>
    <cfRule type="expression" dxfId="5133" priority="126">
      <formula>AND(B$9&gt;=8/24,B$9&lt;14/24)</formula>
    </cfRule>
    <cfRule type="expression" dxfId="5132" priority="127">
      <formula>B$9&lt;8/24</formula>
    </cfRule>
  </conditionalFormatting>
  <conditionalFormatting sqref="B48:E50 B41:AF41">
    <cfRule type="expression" dxfId="5131" priority="123">
      <formula>B41&gt;$AG41</formula>
    </cfRule>
  </conditionalFormatting>
  <conditionalFormatting sqref="B62:B65 B78:B82 B84:AF84 B91 C65:AG65 C82:AG82 B93:AF93 B95:C101 B67:D76 C62:T64 E69:T76 C78:T80 B12:W14 B20:W20 B28:W30 B32:W32 B34:W37">
    <cfRule type="expression" dxfId="5130" priority="119">
      <formula>B$9&gt;=20/24</formula>
    </cfRule>
    <cfRule type="expression" dxfId="5129" priority="120">
      <formula>AND(B$9&gt;=14/24,B$9&lt;20/24)</formula>
    </cfRule>
    <cfRule type="expression" dxfId="5128" priority="121">
      <formula>AND(B$9&gt;=8/24,B$9&lt;14/24)</formula>
    </cfRule>
    <cfRule type="expression" dxfId="5127" priority="122">
      <formula>B$9&lt;8/24</formula>
    </cfRule>
  </conditionalFormatting>
  <conditionalFormatting sqref="B38:W38">
    <cfRule type="expression" dxfId="5126" priority="115">
      <formula>B$9&gt;=20/24</formula>
    </cfRule>
    <cfRule type="expression" dxfId="5125" priority="116">
      <formula>AND(B$9&gt;=14/24,B$9&lt;20/24)</formula>
    </cfRule>
    <cfRule type="expression" dxfId="5124" priority="117">
      <formula>AND(B$9&gt;=8/24,B$9&lt;14/24)</formula>
    </cfRule>
    <cfRule type="expression" dxfId="5123" priority="118">
      <formula>B$9&lt;8/24</formula>
    </cfRule>
  </conditionalFormatting>
  <conditionalFormatting sqref="B60:B65 B43:AG43 C61:AG61 C65:AG65 B51:E52 F52:Q52 C62:T64 B28:W32 B34:W38">
    <cfRule type="expression" dxfId="5122" priority="114">
      <formula>B28&gt;$AG28</formula>
    </cfRule>
  </conditionalFormatting>
  <conditionalFormatting sqref="B40:W40">
    <cfRule type="expression" dxfId="5121" priority="110">
      <formula>B$9&gt;=20/24</formula>
    </cfRule>
    <cfRule type="expression" dxfId="5120" priority="111">
      <formula>AND(B$9&gt;=14/24,B$9&lt;20/24)</formula>
    </cfRule>
    <cfRule type="expression" dxfId="5119" priority="112">
      <formula>AND(B$9&gt;=8/24,B$9&lt;14/24)</formula>
    </cfRule>
    <cfRule type="expression" dxfId="5118" priority="113">
      <formula>B$9&lt;8/24</formula>
    </cfRule>
  </conditionalFormatting>
  <conditionalFormatting sqref="B16:W16">
    <cfRule type="expression" dxfId="5117" priority="106">
      <formula>B$9&gt;=20/24</formula>
    </cfRule>
    <cfRule type="expression" dxfId="5116" priority="107">
      <formula>AND(B$9&gt;=14/24,B$9&lt;20/24)</formula>
    </cfRule>
    <cfRule type="expression" dxfId="5115" priority="108">
      <formula>AND(B$9&gt;=8/24,B$9&lt;14/24)</formula>
    </cfRule>
    <cfRule type="expression" dxfId="5114" priority="109">
      <formula>B$9&lt;8/24</formula>
    </cfRule>
  </conditionalFormatting>
  <conditionalFormatting sqref="B39:W39">
    <cfRule type="expression" dxfId="5113" priority="102">
      <formula>B$9&gt;=20/24</formula>
    </cfRule>
    <cfRule type="expression" dxfId="5112" priority="103">
      <formula>AND(B$9&gt;=14/24,B$9&lt;20/24)</formula>
    </cfRule>
    <cfRule type="expression" dxfId="5111" priority="104">
      <formula>AND(B$9&gt;=8/24,B$9&lt;14/24)</formula>
    </cfRule>
    <cfRule type="expression" dxfId="5110" priority="105">
      <formula>B$9&lt;8/24</formula>
    </cfRule>
  </conditionalFormatting>
  <conditionalFormatting sqref="B39:W39">
    <cfRule type="expression" dxfId="5109" priority="101">
      <formula>B39&gt;$AG39</formula>
    </cfRule>
  </conditionalFormatting>
  <conditionalFormatting sqref="B53:R59 S54:T59">
    <cfRule type="expression" dxfId="5108" priority="97">
      <formula>B$9&gt;=20/24</formula>
    </cfRule>
    <cfRule type="expression" dxfId="5107" priority="98">
      <formula>AND(B$9&gt;=14/24,B$9&lt;20/24)</formula>
    </cfRule>
    <cfRule type="expression" dxfId="5106" priority="99">
      <formula>AND(B$9&gt;=8/24,B$9&lt;14/24)</formula>
    </cfRule>
    <cfRule type="expression" dxfId="5105" priority="100">
      <formula>B$9&lt;8/24</formula>
    </cfRule>
  </conditionalFormatting>
  <conditionalFormatting sqref="B53:R59 S54:T59">
    <cfRule type="expression" dxfId="5104" priority="96">
      <formula>B53&gt;$AG53</formula>
    </cfRule>
  </conditionalFormatting>
  <conditionalFormatting sqref="B31:W31">
    <cfRule type="expression" dxfId="5103" priority="92">
      <formula>B$9&gt;=20/24</formula>
    </cfRule>
    <cfRule type="expression" dxfId="5102" priority="93">
      <formula>AND(B$9&gt;=14/24,B$9&lt;20/24)</formula>
    </cfRule>
    <cfRule type="expression" dxfId="5101" priority="94">
      <formula>AND(B$9&gt;=8/24,B$9&lt;14/24)</formula>
    </cfRule>
    <cfRule type="expression" dxfId="5100" priority="95">
      <formula>B$9&lt;8/24</formula>
    </cfRule>
  </conditionalFormatting>
  <conditionalFormatting sqref="B21:W21 B27:W27">
    <cfRule type="expression" dxfId="5099" priority="88">
      <formula>B$9&gt;=20/24</formula>
    </cfRule>
    <cfRule type="expression" dxfId="5098" priority="89">
      <formula>AND(B$9&gt;=14/24,B$9&lt;20/24)</formula>
    </cfRule>
    <cfRule type="expression" dxfId="5097" priority="90">
      <formula>AND(B$9&gt;=8/24,B$9&lt;14/24)</formula>
    </cfRule>
    <cfRule type="expression" dxfId="5096" priority="91">
      <formula>B$9&lt;8/24</formula>
    </cfRule>
  </conditionalFormatting>
  <conditionalFormatting sqref="B21:W21 B27:W27">
    <cfRule type="expression" dxfId="5095" priority="87">
      <formula>B21&gt;$AG21</formula>
    </cfRule>
  </conditionalFormatting>
  <conditionalFormatting sqref="A39">
    <cfRule type="expression" dxfId="5094" priority="86">
      <formula>$AH39=0</formula>
    </cfRule>
  </conditionalFormatting>
  <conditionalFormatting sqref="B77:AF77">
    <cfRule type="expression" dxfId="5093" priority="82">
      <formula>B$9&gt;=20/24</formula>
    </cfRule>
    <cfRule type="expression" dxfId="5092" priority="83">
      <formula>AND(B$9&gt;=14/24,B$9&lt;20/24)</formula>
    </cfRule>
    <cfRule type="expression" dxfId="5091" priority="84">
      <formula>AND(B$9&gt;=8/24,B$9&lt;14/24)</formula>
    </cfRule>
    <cfRule type="expression" dxfId="5090" priority="85">
      <formula>B$9&lt;8/24</formula>
    </cfRule>
  </conditionalFormatting>
  <conditionalFormatting sqref="B86:AF90">
    <cfRule type="expression" dxfId="5089" priority="78">
      <formula>B$9&gt;=20/24</formula>
    </cfRule>
    <cfRule type="expression" dxfId="5088" priority="79">
      <formula>AND(B$9&gt;=14/24,B$9&lt;20/24)</formula>
    </cfRule>
    <cfRule type="expression" dxfId="5087" priority="80">
      <formula>AND(B$9&gt;=8/24,B$9&lt;14/24)</formula>
    </cfRule>
    <cfRule type="expression" dxfId="5086" priority="81">
      <formula>B$9&lt;8/24</formula>
    </cfRule>
  </conditionalFormatting>
  <conditionalFormatting sqref="AL40 AL37 AL20:AL32 AL34:AL35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5085" priority="74">
      <formula>C$9&gt;=20/24</formula>
    </cfRule>
    <cfRule type="expression" dxfId="5084" priority="75">
      <formula>AND(C$9&gt;=14/24,C$9&lt;20/24)</formula>
    </cfRule>
    <cfRule type="expression" dxfId="5083" priority="76">
      <formula>AND(C$9&gt;=8/24,C$9&lt;14/24)</formula>
    </cfRule>
    <cfRule type="expression" dxfId="5082" priority="77">
      <formula>C$9&lt;8/24</formula>
    </cfRule>
  </conditionalFormatting>
  <conditionalFormatting sqref="C44:AF46">
    <cfRule type="expression" dxfId="5081" priority="73">
      <formula>C44&gt;$AG44</formula>
    </cfRule>
  </conditionalFormatting>
  <conditionalFormatting sqref="B44:B47 C47:AG47">
    <cfRule type="expression" dxfId="5080" priority="69">
      <formula>B$9&gt;=20/24</formula>
    </cfRule>
    <cfRule type="expression" dxfId="5079" priority="70">
      <formula>AND(B$9&gt;=14/24,B$9&lt;20/24)</formula>
    </cfRule>
    <cfRule type="expression" dxfId="5078" priority="71">
      <formula>AND(B$9&gt;=8/24,B$9&lt;14/24)</formula>
    </cfRule>
    <cfRule type="expression" dxfId="5077" priority="72">
      <formula>B$9&lt;8/24</formula>
    </cfRule>
  </conditionalFormatting>
  <conditionalFormatting sqref="B44:B47 C47:AG47">
    <cfRule type="expression" dxfId="5076" priority="68">
      <formula>B44&gt;$AG44</formula>
    </cfRule>
  </conditionalFormatting>
  <conditionalFormatting sqref="C102:AF102">
    <cfRule type="expression" dxfId="5075" priority="64">
      <formula>C$9&gt;=20/24</formula>
    </cfRule>
    <cfRule type="expression" dxfId="5074" priority="65">
      <formula>AND(C$9&gt;=14/24,C$9&lt;20/24)</formula>
    </cfRule>
    <cfRule type="expression" dxfId="5073" priority="66">
      <formula>AND(C$9&gt;=8/24,C$9&lt;14/24)</formula>
    </cfRule>
    <cfRule type="expression" dxfId="5072" priority="67">
      <formula>C$9&lt;8/24</formula>
    </cfRule>
  </conditionalFormatting>
  <conditionalFormatting sqref="B102">
    <cfRule type="expression" dxfId="5071" priority="60">
      <formula>B$9&gt;=20/24</formula>
    </cfRule>
    <cfRule type="expression" dxfId="5070" priority="61">
      <formula>AND(B$9&gt;=14/24,B$9&lt;20/24)</formula>
    </cfRule>
    <cfRule type="expression" dxfId="5069" priority="62">
      <formula>AND(B$9&gt;=8/24,B$9&lt;14/24)</formula>
    </cfRule>
    <cfRule type="expression" dxfId="5068" priority="63">
      <formula>B$9&lt;8/24</formula>
    </cfRule>
  </conditionalFormatting>
  <conditionalFormatting sqref="AL36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5067" priority="54">
      <formula>$AH36=0</formula>
    </cfRule>
  </conditionalFormatting>
  <conditionalFormatting sqref="A85">
    <cfRule type="expression" dxfId="5066" priority="52">
      <formula>$AH85=0</formula>
    </cfRule>
  </conditionalFormatting>
  <conditionalFormatting sqref="A82">
    <cfRule type="expression" dxfId="5065" priority="53">
      <formula>$AH82=0</formula>
    </cfRule>
  </conditionalFormatting>
  <conditionalFormatting sqref="A112">
    <cfRule type="expression" dxfId="5064" priority="43">
      <formula>$AH112=0</formula>
    </cfRule>
  </conditionalFormatting>
  <conditionalFormatting sqref="C105:AF105">
    <cfRule type="expression" dxfId="5063" priority="39">
      <formula>C$9&gt;=20/24</formula>
    </cfRule>
    <cfRule type="expression" dxfId="5062" priority="40">
      <formula>AND(C$9&gt;=14/24,C$9&lt;20/24)</formula>
    </cfRule>
    <cfRule type="expression" dxfId="5061" priority="41">
      <formula>AND(C$9&gt;=8/24,C$9&lt;14/24)</formula>
    </cfRule>
    <cfRule type="expression" dxfId="5060" priority="42">
      <formula>C$9&lt;8/24</formula>
    </cfRule>
  </conditionalFormatting>
  <conditionalFormatting sqref="A105">
    <cfRule type="expression" dxfId="5059" priority="38">
      <formula>$AH105=0</formula>
    </cfRule>
  </conditionalFormatting>
  <conditionalFormatting sqref="B105">
    <cfRule type="expression" dxfId="5058" priority="34">
      <formula>B$9&gt;=20/24</formula>
    </cfRule>
    <cfRule type="expression" dxfId="5057" priority="35">
      <formula>AND(B$9&gt;=14/24,B$9&lt;20/24)</formula>
    </cfRule>
    <cfRule type="expression" dxfId="5056" priority="36">
      <formula>AND(B$9&gt;=8/24,B$9&lt;14/24)</formula>
    </cfRule>
    <cfRule type="expression" dxfId="5055" priority="37">
      <formula>B$9&lt;8/24</formula>
    </cfRule>
  </conditionalFormatting>
  <conditionalFormatting sqref="U55:AF59">
    <cfRule type="expression" dxfId="5054" priority="30">
      <formula>U$9&gt;=20/24</formula>
    </cfRule>
    <cfRule type="expression" dxfId="5053" priority="31">
      <formula>AND(U$9&gt;=14/24,U$9&lt;20/24)</formula>
    </cfRule>
    <cfRule type="expression" dxfId="5052" priority="32">
      <formula>AND(U$9&gt;=8/24,U$9&lt;14/24)</formula>
    </cfRule>
    <cfRule type="expression" dxfId="5051" priority="33">
      <formula>U$9&lt;8/24</formula>
    </cfRule>
  </conditionalFormatting>
  <conditionalFormatting sqref="U55:AF59">
    <cfRule type="expression" dxfId="5050" priority="29">
      <formula>U55&gt;$AG55</formula>
    </cfRule>
  </conditionalFormatting>
  <conditionalFormatting sqref="B19:AF19">
    <cfRule type="expression" dxfId="5049" priority="27">
      <formula>B19&gt;$AG19</formula>
    </cfRule>
  </conditionalFormatting>
  <conditionalFormatting sqref="A19">
    <cfRule type="expression" dxfId="5048" priority="26">
      <formula>$AH19=0</formula>
    </cfRule>
  </conditionalFormatting>
  <conditionalFormatting sqref="X19:AF19">
    <cfRule type="expression" dxfId="5047" priority="22">
      <formula>X$9&gt;=20/24</formula>
    </cfRule>
    <cfRule type="expression" dxfId="5046" priority="23">
      <formula>AND(X$9&gt;=14/24,X$9&lt;20/24)</formula>
    </cfRule>
    <cfRule type="expression" dxfId="5045" priority="24">
      <formula>AND(X$9&gt;=8/24,X$9&lt;14/24)</formula>
    </cfRule>
    <cfRule type="expression" dxfId="5044" priority="25">
      <formula>X$9&lt;8/24</formula>
    </cfRule>
  </conditionalFormatting>
  <conditionalFormatting sqref="B19:W19">
    <cfRule type="expression" dxfId="5043" priority="18">
      <formula>B$9&gt;=20/24</formula>
    </cfRule>
    <cfRule type="expression" dxfId="5042" priority="19">
      <formula>AND(B$9&gt;=14/24,B$9&lt;20/24)</formula>
    </cfRule>
    <cfRule type="expression" dxfId="5041" priority="20">
      <formula>AND(B$9&gt;=8/24,B$9&lt;14/24)</formula>
    </cfRule>
    <cfRule type="expression" dxfId="5040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039" priority="16">
      <formula>$AH33=0</formula>
    </cfRule>
  </conditionalFormatting>
  <conditionalFormatting sqref="X33:AF33">
    <cfRule type="expression" dxfId="5038" priority="12">
      <formula>X$9&gt;=20/24</formula>
    </cfRule>
    <cfRule type="expression" dxfId="5037" priority="13">
      <formula>AND(X$9&gt;=14/24,X$9&lt;20/24)</formula>
    </cfRule>
    <cfRule type="expression" dxfId="5036" priority="14">
      <formula>AND(X$9&gt;=8/24,X$9&lt;14/24)</formula>
    </cfRule>
    <cfRule type="expression" dxfId="5035" priority="15">
      <formula>X$9&lt;8/24</formula>
    </cfRule>
  </conditionalFormatting>
  <conditionalFormatting sqref="X33:AF33">
    <cfRule type="expression" dxfId="5034" priority="11">
      <formula>X33&gt;$AG33</formula>
    </cfRule>
  </conditionalFormatting>
  <conditionalFormatting sqref="B33:W33">
    <cfRule type="expression" dxfId="5033" priority="2">
      <formula>B$9&gt;=20/24</formula>
    </cfRule>
    <cfRule type="expression" dxfId="5032" priority="3">
      <formula>AND(B$9&gt;=14/24,B$9&lt;20/24)</formula>
    </cfRule>
    <cfRule type="expression" dxfId="5031" priority="4">
      <formula>AND(B$9&gt;=8/24,B$9&lt;14/24)</formula>
    </cfRule>
    <cfRule type="expression" dxfId="5030" priority="5">
      <formula>B$9&lt;8/24</formula>
    </cfRule>
  </conditionalFormatting>
  <conditionalFormatting sqref="B33:W33">
    <cfRule type="expression" dxfId="5029" priority="1">
      <formula>B33&gt;$AG33</formula>
    </cfRule>
  </conditionalFormatting>
  <conditionalFormatting sqref="AL33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0FD9E9DA-33FD-4E44-8F6B-203DE123A6F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6F4B3C03-859D-4F7F-B975-A9CA3299D97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568C37E9-79BA-4626-A4DD-AF79EE3740D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E4AFFD20-BFDE-476B-96B6-ED2C0230928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B85:AF85</xm:sqref>
        </x14:conditionalFormatting>
        <x14:conditionalFormatting xmlns:xm="http://schemas.microsoft.com/office/excel/2006/main">
          <x14:cfRule type="expression" priority="48" id="{7B65A22C-D6E9-491D-8320-69C73B6B537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FD225FD7-32B5-40FC-80F0-D62079DF90C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23907559-151D-44FC-B270-E53A35C5382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AC51D8BC-BB52-4661-B345-57B97782E32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44" id="{390D626D-EF3C-4159-BA05-90F30285734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4B94DD72-6BFC-4C7E-B573-054E81EC2A3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0C11E435-14E2-4970-8139-B9072A97659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D7D2A438-EE65-4D87-BD90-2A6770FE498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2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Q58" sqref="Q5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2079/08/17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19.399999999999999</v>
      </c>
      <c r="I5" s="30">
        <f t="shared" si="0"/>
        <v>29.8</v>
      </c>
      <c r="J5" s="30">
        <f t="shared" si="0"/>
        <v>18.100000000000001</v>
      </c>
      <c r="K5" s="30">
        <f t="shared" si="0"/>
        <v>23.8</v>
      </c>
      <c r="L5" s="30">
        <f t="shared" si="0"/>
        <v>39.799999999999997</v>
      </c>
      <c r="M5" s="30">
        <f t="shared" si="0"/>
        <v>28.8</v>
      </c>
      <c r="N5" s="30">
        <f t="shared" si="0"/>
        <v>29.1</v>
      </c>
      <c r="O5" s="30">
        <f t="shared" si="0"/>
        <v>41.3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19</v>
      </c>
      <c r="W5" s="30">
        <f t="shared" si="0"/>
        <v>32</v>
      </c>
      <c r="X5" s="30">
        <f t="shared" si="0"/>
        <v>27</v>
      </c>
      <c r="Y5" s="30">
        <f t="shared" si="0"/>
        <v>25</v>
      </c>
      <c r="Z5" s="30">
        <f t="shared" si="0"/>
        <v>30</v>
      </c>
      <c r="AA5" s="30">
        <f t="shared" si="0"/>
        <v>25</v>
      </c>
      <c r="AB5" s="30">
        <f t="shared" si="0"/>
        <v>28.1</v>
      </c>
      <c r="AC5" s="30">
        <f t="shared" si="0"/>
        <v>24.4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1627MW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Load=1031</v>
      </c>
      <c r="B7" s="35">
        <f t="shared" ref="B7:AF7" si="1">B84</f>
        <v>1095.44</v>
      </c>
      <c r="C7" s="35">
        <f t="shared" si="1"/>
        <v>1065.44</v>
      </c>
      <c r="D7" s="35">
        <f t="shared" si="1"/>
        <v>1045.54</v>
      </c>
      <c r="E7" s="35">
        <f t="shared" si="1"/>
        <v>1031.3400000000001</v>
      </c>
      <c r="F7" s="35">
        <f t="shared" si="1"/>
        <v>1043.8400000000001</v>
      </c>
      <c r="G7" s="35">
        <f t="shared" si="1"/>
        <v>1123.24</v>
      </c>
      <c r="H7" s="35">
        <f t="shared" si="1"/>
        <v>1167.1399999999999</v>
      </c>
      <c r="I7" s="35">
        <f t="shared" si="1"/>
        <v>1253.94</v>
      </c>
      <c r="J7" s="35">
        <f t="shared" si="1"/>
        <v>1371.24</v>
      </c>
      <c r="K7" s="35">
        <f t="shared" si="1"/>
        <v>1519.5399999999997</v>
      </c>
      <c r="L7" s="35">
        <f t="shared" si="1"/>
        <v>1595.34</v>
      </c>
      <c r="M7" s="35">
        <f t="shared" si="1"/>
        <v>1627.34</v>
      </c>
      <c r="N7" s="35">
        <f t="shared" si="1"/>
        <v>1620.34</v>
      </c>
      <c r="O7" s="35">
        <f t="shared" si="1"/>
        <v>1392.6399999999999</v>
      </c>
      <c r="P7" s="35">
        <f t="shared" si="1"/>
        <v>1330.6399999999999</v>
      </c>
      <c r="Q7" s="35">
        <f t="shared" si="1"/>
        <v>1260.04</v>
      </c>
      <c r="R7" s="35">
        <f t="shared" si="1"/>
        <v>1239.3399999999999</v>
      </c>
      <c r="S7" s="35">
        <f t="shared" si="1"/>
        <v>1150.54</v>
      </c>
      <c r="T7" s="35">
        <f t="shared" si="1"/>
        <v>1073.04</v>
      </c>
      <c r="U7" s="35">
        <f t="shared" si="1"/>
        <v>1053.94</v>
      </c>
      <c r="V7" s="35">
        <f t="shared" si="1"/>
        <v>1399.94</v>
      </c>
      <c r="W7" s="35">
        <f t="shared" si="1"/>
        <v>1587.24</v>
      </c>
      <c r="X7" s="35">
        <f t="shared" si="1"/>
        <v>1554.24</v>
      </c>
      <c r="Y7" s="35">
        <f t="shared" si="1"/>
        <v>1549.24</v>
      </c>
      <c r="Z7" s="35">
        <f t="shared" si="1"/>
        <v>1527.24</v>
      </c>
      <c r="AA7" s="35">
        <f t="shared" si="1"/>
        <v>1372.24</v>
      </c>
      <c r="AB7" s="35">
        <f t="shared" si="1"/>
        <v>1363.74</v>
      </c>
      <c r="AC7" s="35">
        <f t="shared" si="1"/>
        <v>1349.2399999999998</v>
      </c>
      <c r="AD7" s="35">
        <f t="shared" si="1"/>
        <v>1325.64</v>
      </c>
      <c r="AE7" s="35">
        <f t="shared" si="1"/>
        <v>1108.8400000000001</v>
      </c>
      <c r="AF7" s="35">
        <f t="shared" si="1"/>
        <v>1089.44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32.5</v>
      </c>
      <c r="C11" s="45">
        <v>32.5</v>
      </c>
      <c r="D11" s="45">
        <v>32.5</v>
      </c>
      <c r="E11" s="45">
        <v>32.5</v>
      </c>
      <c r="F11" s="45">
        <v>32.5</v>
      </c>
      <c r="G11" s="45">
        <v>32.5</v>
      </c>
      <c r="H11" s="45">
        <v>32.5</v>
      </c>
      <c r="I11" s="45">
        <v>32.5</v>
      </c>
      <c r="J11" s="45">
        <v>30.3</v>
      </c>
      <c r="K11" s="45">
        <v>30.3</v>
      </c>
      <c r="L11" s="45">
        <v>30.3</v>
      </c>
      <c r="M11" s="45">
        <v>30.3</v>
      </c>
      <c r="N11" s="45">
        <v>30.3</v>
      </c>
      <c r="O11" s="45">
        <v>30.3</v>
      </c>
      <c r="P11" s="45">
        <v>30.3</v>
      </c>
      <c r="Q11" s="45">
        <v>30.3</v>
      </c>
      <c r="R11" s="45">
        <v>30.3</v>
      </c>
      <c r="S11" s="45">
        <v>30.3</v>
      </c>
      <c r="T11" s="45">
        <v>30.3</v>
      </c>
      <c r="U11" s="45">
        <v>30.3</v>
      </c>
      <c r="V11" s="45">
        <v>30.3</v>
      </c>
      <c r="W11" s="45">
        <v>29</v>
      </c>
      <c r="X11" s="45">
        <v>29</v>
      </c>
      <c r="Y11" s="45">
        <v>29</v>
      </c>
      <c r="Z11" s="45">
        <v>29</v>
      </c>
      <c r="AA11" s="45">
        <v>29</v>
      </c>
      <c r="AB11" s="45">
        <v>29</v>
      </c>
      <c r="AC11" s="46">
        <v>30</v>
      </c>
      <c r="AD11" s="46">
        <v>30</v>
      </c>
      <c r="AE11" s="46">
        <v>31.2</v>
      </c>
      <c r="AF11" s="46">
        <v>31.2</v>
      </c>
      <c r="AG11" s="47">
        <v>52.4</v>
      </c>
      <c r="AH11" s="48">
        <f>MAX(B11:AF11)</f>
        <v>32.5</v>
      </c>
      <c r="AI11" s="49">
        <f>MIN(B11:AF11)</f>
        <v>29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50.5</v>
      </c>
      <c r="R12" s="45">
        <v>50.5</v>
      </c>
      <c r="S12" s="45">
        <v>50.5</v>
      </c>
      <c r="T12" s="45">
        <v>50.5</v>
      </c>
      <c r="U12" s="45">
        <v>50.5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50.3</v>
      </c>
      <c r="AD12" s="45">
        <v>50.3</v>
      </c>
      <c r="AE12" s="45">
        <v>50.4</v>
      </c>
      <c r="AF12" s="45">
        <v>50.4</v>
      </c>
      <c r="AG12" s="51">
        <v>50</v>
      </c>
      <c r="AH12" s="48">
        <f t="shared" ref="AH12:AH78" si="2">MAX(B12:AF12)</f>
        <v>50.5</v>
      </c>
      <c r="AI12" s="49">
        <f t="shared" ref="AI12:AI78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29.1</v>
      </c>
      <c r="C13" s="45">
        <v>29.1</v>
      </c>
      <c r="D13" s="45">
        <v>29.1</v>
      </c>
      <c r="E13" s="45">
        <v>29.1</v>
      </c>
      <c r="F13" s="45">
        <v>29.1</v>
      </c>
      <c r="G13" s="45">
        <v>29.1</v>
      </c>
      <c r="H13" s="45">
        <v>29.1</v>
      </c>
      <c r="I13" s="45">
        <v>29.1</v>
      </c>
      <c r="J13" s="45">
        <v>26.2</v>
      </c>
      <c r="K13" s="45">
        <v>26.2</v>
      </c>
      <c r="L13" s="45">
        <v>26.2</v>
      </c>
      <c r="M13" s="45">
        <v>26.2</v>
      </c>
      <c r="N13" s="45">
        <v>26.2</v>
      </c>
      <c r="O13" s="45">
        <v>26.2</v>
      </c>
      <c r="P13" s="45">
        <v>26.2</v>
      </c>
      <c r="Q13" s="45">
        <v>26.2</v>
      </c>
      <c r="R13" s="45">
        <v>26.2</v>
      </c>
      <c r="S13" s="45">
        <v>26.2</v>
      </c>
      <c r="T13" s="45">
        <v>26.2</v>
      </c>
      <c r="U13" s="45">
        <v>26.2</v>
      </c>
      <c r="V13" s="45">
        <v>26.2</v>
      </c>
      <c r="W13" s="45">
        <v>26.2</v>
      </c>
      <c r="X13" s="45">
        <v>26.2</v>
      </c>
      <c r="Y13" s="45">
        <v>26.2</v>
      </c>
      <c r="Z13" s="45">
        <v>26.2</v>
      </c>
      <c r="AA13" s="45">
        <v>26.2</v>
      </c>
      <c r="AB13" s="45">
        <v>26.2</v>
      </c>
      <c r="AC13" s="45">
        <v>28.6</v>
      </c>
      <c r="AD13" s="45">
        <v>28.6</v>
      </c>
      <c r="AE13" s="45">
        <v>29.1</v>
      </c>
      <c r="AF13" s="45">
        <v>29</v>
      </c>
      <c r="AG13" s="51">
        <v>45</v>
      </c>
      <c r="AH13" s="48">
        <f t="shared" si="2"/>
        <v>29.1</v>
      </c>
      <c r="AI13" s="49">
        <f t="shared" si="3"/>
        <v>26.2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18.5</v>
      </c>
      <c r="C14" s="45">
        <v>18.5</v>
      </c>
      <c r="D14" s="45">
        <v>18.5</v>
      </c>
      <c r="E14" s="45">
        <v>18.5</v>
      </c>
      <c r="F14" s="45">
        <v>18.5</v>
      </c>
      <c r="G14" s="45">
        <v>18.5</v>
      </c>
      <c r="H14" s="45">
        <v>18.5</v>
      </c>
      <c r="I14" s="45">
        <v>18.5</v>
      </c>
      <c r="J14" s="45">
        <v>18.5</v>
      </c>
      <c r="K14" s="45">
        <v>18.5</v>
      </c>
      <c r="L14" s="45">
        <v>18.5</v>
      </c>
      <c r="M14" s="45">
        <v>18.5</v>
      </c>
      <c r="N14" s="45">
        <v>18.5</v>
      </c>
      <c r="O14" s="45">
        <v>18.5</v>
      </c>
      <c r="P14" s="45">
        <v>18.5</v>
      </c>
      <c r="Q14" s="45">
        <v>18.5</v>
      </c>
      <c r="R14" s="45">
        <v>18.5</v>
      </c>
      <c r="S14" s="45">
        <v>18.5</v>
      </c>
      <c r="T14" s="45">
        <v>18.5</v>
      </c>
      <c r="U14" s="45">
        <v>18.5</v>
      </c>
      <c r="V14" s="45">
        <v>18.5</v>
      </c>
      <c r="W14" s="45">
        <v>18.5</v>
      </c>
      <c r="X14" s="45">
        <v>18.5</v>
      </c>
      <c r="Y14" s="45">
        <v>18.5</v>
      </c>
      <c r="Z14" s="45">
        <v>18.5</v>
      </c>
      <c r="AA14" s="45">
        <v>18.5</v>
      </c>
      <c r="AB14" s="45">
        <v>15.5</v>
      </c>
      <c r="AC14" s="45">
        <v>15.5</v>
      </c>
      <c r="AD14" s="45">
        <v>15.5</v>
      </c>
      <c r="AE14" s="45">
        <v>14.5</v>
      </c>
      <c r="AF14" s="45">
        <v>14.5</v>
      </c>
      <c r="AG14" s="51">
        <v>42</v>
      </c>
      <c r="AH14" s="48">
        <f t="shared" si="2"/>
        <v>18.5</v>
      </c>
      <c r="AI14" s="49">
        <f t="shared" si="3"/>
        <v>14.5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24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</v>
      </c>
      <c r="C16" s="45">
        <v>16</v>
      </c>
      <c r="D16" s="45">
        <v>16</v>
      </c>
      <c r="E16" s="45">
        <v>16</v>
      </c>
      <c r="F16" s="45">
        <v>16</v>
      </c>
      <c r="G16" s="45">
        <v>16</v>
      </c>
      <c r="H16" s="45">
        <v>16</v>
      </c>
      <c r="I16" s="45">
        <v>16</v>
      </c>
      <c r="J16" s="45">
        <v>16</v>
      </c>
      <c r="K16" s="45">
        <v>16</v>
      </c>
      <c r="L16" s="45">
        <v>16</v>
      </c>
      <c r="M16" s="45">
        <v>16</v>
      </c>
      <c r="N16" s="45">
        <v>16</v>
      </c>
      <c r="O16" s="45">
        <v>16</v>
      </c>
      <c r="P16" s="45">
        <v>16</v>
      </c>
      <c r="Q16" s="45">
        <v>16</v>
      </c>
      <c r="R16" s="45">
        <v>16</v>
      </c>
      <c r="S16" s="45">
        <v>16</v>
      </c>
      <c r="T16" s="45">
        <v>16</v>
      </c>
      <c r="U16" s="45">
        <v>16</v>
      </c>
      <c r="V16" s="45">
        <v>16</v>
      </c>
      <c r="W16" s="45">
        <v>16</v>
      </c>
      <c r="X16" s="45">
        <v>16</v>
      </c>
      <c r="Y16" s="45">
        <v>16</v>
      </c>
      <c r="Z16" s="45">
        <v>16</v>
      </c>
      <c r="AA16" s="45">
        <v>16</v>
      </c>
      <c r="AB16" s="45">
        <v>16</v>
      </c>
      <c r="AC16" s="45">
        <v>16.100000000000001</v>
      </c>
      <c r="AD16" s="45">
        <v>16.100000000000001</v>
      </c>
      <c r="AE16" s="45">
        <v>15.7</v>
      </c>
      <c r="AF16" s="45">
        <v>15.9</v>
      </c>
      <c r="AG16" s="52">
        <v>30</v>
      </c>
      <c r="AH16" s="48">
        <f t="shared" si="2"/>
        <v>16.100000000000001</v>
      </c>
      <c r="AI16" s="49">
        <f t="shared" si="3"/>
        <v>15.7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51">
        <v>24.2</v>
      </c>
      <c r="AH17" s="48">
        <f t="shared" si="2"/>
        <v>14</v>
      </c>
      <c r="AI17" s="49">
        <f t="shared" si="3"/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15.5</v>
      </c>
      <c r="O18" s="45">
        <v>15.5</v>
      </c>
      <c r="P18" s="45">
        <v>15.5</v>
      </c>
      <c r="Q18" s="45">
        <v>15.5</v>
      </c>
      <c r="R18" s="45">
        <v>15.5</v>
      </c>
      <c r="S18" s="45">
        <v>17</v>
      </c>
      <c r="T18" s="45">
        <v>17</v>
      </c>
      <c r="U18" s="45">
        <v>19</v>
      </c>
      <c r="V18" s="45">
        <v>19</v>
      </c>
      <c r="W18" s="45">
        <v>19</v>
      </c>
      <c r="X18" s="45">
        <v>19</v>
      </c>
      <c r="Y18" s="45">
        <v>19</v>
      </c>
      <c r="Z18" s="45">
        <v>19</v>
      </c>
      <c r="AA18" s="45">
        <v>19</v>
      </c>
      <c r="AB18" s="45">
        <v>19</v>
      </c>
      <c r="AC18" s="45">
        <v>19</v>
      </c>
      <c r="AD18" s="45">
        <v>19</v>
      </c>
      <c r="AE18" s="45">
        <v>15.5</v>
      </c>
      <c r="AF18" s="45">
        <v>15.5</v>
      </c>
      <c r="AG18" s="51">
        <v>28</v>
      </c>
      <c r="AH18" s="48">
        <f t="shared" si="2"/>
        <v>19</v>
      </c>
      <c r="AI18" s="49">
        <f t="shared" si="3"/>
        <v>15.5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17.5</v>
      </c>
      <c r="C19" s="45">
        <v>17.5</v>
      </c>
      <c r="D19" s="45">
        <v>17.5</v>
      </c>
      <c r="E19" s="45">
        <v>17.5</v>
      </c>
      <c r="F19" s="45">
        <v>17.5</v>
      </c>
      <c r="G19" s="45">
        <v>17.5</v>
      </c>
      <c r="H19" s="45">
        <v>17.5</v>
      </c>
      <c r="I19" s="45">
        <v>17.5</v>
      </c>
      <c r="J19" s="45">
        <v>17.5</v>
      </c>
      <c r="K19" s="45">
        <v>17.5</v>
      </c>
      <c r="L19" s="45">
        <v>17.5</v>
      </c>
      <c r="M19" s="45">
        <v>17.5</v>
      </c>
      <c r="N19" s="45">
        <v>17.5</v>
      </c>
      <c r="O19" s="45">
        <v>17.5</v>
      </c>
      <c r="P19" s="45">
        <v>17.5</v>
      </c>
      <c r="Q19" s="45">
        <v>17.5</v>
      </c>
      <c r="R19" s="45">
        <v>17.5</v>
      </c>
      <c r="S19" s="45">
        <v>17.5</v>
      </c>
      <c r="T19" s="45">
        <v>17.5</v>
      </c>
      <c r="U19" s="45">
        <v>17.5</v>
      </c>
      <c r="V19" s="45">
        <v>17.5</v>
      </c>
      <c r="W19" s="45">
        <v>17.5</v>
      </c>
      <c r="X19" s="45">
        <v>17.5</v>
      </c>
      <c r="Y19" s="45">
        <v>17.5</v>
      </c>
      <c r="Z19" s="45">
        <v>17.5</v>
      </c>
      <c r="AA19" s="45">
        <v>17.5</v>
      </c>
      <c r="AB19" s="45">
        <v>17</v>
      </c>
      <c r="AC19" s="45">
        <v>17</v>
      </c>
      <c r="AD19" s="45">
        <v>17</v>
      </c>
      <c r="AE19" s="45">
        <v>17</v>
      </c>
      <c r="AF19" s="45">
        <v>17</v>
      </c>
      <c r="AG19" s="52">
        <v>30</v>
      </c>
      <c r="AH19" s="48">
        <f t="shared" si="2"/>
        <v>17.5</v>
      </c>
      <c r="AI19" s="49">
        <f t="shared" si="3"/>
        <v>17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</v>
      </c>
      <c r="C20" s="45">
        <v>14</v>
      </c>
      <c r="D20" s="45">
        <v>14</v>
      </c>
      <c r="E20" s="45">
        <v>14</v>
      </c>
      <c r="F20" s="45">
        <v>14</v>
      </c>
      <c r="G20" s="45">
        <v>14</v>
      </c>
      <c r="H20" s="45">
        <v>14</v>
      </c>
      <c r="I20" s="45">
        <v>14</v>
      </c>
      <c r="J20" s="45">
        <v>14</v>
      </c>
      <c r="K20" s="45">
        <v>14</v>
      </c>
      <c r="L20" s="45">
        <v>14</v>
      </c>
      <c r="M20" s="45">
        <v>14</v>
      </c>
      <c r="N20" s="45">
        <v>14</v>
      </c>
      <c r="O20" s="45">
        <v>14</v>
      </c>
      <c r="P20" s="45">
        <v>14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14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12.3</v>
      </c>
      <c r="C24" s="45">
        <v>12.3</v>
      </c>
      <c r="D24" s="45">
        <v>12.3</v>
      </c>
      <c r="E24" s="45">
        <v>12.3</v>
      </c>
      <c r="F24" s="45">
        <v>12.3</v>
      </c>
      <c r="G24" s="45">
        <v>12.3</v>
      </c>
      <c r="H24" s="45">
        <v>12.3</v>
      </c>
      <c r="I24" s="45">
        <v>12.3</v>
      </c>
      <c r="J24" s="45">
        <v>12.3</v>
      </c>
      <c r="K24" s="45">
        <v>12.3</v>
      </c>
      <c r="L24" s="45">
        <v>12.3</v>
      </c>
      <c r="M24" s="45">
        <v>12.3</v>
      </c>
      <c r="N24" s="45">
        <v>12.3</v>
      </c>
      <c r="O24" s="45">
        <v>12.3</v>
      </c>
      <c r="P24" s="45">
        <v>12.3</v>
      </c>
      <c r="Q24" s="45">
        <v>12.3</v>
      </c>
      <c r="R24" s="45">
        <v>12.3</v>
      </c>
      <c r="S24" s="45">
        <v>12.3</v>
      </c>
      <c r="T24" s="45">
        <v>12.3</v>
      </c>
      <c r="U24" s="45">
        <v>12.3</v>
      </c>
      <c r="V24" s="45">
        <v>12.3</v>
      </c>
      <c r="W24" s="45">
        <v>12.3</v>
      </c>
      <c r="X24" s="45">
        <v>12.3</v>
      </c>
      <c r="Y24" s="45">
        <v>12.3</v>
      </c>
      <c r="Z24" s="45">
        <v>12.3</v>
      </c>
      <c r="AA24" s="45">
        <v>12.3</v>
      </c>
      <c r="AB24" s="45">
        <v>12.3</v>
      </c>
      <c r="AC24" s="45">
        <v>12.1</v>
      </c>
      <c r="AD24" s="45">
        <v>12.1</v>
      </c>
      <c r="AE24" s="45">
        <v>12.1</v>
      </c>
      <c r="AF24" s="45">
        <v>13.9</v>
      </c>
      <c r="AG24" s="51">
        <v>23.5</v>
      </c>
      <c r="AH24" s="48">
        <f t="shared" si="2"/>
        <v>13.9</v>
      </c>
      <c r="AI24" s="49">
        <f t="shared" si="3"/>
        <v>12.1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1">
        <v>12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1">
        <v>12</v>
      </c>
      <c r="AH35" s="48">
        <f t="shared" si="2"/>
        <v>7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5">
        <v>10</v>
      </c>
      <c r="AH39" s="48">
        <f t="shared" si="2"/>
        <v>7</v>
      </c>
      <c r="AI39" s="49">
        <f t="shared" si="3"/>
        <v>7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250</v>
      </c>
      <c r="C41" s="57">
        <v>250</v>
      </c>
      <c r="D41" s="57">
        <v>250</v>
      </c>
      <c r="E41" s="57">
        <v>250</v>
      </c>
      <c r="F41" s="57">
        <v>250</v>
      </c>
      <c r="G41" s="57">
        <v>250</v>
      </c>
      <c r="H41" s="57">
        <v>250</v>
      </c>
      <c r="I41" s="57">
        <v>250</v>
      </c>
      <c r="J41" s="57">
        <v>250</v>
      </c>
      <c r="K41" s="57">
        <v>250</v>
      </c>
      <c r="L41" s="57">
        <v>250</v>
      </c>
      <c r="M41" s="57">
        <v>250</v>
      </c>
      <c r="N41" s="57">
        <v>250</v>
      </c>
      <c r="O41" s="57">
        <v>250</v>
      </c>
      <c r="P41" s="57">
        <v>250</v>
      </c>
      <c r="Q41" s="57">
        <v>250</v>
      </c>
      <c r="R41" s="57">
        <v>250</v>
      </c>
      <c r="S41" s="57">
        <v>250</v>
      </c>
      <c r="T41" s="57">
        <v>250</v>
      </c>
      <c r="U41" s="57">
        <v>250</v>
      </c>
      <c r="V41" s="57">
        <v>250</v>
      </c>
      <c r="W41" s="57">
        <v>250</v>
      </c>
      <c r="X41" s="57">
        <v>250</v>
      </c>
      <c r="Y41" s="57">
        <v>250</v>
      </c>
      <c r="Z41" s="57">
        <v>250</v>
      </c>
      <c r="AA41" s="57">
        <v>250</v>
      </c>
      <c r="AB41" s="57">
        <v>250</v>
      </c>
      <c r="AC41" s="57">
        <v>250</v>
      </c>
      <c r="AD41" s="57">
        <v>250</v>
      </c>
      <c r="AE41" s="57">
        <v>250</v>
      </c>
      <c r="AF41" s="57">
        <v>250</v>
      </c>
      <c r="AG41" s="55">
        <v>85</v>
      </c>
      <c r="AH41" s="48">
        <f t="shared" si="2"/>
        <v>250</v>
      </c>
      <c r="AI41" s="49">
        <f t="shared" si="3"/>
        <v>250</v>
      </c>
      <c r="AK41" s="50"/>
    </row>
    <row r="42" spans="1:88" ht="15.75" thickBot="1" x14ac:dyDescent="0.3">
      <c r="A42" s="58" t="s">
        <v>47</v>
      </c>
      <c r="B42" s="59">
        <f>35.7+39.5</f>
        <v>75.2</v>
      </c>
      <c r="C42" s="59">
        <f>35.7+40.2</f>
        <v>75.900000000000006</v>
      </c>
      <c r="D42" s="59">
        <f>35.7+42.1</f>
        <v>77.800000000000011</v>
      </c>
      <c r="E42" s="59">
        <f>35.6+39.9</f>
        <v>75.5</v>
      </c>
      <c r="F42" s="59">
        <f>36.3+40.1</f>
        <v>76.400000000000006</v>
      </c>
      <c r="G42" s="59">
        <f>35.9+39.7</f>
        <v>75.599999999999994</v>
      </c>
      <c r="H42" s="59">
        <f>35.6+39.2</f>
        <v>74.800000000000011</v>
      </c>
      <c r="I42" s="59">
        <f>35.2+38.8</f>
        <v>74</v>
      </c>
      <c r="J42" s="59">
        <f>35.4+36.1</f>
        <v>71.5</v>
      </c>
      <c r="K42" s="59">
        <f>35.7+36.2</f>
        <v>71.900000000000006</v>
      </c>
      <c r="L42" s="57">
        <f>35.4+35.9</f>
        <v>71.3</v>
      </c>
      <c r="M42" s="57">
        <f>35.2+35.3</f>
        <v>70.5</v>
      </c>
      <c r="N42" s="57">
        <f>36.6+39</f>
        <v>75.599999999999994</v>
      </c>
      <c r="O42" s="57">
        <f>37.1+38.5</f>
        <v>75.599999999999994</v>
      </c>
      <c r="P42" s="57">
        <f>37.7+38.1</f>
        <v>75.800000000000011</v>
      </c>
      <c r="Q42" s="57"/>
      <c r="R42" s="57">
        <f>35.5+37.6</f>
        <v>73.099999999999994</v>
      </c>
      <c r="S42" s="59">
        <f>35.2+40.6</f>
        <v>75.800000000000011</v>
      </c>
      <c r="T42" s="59">
        <f>35.2+40.6</f>
        <v>75.800000000000011</v>
      </c>
      <c r="U42" s="59">
        <f>36.5+36</f>
        <v>72.5</v>
      </c>
      <c r="V42" s="59">
        <f>34.5+33.6</f>
        <v>68.099999999999994</v>
      </c>
      <c r="W42" s="59">
        <f>34.5+33.6</f>
        <v>68.099999999999994</v>
      </c>
      <c r="X42" s="59">
        <f t="shared" ref="X42:AB42" si="4">34.5+33.6</f>
        <v>68.099999999999994</v>
      </c>
      <c r="Y42" s="59">
        <f t="shared" si="4"/>
        <v>68.099999999999994</v>
      </c>
      <c r="Z42" s="59">
        <f t="shared" si="4"/>
        <v>68.099999999999994</v>
      </c>
      <c r="AA42" s="59">
        <f t="shared" si="4"/>
        <v>68.099999999999994</v>
      </c>
      <c r="AB42" s="59">
        <f t="shared" si="4"/>
        <v>68.099999999999994</v>
      </c>
      <c r="AC42" s="59">
        <v>63.4</v>
      </c>
      <c r="AD42" s="59">
        <v>64</v>
      </c>
      <c r="AE42" s="59">
        <v>67.400000000000006</v>
      </c>
      <c r="AF42" s="59">
        <v>68</v>
      </c>
      <c r="AG42" s="55">
        <v>240</v>
      </c>
      <c r="AH42" s="48">
        <f t="shared" si="2"/>
        <v>77.800000000000011</v>
      </c>
      <c r="AI42" s="49">
        <f t="shared" si="3"/>
        <v>63.4</v>
      </c>
      <c r="AK42" s="50"/>
    </row>
    <row r="43" spans="1:88" ht="15.75" thickBot="1" x14ac:dyDescent="0.3">
      <c r="A43" s="60" t="s">
        <v>48</v>
      </c>
      <c r="B43" s="61">
        <f t="shared" ref="B43:AG43" si="5">SUM(B11:B41)</f>
        <v>655.5</v>
      </c>
      <c r="C43" s="61">
        <f t="shared" si="5"/>
        <v>655.5</v>
      </c>
      <c r="D43" s="61">
        <f t="shared" si="5"/>
        <v>655.5</v>
      </c>
      <c r="E43" s="61">
        <f t="shared" si="5"/>
        <v>655.5</v>
      </c>
      <c r="F43" s="61">
        <f t="shared" si="5"/>
        <v>655.5</v>
      </c>
      <c r="G43" s="61">
        <f t="shared" si="5"/>
        <v>655.5</v>
      </c>
      <c r="H43" s="61">
        <f t="shared" si="5"/>
        <v>655.5</v>
      </c>
      <c r="I43" s="61">
        <f t="shared" si="5"/>
        <v>655.5</v>
      </c>
      <c r="J43" s="61">
        <f t="shared" si="5"/>
        <v>650.5</v>
      </c>
      <c r="K43" s="61">
        <f t="shared" si="5"/>
        <v>650.5</v>
      </c>
      <c r="L43" s="61">
        <f t="shared" si="5"/>
        <v>650.5</v>
      </c>
      <c r="M43" s="61">
        <f t="shared" si="5"/>
        <v>652.5</v>
      </c>
      <c r="N43" s="61">
        <f t="shared" si="5"/>
        <v>652.5</v>
      </c>
      <c r="O43" s="61">
        <f t="shared" si="5"/>
        <v>652.5</v>
      </c>
      <c r="P43" s="61">
        <f t="shared" si="5"/>
        <v>652.5</v>
      </c>
      <c r="Q43" s="61">
        <f t="shared" si="5"/>
        <v>652.5</v>
      </c>
      <c r="R43" s="61">
        <f t="shared" si="5"/>
        <v>652.5</v>
      </c>
      <c r="S43" s="61">
        <f t="shared" si="5"/>
        <v>654</v>
      </c>
      <c r="T43" s="61">
        <f t="shared" si="5"/>
        <v>654</v>
      </c>
      <c r="U43" s="61">
        <f t="shared" si="5"/>
        <v>656</v>
      </c>
      <c r="V43" s="61">
        <f t="shared" si="5"/>
        <v>654</v>
      </c>
      <c r="W43" s="61">
        <f t="shared" si="5"/>
        <v>652.70000000000005</v>
      </c>
      <c r="X43" s="61">
        <f t="shared" si="5"/>
        <v>652.70000000000005</v>
      </c>
      <c r="Y43" s="61">
        <f t="shared" si="5"/>
        <v>652.70000000000005</v>
      </c>
      <c r="Z43" s="61">
        <f t="shared" si="5"/>
        <v>652.70000000000005</v>
      </c>
      <c r="AA43" s="61">
        <f t="shared" si="5"/>
        <v>652.70000000000005</v>
      </c>
      <c r="AB43" s="61">
        <f t="shared" si="5"/>
        <v>649.20000000000005</v>
      </c>
      <c r="AC43" s="61">
        <f t="shared" si="5"/>
        <v>652.30000000000007</v>
      </c>
      <c r="AD43" s="61">
        <f t="shared" si="5"/>
        <v>652.30000000000007</v>
      </c>
      <c r="AE43" s="61">
        <f t="shared" si="5"/>
        <v>649.20000000000005</v>
      </c>
      <c r="AF43" s="61">
        <f t="shared" si="5"/>
        <v>651.1</v>
      </c>
      <c r="AG43" s="62">
        <f t="shared" si="5"/>
        <v>796.78000000000009</v>
      </c>
      <c r="AH43" s="48">
        <f t="shared" si="2"/>
        <v>656</v>
      </c>
      <c r="AI43" s="49">
        <f t="shared" si="3"/>
        <v>649.20000000000005</v>
      </c>
      <c r="AK43" s="50"/>
    </row>
    <row r="44" spans="1:88" x14ac:dyDescent="0.25">
      <c r="A44" s="63" t="s">
        <v>49</v>
      </c>
      <c r="B44" s="45">
        <v>30</v>
      </c>
      <c r="C44" s="45">
        <v>50</v>
      </c>
      <c r="D44" s="45">
        <v>30</v>
      </c>
      <c r="E44" s="45">
        <v>30</v>
      </c>
      <c r="F44" s="45">
        <v>45</v>
      </c>
      <c r="G44" s="45">
        <v>75</v>
      </c>
      <c r="H44" s="45">
        <v>90</v>
      </c>
      <c r="I44" s="45">
        <v>110</v>
      </c>
      <c r="J44" s="45">
        <v>200</v>
      </c>
      <c r="K44" s="45">
        <v>360</v>
      </c>
      <c r="L44" s="45">
        <v>420</v>
      </c>
      <c r="M44" s="45">
        <v>430</v>
      </c>
      <c r="N44" s="45">
        <v>430</v>
      </c>
      <c r="O44" s="45">
        <v>200</v>
      </c>
      <c r="P44" s="45">
        <v>150</v>
      </c>
      <c r="Q44" s="45">
        <v>135</v>
      </c>
      <c r="R44" s="45">
        <v>145</v>
      </c>
      <c r="S44" s="45">
        <v>145</v>
      </c>
      <c r="T44" s="45">
        <v>40</v>
      </c>
      <c r="U44" s="45">
        <v>20</v>
      </c>
      <c r="V44" s="45">
        <v>210</v>
      </c>
      <c r="W44" s="45">
        <v>360</v>
      </c>
      <c r="X44" s="45">
        <v>380</v>
      </c>
      <c r="Y44" s="45">
        <v>380</v>
      </c>
      <c r="Z44" s="45">
        <v>360</v>
      </c>
      <c r="AA44" s="45">
        <v>200</v>
      </c>
      <c r="AB44" s="45">
        <v>200</v>
      </c>
      <c r="AC44" s="45">
        <v>200</v>
      </c>
      <c r="AD44" s="45">
        <v>180</v>
      </c>
      <c r="AE44" s="45">
        <v>70</v>
      </c>
      <c r="AF44" s="45">
        <v>70</v>
      </c>
      <c r="AG44" s="52">
        <v>456</v>
      </c>
      <c r="AH44" s="48">
        <f t="shared" si="2"/>
        <v>430</v>
      </c>
      <c r="AI44" s="49">
        <f t="shared" si="3"/>
        <v>20</v>
      </c>
      <c r="AK44" s="50"/>
    </row>
    <row r="45" spans="1:88" x14ac:dyDescent="0.25">
      <c r="A45" s="64" t="s">
        <v>50</v>
      </c>
      <c r="B45" s="65">
        <v>54</v>
      </c>
      <c r="C45" s="65">
        <v>54</v>
      </c>
      <c r="D45" s="65">
        <v>54</v>
      </c>
      <c r="E45" s="65">
        <v>54</v>
      </c>
      <c r="F45" s="65">
        <v>54</v>
      </c>
      <c r="G45" s="65">
        <v>54</v>
      </c>
      <c r="H45" s="65">
        <v>54</v>
      </c>
      <c r="I45" s="65">
        <v>54</v>
      </c>
      <c r="J45" s="65">
        <v>54</v>
      </c>
      <c r="K45" s="65">
        <v>54</v>
      </c>
      <c r="L45" s="65">
        <v>54</v>
      </c>
      <c r="M45" s="65">
        <v>54</v>
      </c>
      <c r="N45" s="65">
        <v>54</v>
      </c>
      <c r="O45" s="65">
        <v>54</v>
      </c>
      <c r="P45" s="65">
        <v>54</v>
      </c>
      <c r="Q45" s="65">
        <v>54</v>
      </c>
      <c r="R45" s="65">
        <v>54</v>
      </c>
      <c r="S45" s="65">
        <v>54</v>
      </c>
      <c r="T45" s="65">
        <v>54</v>
      </c>
      <c r="U45" s="65">
        <v>57</v>
      </c>
      <c r="V45" s="65">
        <v>57</v>
      </c>
      <c r="W45" s="65">
        <v>50</v>
      </c>
      <c r="X45" s="65">
        <v>50</v>
      </c>
      <c r="Y45" s="65">
        <v>50</v>
      </c>
      <c r="Z45" s="65">
        <v>50</v>
      </c>
      <c r="AA45" s="65">
        <v>50</v>
      </c>
      <c r="AB45" s="65">
        <v>50</v>
      </c>
      <c r="AC45" s="65">
        <v>51</v>
      </c>
      <c r="AD45" s="65">
        <v>51</v>
      </c>
      <c r="AE45" s="65">
        <v>51</v>
      </c>
      <c r="AF45" s="65">
        <v>51</v>
      </c>
      <c r="AG45" s="55">
        <v>60</v>
      </c>
      <c r="AH45" s="48">
        <f t="shared" si="2"/>
        <v>57</v>
      </c>
      <c r="AI45" s="49">
        <f t="shared" si="3"/>
        <v>50</v>
      </c>
      <c r="AK45" s="50"/>
    </row>
    <row r="46" spans="1:88" ht="15.75" thickBot="1" x14ac:dyDescent="0.3">
      <c r="A46" s="66" t="s">
        <v>51</v>
      </c>
      <c r="B46" s="67">
        <v>21.1</v>
      </c>
      <c r="C46" s="67">
        <v>21</v>
      </c>
      <c r="D46" s="67">
        <v>21</v>
      </c>
      <c r="E46" s="67">
        <v>21.1</v>
      </c>
      <c r="F46" s="67">
        <v>21</v>
      </c>
      <c r="G46" s="67">
        <v>21.1</v>
      </c>
      <c r="H46" s="67">
        <v>21.1</v>
      </c>
      <c r="I46" s="67">
        <v>21.1</v>
      </c>
      <c r="J46" s="67">
        <v>21.1</v>
      </c>
      <c r="K46" s="67">
        <v>21.1</v>
      </c>
      <c r="L46" s="67">
        <v>21.1</v>
      </c>
      <c r="M46" s="67">
        <v>21.1</v>
      </c>
      <c r="N46" s="67">
        <v>21.1</v>
      </c>
      <c r="O46" s="67">
        <v>21.1</v>
      </c>
      <c r="P46" s="67">
        <v>21.1</v>
      </c>
      <c r="Q46" s="67">
        <v>21.1</v>
      </c>
      <c r="R46" s="67">
        <v>16</v>
      </c>
      <c r="S46" s="67">
        <v>21.8</v>
      </c>
      <c r="T46" s="67">
        <v>21.8</v>
      </c>
      <c r="U46" s="67">
        <v>21.7</v>
      </c>
      <c r="V46" s="67">
        <v>21.7</v>
      </c>
      <c r="W46" s="67">
        <v>21.7</v>
      </c>
      <c r="X46" s="67">
        <v>21.7</v>
      </c>
      <c r="Y46" s="67">
        <v>21.7</v>
      </c>
      <c r="Z46" s="67">
        <v>21.7</v>
      </c>
      <c r="AA46" s="67">
        <v>21.7</v>
      </c>
      <c r="AB46" s="67">
        <v>21.7</v>
      </c>
      <c r="AC46" s="67">
        <v>21.9</v>
      </c>
      <c r="AD46" s="67">
        <v>22</v>
      </c>
      <c r="AE46" s="67">
        <v>22</v>
      </c>
      <c r="AF46" s="67">
        <v>20.7</v>
      </c>
      <c r="AG46" s="68">
        <v>22.1</v>
      </c>
      <c r="AH46" s="48">
        <f t="shared" si="2"/>
        <v>22</v>
      </c>
      <c r="AI46" s="49">
        <f t="shared" si="3"/>
        <v>16</v>
      </c>
      <c r="AK46" s="50"/>
    </row>
    <row r="47" spans="1:88" ht="15.75" thickBot="1" x14ac:dyDescent="0.3">
      <c r="A47" s="69" t="s">
        <v>52</v>
      </c>
      <c r="B47" s="61">
        <f t="shared" ref="B47:AG47" si="6">SUM(B44:B46)</f>
        <v>105.1</v>
      </c>
      <c r="C47" s="61">
        <f t="shared" si="6"/>
        <v>125</v>
      </c>
      <c r="D47" s="61">
        <f t="shared" si="6"/>
        <v>105</v>
      </c>
      <c r="E47" s="61">
        <f t="shared" si="6"/>
        <v>105.1</v>
      </c>
      <c r="F47" s="61">
        <f t="shared" si="6"/>
        <v>120</v>
      </c>
      <c r="G47" s="61">
        <f t="shared" si="6"/>
        <v>150.1</v>
      </c>
      <c r="H47" s="61">
        <f t="shared" si="6"/>
        <v>165.1</v>
      </c>
      <c r="I47" s="61">
        <f t="shared" si="6"/>
        <v>185.1</v>
      </c>
      <c r="J47" s="61">
        <f t="shared" si="6"/>
        <v>275.10000000000002</v>
      </c>
      <c r="K47" s="61">
        <f t="shared" si="6"/>
        <v>435.1</v>
      </c>
      <c r="L47" s="61">
        <f t="shared" si="6"/>
        <v>495.1</v>
      </c>
      <c r="M47" s="61">
        <f t="shared" si="6"/>
        <v>505.1</v>
      </c>
      <c r="N47" s="61">
        <f t="shared" si="6"/>
        <v>505.1</v>
      </c>
      <c r="O47" s="61">
        <f t="shared" si="6"/>
        <v>275.10000000000002</v>
      </c>
      <c r="P47" s="61">
        <f t="shared" si="6"/>
        <v>225.1</v>
      </c>
      <c r="Q47" s="61">
        <f t="shared" si="6"/>
        <v>210.1</v>
      </c>
      <c r="R47" s="61">
        <f t="shared" si="6"/>
        <v>215</v>
      </c>
      <c r="S47" s="61">
        <f t="shared" si="6"/>
        <v>220.8</v>
      </c>
      <c r="T47" s="61">
        <f t="shared" si="6"/>
        <v>115.8</v>
      </c>
      <c r="U47" s="61">
        <f t="shared" si="6"/>
        <v>98.7</v>
      </c>
      <c r="V47" s="61">
        <f t="shared" si="6"/>
        <v>288.7</v>
      </c>
      <c r="W47" s="61">
        <f t="shared" si="6"/>
        <v>431.7</v>
      </c>
      <c r="X47" s="61">
        <f t="shared" si="6"/>
        <v>451.7</v>
      </c>
      <c r="Y47" s="61">
        <f t="shared" si="6"/>
        <v>451.7</v>
      </c>
      <c r="Z47" s="61">
        <f t="shared" si="6"/>
        <v>431.7</v>
      </c>
      <c r="AA47" s="61">
        <f t="shared" si="6"/>
        <v>271.7</v>
      </c>
      <c r="AB47" s="61">
        <f t="shared" si="6"/>
        <v>271.7</v>
      </c>
      <c r="AC47" s="61">
        <f t="shared" si="6"/>
        <v>272.89999999999998</v>
      </c>
      <c r="AD47" s="61">
        <f t="shared" si="6"/>
        <v>253</v>
      </c>
      <c r="AE47" s="61">
        <f t="shared" si="6"/>
        <v>143</v>
      </c>
      <c r="AF47" s="61">
        <f t="shared" si="6"/>
        <v>141.69999999999999</v>
      </c>
      <c r="AG47" s="62">
        <f t="shared" si="6"/>
        <v>538.1</v>
      </c>
      <c r="AH47" s="48">
        <f t="shared" si="2"/>
        <v>505.1</v>
      </c>
      <c r="AI47" s="49">
        <f t="shared" si="3"/>
        <v>98.7</v>
      </c>
      <c r="AK47" s="50"/>
    </row>
    <row r="48" spans="1:88" x14ac:dyDescent="0.25">
      <c r="A48" s="44" t="s">
        <v>53</v>
      </c>
      <c r="B48" s="45">
        <v>110</v>
      </c>
      <c r="C48" s="45">
        <v>80</v>
      </c>
      <c r="D48" s="45">
        <v>80.3</v>
      </c>
      <c r="E48" s="45">
        <v>80</v>
      </c>
      <c r="F48" s="45">
        <v>75.599999999999994</v>
      </c>
      <c r="G48" s="45">
        <v>92.4</v>
      </c>
      <c r="H48" s="45">
        <v>100</v>
      </c>
      <c r="I48" s="45">
        <v>121.1</v>
      </c>
      <c r="J48" s="45">
        <v>140.9</v>
      </c>
      <c r="K48" s="45">
        <v>140.9</v>
      </c>
      <c r="L48" s="45">
        <v>140.9</v>
      </c>
      <c r="M48" s="45">
        <v>140.9</v>
      </c>
      <c r="N48" s="45">
        <v>140.9</v>
      </c>
      <c r="O48" s="45">
        <v>140.9</v>
      </c>
      <c r="P48" s="45">
        <v>130</v>
      </c>
      <c r="Q48" s="45">
        <v>141.5</v>
      </c>
      <c r="R48" s="45">
        <v>130</v>
      </c>
      <c r="S48" s="45">
        <v>90</v>
      </c>
      <c r="T48" s="45">
        <v>90</v>
      </c>
      <c r="U48" s="45">
        <v>90</v>
      </c>
      <c r="V48" s="45">
        <v>142.1</v>
      </c>
      <c r="W48" s="45">
        <v>142.1</v>
      </c>
      <c r="X48" s="45">
        <v>142.1</v>
      </c>
      <c r="Y48" s="45">
        <v>142.1</v>
      </c>
      <c r="Z48" s="45">
        <v>142.1</v>
      </c>
      <c r="AA48" s="45">
        <v>142.1</v>
      </c>
      <c r="AB48" s="45">
        <v>142.1</v>
      </c>
      <c r="AC48" s="45">
        <v>142.30000000000001</v>
      </c>
      <c r="AD48" s="45">
        <v>142.30000000000001</v>
      </c>
      <c r="AE48" s="45">
        <v>110</v>
      </c>
      <c r="AF48" s="45">
        <v>90</v>
      </c>
      <c r="AG48" s="52">
        <v>144</v>
      </c>
      <c r="AH48" s="48">
        <f t="shared" si="2"/>
        <v>142.30000000000001</v>
      </c>
      <c r="AI48" s="49">
        <f t="shared" si="3"/>
        <v>75.599999999999994</v>
      </c>
      <c r="AK48" s="50"/>
    </row>
    <row r="49" spans="1:41" x14ac:dyDescent="0.25">
      <c r="A49" s="54" t="s">
        <v>54</v>
      </c>
      <c r="B49" s="65">
        <v>35</v>
      </c>
      <c r="C49" s="65">
        <v>25.5</v>
      </c>
      <c r="D49" s="65">
        <v>25.3</v>
      </c>
      <c r="E49" s="65">
        <v>24.2</v>
      </c>
      <c r="F49" s="65">
        <v>25.5</v>
      </c>
      <c r="G49" s="65">
        <v>34.799999999999997</v>
      </c>
      <c r="H49" s="65">
        <v>55.8</v>
      </c>
      <c r="I49" s="65">
        <v>70.3</v>
      </c>
      <c r="J49" s="65">
        <v>72.7</v>
      </c>
      <c r="K49" s="65">
        <v>72.7</v>
      </c>
      <c r="L49" s="65">
        <v>72.7</v>
      </c>
      <c r="M49" s="65">
        <v>72.7</v>
      </c>
      <c r="N49" s="65">
        <v>72.7</v>
      </c>
      <c r="O49" s="65">
        <v>72.7</v>
      </c>
      <c r="P49" s="65">
        <v>72.7</v>
      </c>
      <c r="Q49" s="45">
        <v>72</v>
      </c>
      <c r="R49" s="45">
        <v>72</v>
      </c>
      <c r="S49" s="65">
        <v>45.4</v>
      </c>
      <c r="T49" s="65">
        <v>45.4</v>
      </c>
      <c r="U49" s="65">
        <v>45.4</v>
      </c>
      <c r="V49" s="65">
        <v>71.2</v>
      </c>
      <c r="W49" s="65">
        <v>71.2</v>
      </c>
      <c r="X49" s="65">
        <v>71.2</v>
      </c>
      <c r="Y49" s="65">
        <v>71.2</v>
      </c>
      <c r="Z49" s="65">
        <v>71.2</v>
      </c>
      <c r="AA49" s="65">
        <v>71.2</v>
      </c>
      <c r="AB49" s="65">
        <v>71.2</v>
      </c>
      <c r="AC49" s="65">
        <v>61.2</v>
      </c>
      <c r="AD49" s="65">
        <v>61.2</v>
      </c>
      <c r="AE49" s="65">
        <v>35</v>
      </c>
      <c r="AF49" s="65">
        <v>35</v>
      </c>
      <c r="AG49" s="55">
        <v>70</v>
      </c>
      <c r="AH49" s="48">
        <f t="shared" si="2"/>
        <v>72.7</v>
      </c>
      <c r="AI49" s="49">
        <f t="shared" si="3"/>
        <v>24.2</v>
      </c>
      <c r="AK49" s="50"/>
    </row>
    <row r="50" spans="1:41" x14ac:dyDescent="0.25">
      <c r="A50" s="54" t="s">
        <v>55</v>
      </c>
      <c r="B50" s="65">
        <v>60</v>
      </c>
      <c r="C50" s="65">
        <v>64.599999999999994</v>
      </c>
      <c r="D50" s="65">
        <v>64.599999999999994</v>
      </c>
      <c r="E50" s="65">
        <v>51.7</v>
      </c>
      <c r="F50" s="65">
        <v>52.2</v>
      </c>
      <c r="G50" s="65">
        <v>60.5</v>
      </c>
      <c r="H50" s="65">
        <v>61</v>
      </c>
      <c r="I50" s="65">
        <v>62.3</v>
      </c>
      <c r="J50" s="65">
        <v>60.7</v>
      </c>
      <c r="K50" s="65">
        <v>60.7</v>
      </c>
      <c r="L50" s="65">
        <v>68.099999999999994</v>
      </c>
      <c r="M50" s="65">
        <v>68.099999999999994</v>
      </c>
      <c r="N50" s="65">
        <v>68.099999999999994</v>
      </c>
      <c r="O50" s="65">
        <v>68.099999999999994</v>
      </c>
      <c r="P50" s="65">
        <v>68.099999999999994</v>
      </c>
      <c r="Q50" s="45">
        <v>43</v>
      </c>
      <c r="R50" s="45">
        <v>43</v>
      </c>
      <c r="S50" s="65">
        <v>44</v>
      </c>
      <c r="T50" s="65">
        <v>44</v>
      </c>
      <c r="U50" s="65">
        <v>44</v>
      </c>
      <c r="V50" s="65">
        <v>61.5</v>
      </c>
      <c r="W50" s="65">
        <v>61.5</v>
      </c>
      <c r="X50" s="65">
        <v>61.5</v>
      </c>
      <c r="Y50" s="65">
        <v>61.5</v>
      </c>
      <c r="Z50" s="65">
        <v>61.5</v>
      </c>
      <c r="AA50" s="65">
        <v>61.5</v>
      </c>
      <c r="AB50" s="65">
        <v>61.5</v>
      </c>
      <c r="AC50" s="65">
        <v>61.9</v>
      </c>
      <c r="AD50" s="65">
        <v>61.9</v>
      </c>
      <c r="AE50" s="65">
        <v>56</v>
      </c>
      <c r="AF50" s="65">
        <v>56</v>
      </c>
      <c r="AG50" s="55">
        <v>69</v>
      </c>
      <c r="AH50" s="48">
        <f t="shared" si="2"/>
        <v>68.099999999999994</v>
      </c>
      <c r="AI50" s="49">
        <f t="shared" si="3"/>
        <v>43</v>
      </c>
      <c r="AK50" s="50"/>
    </row>
    <row r="51" spans="1:41" x14ac:dyDescent="0.25">
      <c r="A51" s="54" t="s">
        <v>56</v>
      </c>
      <c r="B51" s="57">
        <v>60</v>
      </c>
      <c r="C51" s="57">
        <v>60</v>
      </c>
      <c r="D51" s="57">
        <v>60</v>
      </c>
      <c r="E51" s="57">
        <v>60</v>
      </c>
      <c r="F51" s="57">
        <v>60.2</v>
      </c>
      <c r="G51" s="57">
        <v>60.2</v>
      </c>
      <c r="H51" s="57">
        <v>60</v>
      </c>
      <c r="I51" s="57">
        <v>60</v>
      </c>
      <c r="J51" s="57">
        <v>60</v>
      </c>
      <c r="K51" s="57">
        <v>60</v>
      </c>
      <c r="L51" s="57">
        <v>60</v>
      </c>
      <c r="M51" s="57">
        <v>60</v>
      </c>
      <c r="N51" s="57">
        <v>60</v>
      </c>
      <c r="O51" s="57">
        <v>60</v>
      </c>
      <c r="P51" s="57">
        <v>60</v>
      </c>
      <c r="Q51" s="57">
        <v>60</v>
      </c>
      <c r="R51" s="57">
        <v>60</v>
      </c>
      <c r="S51" s="57">
        <v>31.5</v>
      </c>
      <c r="T51" s="57">
        <v>61</v>
      </c>
      <c r="U51" s="57">
        <v>61</v>
      </c>
      <c r="V51" s="65">
        <v>61</v>
      </c>
      <c r="W51" s="65">
        <v>61</v>
      </c>
      <c r="X51" s="65">
        <v>61</v>
      </c>
      <c r="Y51" s="65">
        <v>61</v>
      </c>
      <c r="Z51" s="65">
        <v>61</v>
      </c>
      <c r="AA51" s="65">
        <v>61</v>
      </c>
      <c r="AB51" s="65">
        <v>61</v>
      </c>
      <c r="AC51" s="57">
        <v>61.2</v>
      </c>
      <c r="AD51" s="57">
        <v>61.2</v>
      </c>
      <c r="AE51" s="57">
        <v>61.2</v>
      </c>
      <c r="AF51" s="57">
        <v>61.2</v>
      </c>
      <c r="AG51" s="55">
        <v>60</v>
      </c>
      <c r="AH51" s="48">
        <f t="shared" si="2"/>
        <v>61.2</v>
      </c>
      <c r="AI51" s="49">
        <f t="shared" si="3"/>
        <v>31.5</v>
      </c>
      <c r="AK51" s="50"/>
    </row>
    <row r="52" spans="1:41" x14ac:dyDescent="0.25">
      <c r="A52" s="54" t="s">
        <v>57</v>
      </c>
      <c r="B52" s="57">
        <v>15</v>
      </c>
      <c r="C52" s="57">
        <v>0</v>
      </c>
      <c r="D52" s="57">
        <v>0</v>
      </c>
      <c r="E52" s="57">
        <v>0</v>
      </c>
      <c r="F52" s="57">
        <v>0</v>
      </c>
      <c r="G52" s="57">
        <v>14.9</v>
      </c>
      <c r="H52" s="57">
        <v>14.9</v>
      </c>
      <c r="I52" s="57">
        <v>25.4</v>
      </c>
      <c r="J52" s="57">
        <v>26.7</v>
      </c>
      <c r="K52" s="57">
        <v>26.7</v>
      </c>
      <c r="L52" s="57">
        <v>29.4</v>
      </c>
      <c r="M52" s="57">
        <v>29.4</v>
      </c>
      <c r="N52" s="57">
        <v>29.4</v>
      </c>
      <c r="O52" s="57">
        <v>29.4</v>
      </c>
      <c r="P52" s="57">
        <v>14.1</v>
      </c>
      <c r="Q52" s="57">
        <v>14.1</v>
      </c>
      <c r="R52" s="57">
        <v>0</v>
      </c>
      <c r="S52" s="57">
        <v>0</v>
      </c>
      <c r="T52" s="57">
        <v>0</v>
      </c>
      <c r="U52" s="57">
        <v>0</v>
      </c>
      <c r="V52" s="65">
        <v>27.2</v>
      </c>
      <c r="W52" s="65">
        <v>27.2</v>
      </c>
      <c r="X52" s="65">
        <v>27.2</v>
      </c>
      <c r="Y52" s="65">
        <v>27.2</v>
      </c>
      <c r="Z52" s="65">
        <v>27.2</v>
      </c>
      <c r="AA52" s="65">
        <v>27.2</v>
      </c>
      <c r="AB52" s="65">
        <v>27.2</v>
      </c>
      <c r="AC52" s="57">
        <v>15</v>
      </c>
      <c r="AD52" s="57">
        <v>15</v>
      </c>
      <c r="AE52" s="57">
        <v>0</v>
      </c>
      <c r="AF52" s="57">
        <v>0</v>
      </c>
      <c r="AG52" s="55">
        <v>30</v>
      </c>
      <c r="AH52" s="48">
        <f t="shared" si="2"/>
        <v>29.4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4</v>
      </c>
      <c r="N53" s="65">
        <v>8</v>
      </c>
      <c r="O53" s="65">
        <v>10</v>
      </c>
      <c r="P53" s="65">
        <v>12</v>
      </c>
      <c r="Q53" s="65">
        <v>12</v>
      </c>
      <c r="R53" s="65">
        <v>12</v>
      </c>
      <c r="S53" s="65">
        <v>10</v>
      </c>
      <c r="T53" s="65">
        <v>8</v>
      </c>
      <c r="U53" s="65">
        <v>4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25</v>
      </c>
      <c r="AH53" s="48">
        <f t="shared" si="2"/>
        <v>12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17.3</v>
      </c>
      <c r="C54" s="65">
        <v>17.3</v>
      </c>
      <c r="D54" s="65">
        <v>17.3</v>
      </c>
      <c r="E54" s="65">
        <v>17.3</v>
      </c>
      <c r="F54" s="65">
        <v>17.3</v>
      </c>
      <c r="G54" s="65">
        <v>17.3</v>
      </c>
      <c r="H54" s="65">
        <v>17.3</v>
      </c>
      <c r="I54" s="65">
        <v>17.3</v>
      </c>
      <c r="J54" s="65">
        <v>17.3</v>
      </c>
      <c r="K54" s="65">
        <v>17.3</v>
      </c>
      <c r="L54" s="65">
        <v>17.3</v>
      </c>
      <c r="M54" s="65">
        <v>17.3</v>
      </c>
      <c r="N54" s="65">
        <v>17.3</v>
      </c>
      <c r="O54" s="65">
        <v>17.3</v>
      </c>
      <c r="P54" s="65">
        <v>17.3</v>
      </c>
      <c r="Q54" s="65">
        <v>17.3</v>
      </c>
      <c r="R54" s="65">
        <v>17.3</v>
      </c>
      <c r="S54" s="65">
        <v>17.3</v>
      </c>
      <c r="T54" s="65">
        <v>17.3</v>
      </c>
      <c r="U54" s="65">
        <v>17.3</v>
      </c>
      <c r="V54" s="65">
        <v>17.3</v>
      </c>
      <c r="W54" s="65">
        <v>17.3</v>
      </c>
      <c r="X54" s="65">
        <v>17.3</v>
      </c>
      <c r="Y54" s="65">
        <v>17.3</v>
      </c>
      <c r="Z54" s="65">
        <v>17.3</v>
      </c>
      <c r="AA54" s="65">
        <v>17.3</v>
      </c>
      <c r="AB54" s="65">
        <v>17.3</v>
      </c>
      <c r="AC54" s="65">
        <v>17.2</v>
      </c>
      <c r="AD54" s="65">
        <v>17.2</v>
      </c>
      <c r="AE54" s="65">
        <v>17.3</v>
      </c>
      <c r="AF54" s="65">
        <v>17.3</v>
      </c>
      <c r="AG54" s="55">
        <v>24</v>
      </c>
      <c r="AH54" s="48">
        <f t="shared" si="2"/>
        <v>17.3</v>
      </c>
      <c r="AI54" s="49">
        <f t="shared" si="3"/>
        <v>17.2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14.4</v>
      </c>
      <c r="C56" s="65">
        <v>14.4</v>
      </c>
      <c r="D56" s="65">
        <v>14.4</v>
      </c>
      <c r="E56" s="65">
        <v>14.4</v>
      </c>
      <c r="F56" s="65">
        <v>14.4</v>
      </c>
      <c r="G56" s="65">
        <v>14.4</v>
      </c>
      <c r="H56" s="65">
        <v>14.4</v>
      </c>
      <c r="I56" s="65">
        <v>14.4</v>
      </c>
      <c r="J56" s="65">
        <v>14.4</v>
      </c>
      <c r="K56" s="65">
        <v>14.4</v>
      </c>
      <c r="L56" s="65">
        <v>14.4</v>
      </c>
      <c r="M56" s="65">
        <v>14.4</v>
      </c>
      <c r="N56" s="65">
        <v>14.4</v>
      </c>
      <c r="O56" s="65">
        <v>14.4</v>
      </c>
      <c r="P56" s="65">
        <v>14.4</v>
      </c>
      <c r="Q56" s="65">
        <v>14.4</v>
      </c>
      <c r="R56" s="65">
        <v>14.4</v>
      </c>
      <c r="S56" s="65">
        <v>14.4</v>
      </c>
      <c r="T56" s="65">
        <v>14.4</v>
      </c>
      <c r="U56" s="65">
        <v>14.4</v>
      </c>
      <c r="V56" s="65">
        <v>14.4</v>
      </c>
      <c r="W56" s="65">
        <v>14.4</v>
      </c>
      <c r="X56" s="65">
        <v>14.4</v>
      </c>
      <c r="Y56" s="65">
        <v>14.4</v>
      </c>
      <c r="Z56" s="65">
        <v>14.4</v>
      </c>
      <c r="AA56" s="65">
        <v>14.4</v>
      </c>
      <c r="AB56" s="65">
        <v>14.4</v>
      </c>
      <c r="AC56" s="65">
        <v>14</v>
      </c>
      <c r="AD56" s="65">
        <v>14</v>
      </c>
      <c r="AE56" s="65">
        <v>14</v>
      </c>
      <c r="AF56" s="65">
        <v>14</v>
      </c>
      <c r="AG56" s="55">
        <v>14.1</v>
      </c>
      <c r="AH56" s="48">
        <f t="shared" si="2"/>
        <v>14.4</v>
      </c>
      <c r="AI56" s="49">
        <f t="shared" si="3"/>
        <v>14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9.1999999999999993</v>
      </c>
      <c r="C57" s="65">
        <v>9.1999999999999993</v>
      </c>
      <c r="D57" s="65">
        <v>9.1999999999999993</v>
      </c>
      <c r="E57" s="65">
        <v>9.1999999999999993</v>
      </c>
      <c r="F57" s="65">
        <v>9.1999999999999993</v>
      </c>
      <c r="G57" s="65">
        <v>9.1999999999999993</v>
      </c>
      <c r="H57" s="65">
        <v>9.1999999999999993</v>
      </c>
      <c r="I57" s="65">
        <v>9.1999999999999993</v>
      </c>
      <c r="J57" s="65">
        <v>9.1999999999999993</v>
      </c>
      <c r="K57" s="65">
        <v>9.1999999999999993</v>
      </c>
      <c r="L57" s="65">
        <v>9.1999999999999993</v>
      </c>
      <c r="M57" s="65">
        <v>9.1999999999999993</v>
      </c>
      <c r="N57" s="65">
        <v>9.1999999999999993</v>
      </c>
      <c r="O57" s="65">
        <v>9.1999999999999993</v>
      </c>
      <c r="P57" s="65">
        <v>9.1999999999999993</v>
      </c>
      <c r="Q57" s="65">
        <v>9.1999999999999993</v>
      </c>
      <c r="R57" s="65">
        <v>9.1999999999999993</v>
      </c>
      <c r="S57" s="65">
        <v>9.1999999999999993</v>
      </c>
      <c r="T57" s="65">
        <v>9.1999999999999993</v>
      </c>
      <c r="U57" s="65">
        <v>9.1999999999999993</v>
      </c>
      <c r="V57" s="65">
        <v>9.1999999999999993</v>
      </c>
      <c r="W57" s="65">
        <v>9.1999999999999993</v>
      </c>
      <c r="X57" s="65">
        <v>9.1999999999999993</v>
      </c>
      <c r="Y57" s="65">
        <v>9.1999999999999993</v>
      </c>
      <c r="Z57" s="65">
        <v>9.1999999999999993</v>
      </c>
      <c r="AA57" s="65">
        <v>9.1999999999999993</v>
      </c>
      <c r="AB57" s="65">
        <v>9.1999999999999993</v>
      </c>
      <c r="AC57" s="65">
        <v>9.1999999999999993</v>
      </c>
      <c r="AD57" s="65">
        <v>9.1999999999999993</v>
      </c>
      <c r="AE57" s="65">
        <v>9.1999999999999993</v>
      </c>
      <c r="AF57" s="65">
        <v>9.1999999999999993</v>
      </c>
      <c r="AG57" s="55">
        <v>14</v>
      </c>
      <c r="AH57" s="48">
        <f t="shared" si="2"/>
        <v>9.1999999999999993</v>
      </c>
      <c r="AI57" s="49">
        <f t="shared" si="3"/>
        <v>9.1999999999999993</v>
      </c>
      <c r="AK57" s="50"/>
    </row>
    <row r="58" spans="1:41" x14ac:dyDescent="0.25">
      <c r="A58" s="54" t="s">
        <v>63</v>
      </c>
      <c r="B58" s="65">
        <v>6.2</v>
      </c>
      <c r="C58" s="65">
        <v>6.2</v>
      </c>
      <c r="D58" s="65">
        <v>6.2</v>
      </c>
      <c r="E58" s="65">
        <v>6.2</v>
      </c>
      <c r="F58" s="65">
        <v>6.2</v>
      </c>
      <c r="G58" s="65">
        <v>6.2</v>
      </c>
      <c r="H58" s="65">
        <v>6.2</v>
      </c>
      <c r="I58" s="65">
        <v>6.2</v>
      </c>
      <c r="J58" s="65">
        <v>6.2</v>
      </c>
      <c r="K58" s="65">
        <v>6.2</v>
      </c>
      <c r="L58" s="65">
        <v>6.2</v>
      </c>
      <c r="M58" s="65">
        <v>6.2</v>
      </c>
      <c r="N58" s="65">
        <v>6.2</v>
      </c>
      <c r="O58" s="65">
        <v>6.2</v>
      </c>
      <c r="P58" s="65">
        <v>6.2</v>
      </c>
      <c r="Q58" s="65">
        <v>6.2</v>
      </c>
      <c r="R58" s="65">
        <v>6.2</v>
      </c>
      <c r="S58" s="65">
        <v>6.2</v>
      </c>
      <c r="T58" s="65">
        <v>6.2</v>
      </c>
      <c r="U58" s="65">
        <v>6.2</v>
      </c>
      <c r="V58" s="65">
        <v>6.2</v>
      </c>
      <c r="W58" s="65">
        <v>6.2</v>
      </c>
      <c r="X58" s="65">
        <v>6.2</v>
      </c>
      <c r="Y58" s="65">
        <v>6.2</v>
      </c>
      <c r="Z58" s="65">
        <v>6.2</v>
      </c>
      <c r="AA58" s="65">
        <v>6.2</v>
      </c>
      <c r="AB58" s="65">
        <v>6.2</v>
      </c>
      <c r="AC58" s="65">
        <v>6.2</v>
      </c>
      <c r="AD58" s="65">
        <v>6.2</v>
      </c>
      <c r="AE58" s="65">
        <v>6.2</v>
      </c>
      <c r="AF58" s="65">
        <v>6.2</v>
      </c>
      <c r="AG58" s="55">
        <v>10.050000000000001</v>
      </c>
      <c r="AH58" s="48">
        <f t="shared" si="2"/>
        <v>6.2</v>
      </c>
      <c r="AI58" s="49">
        <f t="shared" si="3"/>
        <v>6.2</v>
      </c>
      <c r="AK58" s="50"/>
    </row>
    <row r="59" spans="1:41" x14ac:dyDescent="0.25">
      <c r="A59" s="54" t="s">
        <v>64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5">
        <v>6.2</v>
      </c>
      <c r="AH59" s="48">
        <f t="shared" si="2"/>
        <v>4.2</v>
      </c>
      <c r="AI59" s="49">
        <f t="shared" si="3"/>
        <v>4.2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:AG61" si="7">SUM(B48:B60)</f>
        <v>334.84</v>
      </c>
      <c r="C61" s="61">
        <f t="shared" si="7"/>
        <v>284.94</v>
      </c>
      <c r="D61" s="61">
        <f t="shared" si="7"/>
        <v>285.03999999999996</v>
      </c>
      <c r="E61" s="61">
        <f t="shared" si="7"/>
        <v>270.74</v>
      </c>
      <c r="F61" s="61">
        <f t="shared" si="7"/>
        <v>268.34000000000003</v>
      </c>
      <c r="G61" s="61">
        <f t="shared" si="7"/>
        <v>317.63999999999993</v>
      </c>
      <c r="H61" s="61">
        <f t="shared" si="7"/>
        <v>346.53999999999996</v>
      </c>
      <c r="I61" s="61">
        <f t="shared" si="7"/>
        <v>393.93999999999994</v>
      </c>
      <c r="J61" s="61">
        <f t="shared" si="7"/>
        <v>415.84</v>
      </c>
      <c r="K61" s="61">
        <f t="shared" si="7"/>
        <v>415.84</v>
      </c>
      <c r="L61" s="61">
        <f t="shared" si="7"/>
        <v>425.94</v>
      </c>
      <c r="M61" s="61">
        <f t="shared" si="7"/>
        <v>429.94</v>
      </c>
      <c r="N61" s="61">
        <f t="shared" si="7"/>
        <v>433.94</v>
      </c>
      <c r="O61" s="61">
        <f t="shared" si="7"/>
        <v>435.94</v>
      </c>
      <c r="P61" s="61">
        <f t="shared" si="7"/>
        <v>411.73999999999995</v>
      </c>
      <c r="Q61" s="61">
        <f t="shared" si="7"/>
        <v>397.44</v>
      </c>
      <c r="R61" s="61">
        <f t="shared" si="7"/>
        <v>371.84</v>
      </c>
      <c r="S61" s="61">
        <f t="shared" si="7"/>
        <v>275.74</v>
      </c>
      <c r="T61" s="61">
        <f t="shared" si="7"/>
        <v>303.23999999999995</v>
      </c>
      <c r="U61" s="61">
        <f t="shared" si="7"/>
        <v>299.23999999999995</v>
      </c>
      <c r="V61" s="61">
        <f t="shared" si="7"/>
        <v>417.84</v>
      </c>
      <c r="W61" s="61">
        <f t="shared" si="7"/>
        <v>417.84</v>
      </c>
      <c r="X61" s="61">
        <f t="shared" si="7"/>
        <v>417.84</v>
      </c>
      <c r="Y61" s="61">
        <f t="shared" si="7"/>
        <v>417.84</v>
      </c>
      <c r="Z61" s="61">
        <f t="shared" si="7"/>
        <v>417.84</v>
      </c>
      <c r="AA61" s="61">
        <f t="shared" si="7"/>
        <v>417.84</v>
      </c>
      <c r="AB61" s="61">
        <f t="shared" si="7"/>
        <v>417.84</v>
      </c>
      <c r="AC61" s="61">
        <f t="shared" si="7"/>
        <v>395.93999999999994</v>
      </c>
      <c r="AD61" s="61">
        <f t="shared" si="7"/>
        <v>395.93999999999994</v>
      </c>
      <c r="AE61" s="61">
        <f t="shared" si="7"/>
        <v>316.64</v>
      </c>
      <c r="AF61" s="61">
        <f t="shared" si="7"/>
        <v>296.64</v>
      </c>
      <c r="AG61" s="62">
        <f t="shared" si="7"/>
        <v>489.91</v>
      </c>
      <c r="AH61" s="48">
        <f t="shared" si="2"/>
        <v>435.94</v>
      </c>
      <c r="AI61" s="49">
        <f t="shared" si="3"/>
        <v>268.34000000000003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/>
      <c r="N62" s="45"/>
      <c r="O62" s="45"/>
      <c r="P62" s="45"/>
      <c r="Q62" s="45"/>
      <c r="R62" s="45"/>
      <c r="S62" s="45"/>
      <c r="T62" s="45">
        <v>0</v>
      </c>
      <c r="U62" s="45">
        <v>0</v>
      </c>
      <c r="V62" s="45">
        <v>29.8</v>
      </c>
      <c r="W62" s="45">
        <v>40</v>
      </c>
      <c r="X62" s="45">
        <v>0</v>
      </c>
      <c r="Y62" s="45">
        <v>0</v>
      </c>
      <c r="Z62" s="45">
        <v>0</v>
      </c>
      <c r="AA62" s="45">
        <v>0</v>
      </c>
      <c r="AB62" s="45"/>
      <c r="AC62" s="45">
        <v>0</v>
      </c>
      <c r="AD62" s="45">
        <v>0</v>
      </c>
      <c r="AE62" s="45">
        <v>0</v>
      </c>
      <c r="AF62" s="45">
        <v>0</v>
      </c>
      <c r="AG62" s="52">
        <v>60</v>
      </c>
      <c r="AH62" s="48">
        <f t="shared" si="2"/>
        <v>40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/>
      <c r="N63" s="65"/>
      <c r="O63" s="65"/>
      <c r="P63" s="65"/>
      <c r="Q63" s="65"/>
      <c r="R63" s="65"/>
      <c r="S63" s="65"/>
      <c r="T63" s="65">
        <v>0</v>
      </c>
      <c r="U63" s="65">
        <v>0</v>
      </c>
      <c r="V63" s="65">
        <v>7</v>
      </c>
      <c r="W63" s="65">
        <v>19</v>
      </c>
      <c r="X63" s="65">
        <v>0</v>
      </c>
      <c r="Y63" s="65">
        <v>0</v>
      </c>
      <c r="Z63" s="65">
        <v>0</v>
      </c>
      <c r="AA63" s="65">
        <v>0</v>
      </c>
      <c r="AB63" s="65"/>
      <c r="AC63" s="65">
        <v>0</v>
      </c>
      <c r="AD63" s="65">
        <v>0</v>
      </c>
      <c r="AE63" s="65">
        <v>0</v>
      </c>
      <c r="AF63" s="65">
        <v>0</v>
      </c>
      <c r="AG63" s="55">
        <v>32</v>
      </c>
      <c r="AH63" s="48">
        <f t="shared" si="2"/>
        <v>19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/>
      <c r="N64" s="67"/>
      <c r="O64" s="67"/>
      <c r="P64" s="67"/>
      <c r="Q64" s="67"/>
      <c r="R64" s="67"/>
      <c r="S64" s="67"/>
      <c r="T64" s="67">
        <v>0</v>
      </c>
      <c r="U64" s="67">
        <v>0</v>
      </c>
      <c r="V64" s="67">
        <v>2.6</v>
      </c>
      <c r="W64" s="67">
        <v>7</v>
      </c>
      <c r="X64" s="67">
        <v>0</v>
      </c>
      <c r="Y64" s="67">
        <v>0</v>
      </c>
      <c r="Z64" s="67">
        <v>0</v>
      </c>
      <c r="AA64" s="67">
        <v>0</v>
      </c>
      <c r="AB64" s="67"/>
      <c r="AC64" s="67">
        <v>0</v>
      </c>
      <c r="AD64" s="67">
        <v>0</v>
      </c>
      <c r="AE64" s="67">
        <v>0</v>
      </c>
      <c r="AF64" s="67">
        <v>0</v>
      </c>
      <c r="AG64" s="68">
        <v>14</v>
      </c>
      <c r="AH64" s="48">
        <f t="shared" si="2"/>
        <v>7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:AG65" si="8">SUM(B62:B64)</f>
        <v>0</v>
      </c>
      <c r="C65" s="61">
        <f t="shared" si="8"/>
        <v>0</v>
      </c>
      <c r="D65" s="61">
        <f t="shared" si="8"/>
        <v>0</v>
      </c>
      <c r="E65" s="61">
        <f t="shared" si="8"/>
        <v>0</v>
      </c>
      <c r="F65" s="61">
        <f t="shared" si="8"/>
        <v>0</v>
      </c>
      <c r="G65" s="61">
        <f t="shared" si="8"/>
        <v>0</v>
      </c>
      <c r="H65" s="61">
        <f t="shared" si="8"/>
        <v>0</v>
      </c>
      <c r="I65" s="61">
        <f t="shared" si="8"/>
        <v>0</v>
      </c>
      <c r="J65" s="61">
        <f t="shared" si="8"/>
        <v>0</v>
      </c>
      <c r="K65" s="61">
        <f t="shared" si="8"/>
        <v>0</v>
      </c>
      <c r="L65" s="61">
        <f t="shared" si="8"/>
        <v>0</v>
      </c>
      <c r="M65" s="61">
        <f t="shared" si="8"/>
        <v>0</v>
      </c>
      <c r="N65" s="61">
        <f t="shared" si="8"/>
        <v>0</v>
      </c>
      <c r="O65" s="61">
        <f t="shared" si="8"/>
        <v>0</v>
      </c>
      <c r="P65" s="61">
        <f t="shared" si="8"/>
        <v>0</v>
      </c>
      <c r="Q65" s="61">
        <f t="shared" si="8"/>
        <v>0</v>
      </c>
      <c r="R65" s="61">
        <f t="shared" si="8"/>
        <v>0</v>
      </c>
      <c r="S65" s="61">
        <f t="shared" si="8"/>
        <v>0</v>
      </c>
      <c r="T65" s="61">
        <f t="shared" si="8"/>
        <v>0</v>
      </c>
      <c r="U65" s="61">
        <f t="shared" si="8"/>
        <v>0</v>
      </c>
      <c r="V65" s="61">
        <f t="shared" si="8"/>
        <v>39.4</v>
      </c>
      <c r="W65" s="61">
        <f t="shared" si="8"/>
        <v>66</v>
      </c>
      <c r="X65" s="61">
        <f t="shared" si="8"/>
        <v>0</v>
      </c>
      <c r="Y65" s="61">
        <f t="shared" si="8"/>
        <v>0</v>
      </c>
      <c r="Z65" s="61">
        <f t="shared" si="8"/>
        <v>0</v>
      </c>
      <c r="AA65" s="61">
        <f t="shared" si="8"/>
        <v>0</v>
      </c>
      <c r="AB65" s="61">
        <f t="shared" si="8"/>
        <v>0</v>
      </c>
      <c r="AC65" s="61">
        <f t="shared" si="8"/>
        <v>0</v>
      </c>
      <c r="AD65" s="61">
        <f t="shared" si="8"/>
        <v>0</v>
      </c>
      <c r="AE65" s="61">
        <f t="shared" si="8"/>
        <v>0</v>
      </c>
      <c r="AF65" s="61">
        <f t="shared" si="8"/>
        <v>0</v>
      </c>
      <c r="AG65" s="62">
        <f t="shared" si="8"/>
        <v>106</v>
      </c>
      <c r="AH65" s="48">
        <f t="shared" si="2"/>
        <v>66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0</v>
      </c>
      <c r="I66" s="45">
        <v>19.399999999999999</v>
      </c>
      <c r="J66" s="45">
        <v>29.8</v>
      </c>
      <c r="K66" s="45">
        <v>18.100000000000001</v>
      </c>
      <c r="L66" s="45">
        <v>23.8</v>
      </c>
      <c r="M66" s="45">
        <v>39.799999999999997</v>
      </c>
      <c r="N66" s="45">
        <v>28.8</v>
      </c>
      <c r="O66" s="45">
        <v>29.1</v>
      </c>
      <c r="P66" s="45">
        <v>41.3</v>
      </c>
      <c r="Q66" s="45">
        <v>0</v>
      </c>
      <c r="R66" s="45">
        <v>0</v>
      </c>
      <c r="S66" s="45">
        <v>0</v>
      </c>
      <c r="T66" s="45">
        <v>0</v>
      </c>
      <c r="U66" s="45">
        <v>0</v>
      </c>
      <c r="V66" s="45">
        <v>0</v>
      </c>
      <c r="W66" s="45">
        <v>19</v>
      </c>
      <c r="X66" s="45">
        <v>32</v>
      </c>
      <c r="Y66" s="45">
        <v>27</v>
      </c>
      <c r="Z66" s="45">
        <v>25</v>
      </c>
      <c r="AA66" s="45">
        <v>30</v>
      </c>
      <c r="AB66" s="45">
        <v>25</v>
      </c>
      <c r="AC66" s="45">
        <v>28.1</v>
      </c>
      <c r="AD66" s="45">
        <v>24.4</v>
      </c>
      <c r="AE66" s="45">
        <v>0</v>
      </c>
      <c r="AF66" s="45">
        <v>0</v>
      </c>
      <c r="AG66" s="52"/>
      <c r="AH66" s="48">
        <f t="shared" si="2"/>
        <v>41.3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-68</v>
      </c>
      <c r="C68" s="65">
        <v>-80</v>
      </c>
      <c r="D68" s="65">
        <v>-90</v>
      </c>
      <c r="E68" s="65">
        <v>-94.7</v>
      </c>
      <c r="F68" s="65">
        <v>-76</v>
      </c>
      <c r="G68" s="65">
        <v>-83.5</v>
      </c>
      <c r="H68" s="65">
        <v>-87.1</v>
      </c>
      <c r="I68" s="65">
        <v>-87.3</v>
      </c>
      <c r="J68" s="65">
        <v>-118.5</v>
      </c>
      <c r="K68" s="65">
        <v>-130</v>
      </c>
      <c r="L68" s="65">
        <v>-233</v>
      </c>
      <c r="M68" s="65">
        <v>-231.4</v>
      </c>
      <c r="N68" s="65">
        <v>-231</v>
      </c>
      <c r="O68" s="65">
        <v>-91</v>
      </c>
      <c r="P68" s="65">
        <v>-128</v>
      </c>
      <c r="Q68" s="65">
        <v>-89.2</v>
      </c>
      <c r="R68" s="65">
        <v>-110</v>
      </c>
      <c r="S68" s="65">
        <v>-85</v>
      </c>
      <c r="T68" s="65">
        <v>-45</v>
      </c>
      <c r="U68" s="65">
        <v>-24.6</v>
      </c>
      <c r="V68" s="65">
        <v>-191.3</v>
      </c>
      <c r="W68" s="65">
        <v>-213</v>
      </c>
      <c r="X68" s="65">
        <v>-211</v>
      </c>
      <c r="Y68" s="65">
        <v>-227</v>
      </c>
      <c r="Z68" s="65">
        <v>-239</v>
      </c>
      <c r="AA68" s="65">
        <v>-239</v>
      </c>
      <c r="AB68" s="65">
        <v>-239</v>
      </c>
      <c r="AC68" s="65">
        <v>-199</v>
      </c>
      <c r="AD68" s="65">
        <v>-215</v>
      </c>
      <c r="AE68" s="65">
        <v>-156</v>
      </c>
      <c r="AF68" s="65">
        <v>-136</v>
      </c>
      <c r="AG68" s="75"/>
      <c r="AH68" s="48">
        <f t="shared" si="2"/>
        <v>-24.6</v>
      </c>
      <c r="AI68" s="49">
        <f t="shared" si="3"/>
        <v>-239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:AF77" si="9">SUMIF(B66:B76,"&gt;0")</f>
        <v>0</v>
      </c>
      <c r="C77" s="61">
        <f t="shared" si="9"/>
        <v>0</v>
      </c>
      <c r="D77" s="61">
        <f t="shared" si="9"/>
        <v>0</v>
      </c>
      <c r="E77" s="61">
        <f t="shared" si="9"/>
        <v>0</v>
      </c>
      <c r="F77" s="61">
        <f t="shared" si="9"/>
        <v>0</v>
      </c>
      <c r="G77" s="61">
        <f t="shared" si="9"/>
        <v>0</v>
      </c>
      <c r="H77" s="61">
        <f t="shared" si="9"/>
        <v>0</v>
      </c>
      <c r="I77" s="61">
        <f t="shared" si="9"/>
        <v>19.399999999999999</v>
      </c>
      <c r="J77" s="61">
        <f t="shared" si="9"/>
        <v>29.8</v>
      </c>
      <c r="K77" s="61">
        <f t="shared" si="9"/>
        <v>18.100000000000001</v>
      </c>
      <c r="L77" s="61">
        <f t="shared" si="9"/>
        <v>23.8</v>
      </c>
      <c r="M77" s="61">
        <f t="shared" si="9"/>
        <v>39.799999999999997</v>
      </c>
      <c r="N77" s="61">
        <f t="shared" si="9"/>
        <v>28.8</v>
      </c>
      <c r="O77" s="61">
        <f t="shared" si="9"/>
        <v>29.1</v>
      </c>
      <c r="P77" s="61">
        <f t="shared" si="9"/>
        <v>41.3</v>
      </c>
      <c r="Q77" s="61">
        <f t="shared" si="9"/>
        <v>0</v>
      </c>
      <c r="R77" s="61">
        <f t="shared" si="9"/>
        <v>0</v>
      </c>
      <c r="S77" s="61">
        <f t="shared" si="9"/>
        <v>0</v>
      </c>
      <c r="T77" s="61">
        <f t="shared" si="9"/>
        <v>0</v>
      </c>
      <c r="U77" s="61">
        <f t="shared" si="9"/>
        <v>0</v>
      </c>
      <c r="V77" s="61">
        <f t="shared" si="9"/>
        <v>0</v>
      </c>
      <c r="W77" s="61">
        <f t="shared" si="9"/>
        <v>19</v>
      </c>
      <c r="X77" s="61">
        <f t="shared" si="9"/>
        <v>32</v>
      </c>
      <c r="Y77" s="61">
        <f t="shared" si="9"/>
        <v>27</v>
      </c>
      <c r="Z77" s="61">
        <f t="shared" si="9"/>
        <v>25</v>
      </c>
      <c r="AA77" s="61">
        <f t="shared" si="9"/>
        <v>30</v>
      </c>
      <c r="AB77" s="61">
        <f t="shared" si="9"/>
        <v>25</v>
      </c>
      <c r="AC77" s="61">
        <f t="shared" si="9"/>
        <v>28.1</v>
      </c>
      <c r="AD77" s="61">
        <f t="shared" si="9"/>
        <v>24.4</v>
      </c>
      <c r="AE77" s="61">
        <f t="shared" si="9"/>
        <v>0</v>
      </c>
      <c r="AF77" s="61">
        <f t="shared" si="9"/>
        <v>0</v>
      </c>
      <c r="AG77" s="81">
        <f>SUM(AG66:AG76)</f>
        <v>0</v>
      </c>
      <c r="AH77" s="48">
        <f t="shared" si="2"/>
        <v>41.3</v>
      </c>
      <c r="AI77" s="49">
        <f t="shared" si="3"/>
        <v>0</v>
      </c>
      <c r="AK77" s="50"/>
    </row>
    <row r="78" spans="1:37" x14ac:dyDescent="0.25">
      <c r="A78" s="44" t="s">
        <v>83</v>
      </c>
      <c r="B78" s="76">
        <v>0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/>
      <c r="N78" s="76"/>
      <c r="O78" s="76"/>
      <c r="P78" s="76"/>
      <c r="Q78" s="76"/>
      <c r="R78" s="76"/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6">
        <v>0</v>
      </c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/>
      <c r="N79" s="77"/>
      <c r="O79" s="77"/>
      <c r="P79" s="77"/>
      <c r="Q79" s="77"/>
      <c r="R79" s="77"/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5">
        <v>14.4</v>
      </c>
      <c r="AH79" s="48">
        <f t="shared" ref="AH79:AH112" si="10">MAX(B79:AF79)</f>
        <v>0</v>
      </c>
      <c r="AI79" s="49">
        <f t="shared" ref="AI79:AI112" si="11">MIN(B79:AF79)</f>
        <v>0</v>
      </c>
      <c r="AK79" s="50"/>
    </row>
    <row r="80" spans="1:37" ht="15.75" thickBot="1" x14ac:dyDescent="0.3">
      <c r="A80" s="78" t="s">
        <v>85</v>
      </c>
      <c r="B80" s="79">
        <v>0</v>
      </c>
      <c r="C80" s="79">
        <v>0</v>
      </c>
      <c r="D80" s="79">
        <v>0</v>
      </c>
      <c r="E80" s="79">
        <v>0</v>
      </c>
      <c r="F80" s="79">
        <v>0</v>
      </c>
      <c r="G80" s="79">
        <v>0</v>
      </c>
      <c r="H80" s="79">
        <v>0</v>
      </c>
      <c r="I80" s="79">
        <v>0</v>
      </c>
      <c r="J80" s="79">
        <v>0</v>
      </c>
      <c r="K80" s="79">
        <v>0</v>
      </c>
      <c r="L80" s="79">
        <v>0</v>
      </c>
      <c r="M80" s="79"/>
      <c r="N80" s="79"/>
      <c r="O80" s="79"/>
      <c r="P80" s="79"/>
      <c r="Q80" s="79"/>
      <c r="R80" s="79"/>
      <c r="S80" s="79">
        <v>0</v>
      </c>
      <c r="T80" s="79">
        <v>0</v>
      </c>
      <c r="U80" s="79">
        <v>0</v>
      </c>
      <c r="V80" s="79">
        <v>0</v>
      </c>
      <c r="W80" s="79">
        <v>0</v>
      </c>
      <c r="X80" s="79">
        <v>0</v>
      </c>
      <c r="Y80" s="79">
        <v>0</v>
      </c>
      <c r="Z80" s="79">
        <v>0</v>
      </c>
      <c r="AA80" s="79">
        <v>0</v>
      </c>
      <c r="AB80" s="79">
        <v>0</v>
      </c>
      <c r="AC80" s="79">
        <v>0</v>
      </c>
      <c r="AD80" s="79">
        <v>0</v>
      </c>
      <c r="AE80" s="79">
        <v>0</v>
      </c>
      <c r="AF80" s="79">
        <v>0</v>
      </c>
      <c r="AG80" s="80">
        <v>2</v>
      </c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87</v>
      </c>
      <c r="B82" s="83">
        <f t="shared" ref="B82:AG82" si="12">B43+B47+B65+B61+B77+B81</f>
        <v>1095.44</v>
      </c>
      <c r="C82" s="83">
        <f t="shared" si="12"/>
        <v>1065.44</v>
      </c>
      <c r="D82" s="83">
        <f t="shared" si="12"/>
        <v>1045.54</v>
      </c>
      <c r="E82" s="83">
        <f t="shared" si="12"/>
        <v>1031.3400000000001</v>
      </c>
      <c r="F82" s="83">
        <f t="shared" si="12"/>
        <v>1043.8400000000001</v>
      </c>
      <c r="G82" s="83">
        <f t="shared" si="12"/>
        <v>1123.24</v>
      </c>
      <c r="H82" s="83">
        <f t="shared" si="12"/>
        <v>1167.1399999999999</v>
      </c>
      <c r="I82" s="83">
        <f t="shared" si="12"/>
        <v>1253.94</v>
      </c>
      <c r="J82" s="83">
        <f t="shared" si="12"/>
        <v>1371.24</v>
      </c>
      <c r="K82" s="83">
        <f t="shared" si="12"/>
        <v>1519.5399999999997</v>
      </c>
      <c r="L82" s="83">
        <f t="shared" si="12"/>
        <v>1595.34</v>
      </c>
      <c r="M82" s="83">
        <f t="shared" si="12"/>
        <v>1627.34</v>
      </c>
      <c r="N82" s="83">
        <f t="shared" si="12"/>
        <v>1620.34</v>
      </c>
      <c r="O82" s="83">
        <f t="shared" si="12"/>
        <v>1392.6399999999999</v>
      </c>
      <c r="P82" s="83">
        <f t="shared" si="12"/>
        <v>1330.6399999999999</v>
      </c>
      <c r="Q82" s="83">
        <f t="shared" si="12"/>
        <v>1260.04</v>
      </c>
      <c r="R82" s="83">
        <f t="shared" si="12"/>
        <v>1239.3399999999999</v>
      </c>
      <c r="S82" s="83">
        <f t="shared" si="12"/>
        <v>1150.54</v>
      </c>
      <c r="T82" s="83">
        <f t="shared" si="12"/>
        <v>1073.04</v>
      </c>
      <c r="U82" s="83">
        <f t="shared" si="12"/>
        <v>1053.94</v>
      </c>
      <c r="V82" s="83">
        <f t="shared" si="12"/>
        <v>1399.94</v>
      </c>
      <c r="W82" s="83">
        <f t="shared" si="12"/>
        <v>1587.24</v>
      </c>
      <c r="X82" s="83">
        <f t="shared" si="12"/>
        <v>1554.24</v>
      </c>
      <c r="Y82" s="83">
        <f t="shared" si="12"/>
        <v>1549.24</v>
      </c>
      <c r="Z82" s="83">
        <f t="shared" si="12"/>
        <v>1527.24</v>
      </c>
      <c r="AA82" s="83">
        <f t="shared" si="12"/>
        <v>1372.24</v>
      </c>
      <c r="AB82" s="83">
        <f t="shared" si="12"/>
        <v>1363.74</v>
      </c>
      <c r="AC82" s="83">
        <f t="shared" si="12"/>
        <v>1349.2399999999998</v>
      </c>
      <c r="AD82" s="83">
        <f t="shared" si="12"/>
        <v>1325.64</v>
      </c>
      <c r="AE82" s="83">
        <f t="shared" si="12"/>
        <v>1108.8400000000001</v>
      </c>
      <c r="AF82" s="83">
        <f t="shared" si="12"/>
        <v>1089.44</v>
      </c>
      <c r="AG82" s="62">
        <f t="shared" si="12"/>
        <v>1986.1900000000003</v>
      </c>
      <c r="AH82" s="48">
        <f t="shared" si="10"/>
        <v>1627.34</v>
      </c>
      <c r="AI82" s="49">
        <f t="shared" si="11"/>
        <v>1031.3400000000001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10"/>
        <v>0</v>
      </c>
      <c r="AI83" s="49">
        <f t="shared" si="11"/>
        <v>0</v>
      </c>
    </row>
    <row r="84" spans="1:37" ht="15.75" thickBot="1" x14ac:dyDescent="0.3">
      <c r="A84" s="74" t="s">
        <v>89</v>
      </c>
      <c r="B84" s="83">
        <f t="shared" ref="B84:AF84" si="13">B82+B83</f>
        <v>1095.44</v>
      </c>
      <c r="C84" s="83">
        <f t="shared" si="13"/>
        <v>1065.44</v>
      </c>
      <c r="D84" s="83">
        <f t="shared" si="13"/>
        <v>1045.54</v>
      </c>
      <c r="E84" s="83">
        <f t="shared" si="13"/>
        <v>1031.3400000000001</v>
      </c>
      <c r="F84" s="83">
        <f t="shared" si="13"/>
        <v>1043.8400000000001</v>
      </c>
      <c r="G84" s="83">
        <f t="shared" si="13"/>
        <v>1123.24</v>
      </c>
      <c r="H84" s="83">
        <f t="shared" si="13"/>
        <v>1167.1399999999999</v>
      </c>
      <c r="I84" s="83">
        <f t="shared" si="13"/>
        <v>1253.94</v>
      </c>
      <c r="J84" s="83">
        <f t="shared" si="13"/>
        <v>1371.24</v>
      </c>
      <c r="K84" s="83">
        <f t="shared" si="13"/>
        <v>1519.5399999999997</v>
      </c>
      <c r="L84" s="83">
        <f t="shared" si="13"/>
        <v>1595.34</v>
      </c>
      <c r="M84" s="83">
        <f t="shared" si="13"/>
        <v>1627.34</v>
      </c>
      <c r="N84" s="83">
        <f t="shared" si="13"/>
        <v>1620.34</v>
      </c>
      <c r="O84" s="83">
        <f t="shared" si="13"/>
        <v>1392.6399999999999</v>
      </c>
      <c r="P84" s="83">
        <f t="shared" si="13"/>
        <v>1330.6399999999999</v>
      </c>
      <c r="Q84" s="83">
        <f t="shared" si="13"/>
        <v>1260.04</v>
      </c>
      <c r="R84" s="83">
        <f t="shared" si="13"/>
        <v>1239.3399999999999</v>
      </c>
      <c r="S84" s="83">
        <f t="shared" si="13"/>
        <v>1150.54</v>
      </c>
      <c r="T84" s="83">
        <f t="shared" si="13"/>
        <v>1073.04</v>
      </c>
      <c r="U84" s="83">
        <f t="shared" si="13"/>
        <v>1053.94</v>
      </c>
      <c r="V84" s="83">
        <f t="shared" si="13"/>
        <v>1399.94</v>
      </c>
      <c r="W84" s="83">
        <f t="shared" si="13"/>
        <v>1587.24</v>
      </c>
      <c r="X84" s="83">
        <f t="shared" si="13"/>
        <v>1554.24</v>
      </c>
      <c r="Y84" s="83">
        <f t="shared" si="13"/>
        <v>1549.24</v>
      </c>
      <c r="Z84" s="83">
        <f t="shared" si="13"/>
        <v>1527.24</v>
      </c>
      <c r="AA84" s="83">
        <f t="shared" si="13"/>
        <v>1372.24</v>
      </c>
      <c r="AB84" s="83">
        <f t="shared" si="13"/>
        <v>1363.74</v>
      </c>
      <c r="AC84" s="83">
        <f t="shared" si="13"/>
        <v>1349.2399999999998</v>
      </c>
      <c r="AD84" s="83">
        <f t="shared" si="13"/>
        <v>1325.64</v>
      </c>
      <c r="AE84" s="83">
        <f t="shared" si="13"/>
        <v>1108.8400000000001</v>
      </c>
      <c r="AF84" s="83">
        <f t="shared" si="13"/>
        <v>1089.44</v>
      </c>
      <c r="AG84" s="81">
        <f>AG81+AG77+AG65+AG61+AG43+AG83</f>
        <v>1448.0900000000001</v>
      </c>
      <c r="AH84" s="48">
        <f t="shared" si="10"/>
        <v>1627.34</v>
      </c>
      <c r="AI84" s="49">
        <f t="shared" si="11"/>
        <v>1031.3400000000001</v>
      </c>
    </row>
    <row r="85" spans="1:37" ht="15.75" thickBot="1" x14ac:dyDescent="0.3">
      <c r="A85" s="74" t="s">
        <v>90</v>
      </c>
      <c r="B85" s="83">
        <f t="shared" ref="B85:AF85" si="14">B84-B92</f>
        <v>1027.44</v>
      </c>
      <c r="C85" s="83">
        <f t="shared" si="14"/>
        <v>985.44</v>
      </c>
      <c r="D85" s="83">
        <f t="shared" si="14"/>
        <v>955.54</v>
      </c>
      <c r="E85" s="83">
        <f t="shared" si="14"/>
        <v>936.6400000000001</v>
      </c>
      <c r="F85" s="83">
        <f t="shared" si="14"/>
        <v>967.84000000000015</v>
      </c>
      <c r="G85" s="83">
        <f t="shared" si="14"/>
        <v>1039.74</v>
      </c>
      <c r="H85" s="83">
        <f t="shared" si="14"/>
        <v>1080.04</v>
      </c>
      <c r="I85" s="83">
        <f t="shared" si="14"/>
        <v>1166.6400000000001</v>
      </c>
      <c r="J85" s="83">
        <f t="shared" si="14"/>
        <v>1252.74</v>
      </c>
      <c r="K85" s="83">
        <f t="shared" si="14"/>
        <v>1389.5399999999997</v>
      </c>
      <c r="L85" s="83">
        <f t="shared" si="14"/>
        <v>1362.34</v>
      </c>
      <c r="M85" s="83">
        <f t="shared" si="14"/>
        <v>1395.9399999999998</v>
      </c>
      <c r="N85" s="83">
        <f t="shared" si="14"/>
        <v>1389.34</v>
      </c>
      <c r="O85" s="83">
        <f t="shared" si="14"/>
        <v>1301.6399999999999</v>
      </c>
      <c r="P85" s="83">
        <f t="shared" si="14"/>
        <v>1202.6399999999999</v>
      </c>
      <c r="Q85" s="83">
        <f t="shared" si="14"/>
        <v>1170.8399999999999</v>
      </c>
      <c r="R85" s="83">
        <f t="shared" si="14"/>
        <v>1129.3399999999999</v>
      </c>
      <c r="S85" s="83">
        <f t="shared" si="14"/>
        <v>1065.54</v>
      </c>
      <c r="T85" s="83">
        <f t="shared" si="14"/>
        <v>1028.04</v>
      </c>
      <c r="U85" s="83">
        <f t="shared" si="14"/>
        <v>1029.3400000000001</v>
      </c>
      <c r="V85" s="83">
        <f t="shared" si="14"/>
        <v>1208.6400000000001</v>
      </c>
      <c r="W85" s="83">
        <f t="shared" si="14"/>
        <v>1374.24</v>
      </c>
      <c r="X85" s="83">
        <f t="shared" si="14"/>
        <v>1343.24</v>
      </c>
      <c r="Y85" s="83">
        <f t="shared" si="14"/>
        <v>1322.24</v>
      </c>
      <c r="Z85" s="83">
        <f t="shared" si="14"/>
        <v>1288.24</v>
      </c>
      <c r="AA85" s="83">
        <f t="shared" si="14"/>
        <v>1133.24</v>
      </c>
      <c r="AB85" s="83">
        <f t="shared" si="14"/>
        <v>1124.74</v>
      </c>
      <c r="AC85" s="83">
        <f t="shared" si="14"/>
        <v>1150.2399999999998</v>
      </c>
      <c r="AD85" s="83">
        <f t="shared" si="14"/>
        <v>1110.6400000000001</v>
      </c>
      <c r="AE85" s="83">
        <f t="shared" si="14"/>
        <v>952.84000000000015</v>
      </c>
      <c r="AF85" s="83">
        <f t="shared" si="14"/>
        <v>953.44</v>
      </c>
      <c r="AG85" s="81"/>
      <c r="AH85" s="48">
        <f t="shared" si="10"/>
        <v>1395.9399999999998</v>
      </c>
      <c r="AI85" s="49">
        <f t="shared" si="11"/>
        <v>936.6400000000001</v>
      </c>
    </row>
    <row r="86" spans="1:37" x14ac:dyDescent="0.25">
      <c r="A86" s="44" t="s">
        <v>74</v>
      </c>
      <c r="B86" s="76">
        <f t="shared" ref="B86:AF86" si="15">IF(B69&lt;0,B69*-1,0)</f>
        <v>0</v>
      </c>
      <c r="C86" s="76">
        <f t="shared" si="15"/>
        <v>0</v>
      </c>
      <c r="D86" s="76">
        <f t="shared" si="15"/>
        <v>0</v>
      </c>
      <c r="E86" s="76">
        <f t="shared" si="15"/>
        <v>0</v>
      </c>
      <c r="F86" s="76">
        <f t="shared" si="15"/>
        <v>0</v>
      </c>
      <c r="G86" s="76">
        <f t="shared" si="15"/>
        <v>0</v>
      </c>
      <c r="H86" s="76">
        <f t="shared" si="15"/>
        <v>0</v>
      </c>
      <c r="I86" s="76">
        <f t="shared" si="15"/>
        <v>0</v>
      </c>
      <c r="J86" s="76">
        <f t="shared" si="15"/>
        <v>0</v>
      </c>
      <c r="K86" s="76">
        <f t="shared" si="15"/>
        <v>0</v>
      </c>
      <c r="L86" s="76">
        <f t="shared" si="15"/>
        <v>0</v>
      </c>
      <c r="M86" s="76">
        <f t="shared" si="15"/>
        <v>0</v>
      </c>
      <c r="N86" s="76">
        <f t="shared" si="15"/>
        <v>0</v>
      </c>
      <c r="O86" s="76">
        <f t="shared" si="15"/>
        <v>0</v>
      </c>
      <c r="P86" s="76">
        <f t="shared" si="15"/>
        <v>0</v>
      </c>
      <c r="Q86" s="76">
        <f t="shared" si="15"/>
        <v>0</v>
      </c>
      <c r="R86" s="76">
        <f t="shared" si="15"/>
        <v>0</v>
      </c>
      <c r="S86" s="76">
        <f t="shared" si="15"/>
        <v>0</v>
      </c>
      <c r="T86" s="76">
        <f t="shared" si="15"/>
        <v>0</v>
      </c>
      <c r="U86" s="76">
        <f t="shared" si="15"/>
        <v>0</v>
      </c>
      <c r="V86" s="76">
        <f t="shared" si="15"/>
        <v>0</v>
      </c>
      <c r="W86" s="76">
        <f t="shared" si="15"/>
        <v>0</v>
      </c>
      <c r="X86" s="76">
        <f t="shared" si="15"/>
        <v>0</v>
      </c>
      <c r="Y86" s="76">
        <f t="shared" si="15"/>
        <v>0</v>
      </c>
      <c r="Z86" s="76">
        <f t="shared" si="15"/>
        <v>0</v>
      </c>
      <c r="AA86" s="76">
        <f t="shared" si="15"/>
        <v>0</v>
      </c>
      <c r="AB86" s="76">
        <f t="shared" si="15"/>
        <v>0</v>
      </c>
      <c r="AC86" s="76">
        <f t="shared" si="15"/>
        <v>0</v>
      </c>
      <c r="AD86" s="76">
        <f t="shared" si="15"/>
        <v>0</v>
      </c>
      <c r="AE86" s="76">
        <f t="shared" si="15"/>
        <v>0</v>
      </c>
      <c r="AF86" s="76">
        <f t="shared" si="15"/>
        <v>0</v>
      </c>
      <c r="AG86" s="52"/>
      <c r="AH86" s="48">
        <f t="shared" si="10"/>
        <v>0</v>
      </c>
      <c r="AI86" s="49">
        <f t="shared" si="11"/>
        <v>0</v>
      </c>
    </row>
    <row r="87" spans="1:37" x14ac:dyDescent="0.25">
      <c r="A87" s="54" t="s">
        <v>72</v>
      </c>
      <c r="B87" s="76">
        <f t="shared" ref="B87:AF87" si="16">IF(B67&lt;0,B67*-1,0)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si="16"/>
        <v>0</v>
      </c>
      <c r="M87" s="76">
        <f t="shared" si="16"/>
        <v>0</v>
      </c>
      <c r="N87" s="76">
        <f t="shared" si="16"/>
        <v>0</v>
      </c>
      <c r="O87" s="76">
        <f t="shared" si="16"/>
        <v>0</v>
      </c>
      <c r="P87" s="76">
        <f t="shared" si="16"/>
        <v>0</v>
      </c>
      <c r="Q87" s="76">
        <f t="shared" si="16"/>
        <v>0</v>
      </c>
      <c r="R87" s="76">
        <f t="shared" si="16"/>
        <v>0</v>
      </c>
      <c r="S87" s="76">
        <f t="shared" si="16"/>
        <v>0</v>
      </c>
      <c r="T87" s="76">
        <f t="shared" si="16"/>
        <v>0</v>
      </c>
      <c r="U87" s="76">
        <f t="shared" si="16"/>
        <v>0</v>
      </c>
      <c r="V87" s="76">
        <f t="shared" si="16"/>
        <v>0</v>
      </c>
      <c r="W87" s="76">
        <f t="shared" si="16"/>
        <v>0</v>
      </c>
      <c r="X87" s="76">
        <f t="shared" si="16"/>
        <v>0</v>
      </c>
      <c r="Y87" s="76">
        <f t="shared" si="16"/>
        <v>0</v>
      </c>
      <c r="Z87" s="76">
        <f t="shared" si="16"/>
        <v>0</v>
      </c>
      <c r="AA87" s="76">
        <f t="shared" si="16"/>
        <v>0</v>
      </c>
      <c r="AB87" s="76">
        <f t="shared" si="16"/>
        <v>0</v>
      </c>
      <c r="AC87" s="76">
        <f t="shared" si="16"/>
        <v>0</v>
      </c>
      <c r="AD87" s="76">
        <f t="shared" si="16"/>
        <v>0</v>
      </c>
      <c r="AE87" s="76">
        <f t="shared" si="16"/>
        <v>0</v>
      </c>
      <c r="AF87" s="76">
        <f t="shared" si="16"/>
        <v>0</v>
      </c>
      <c r="AG87" s="55"/>
      <c r="AH87" s="48">
        <f t="shared" si="10"/>
        <v>0</v>
      </c>
      <c r="AI87" s="49">
        <f t="shared" si="11"/>
        <v>0</v>
      </c>
    </row>
    <row r="88" spans="1:37" x14ac:dyDescent="0.25">
      <c r="A88" s="78" t="s">
        <v>91</v>
      </c>
      <c r="B88" s="76">
        <f t="shared" ref="B88:AF88" si="17">IF(B70&lt;0,B70*-1,0)</f>
        <v>0</v>
      </c>
      <c r="C88" s="76">
        <f t="shared" si="17"/>
        <v>0</v>
      </c>
      <c r="D88" s="76">
        <f t="shared" si="17"/>
        <v>0</v>
      </c>
      <c r="E88" s="76">
        <f t="shared" si="17"/>
        <v>0</v>
      </c>
      <c r="F88" s="76">
        <f t="shared" si="17"/>
        <v>0</v>
      </c>
      <c r="G88" s="76">
        <f t="shared" si="17"/>
        <v>0</v>
      </c>
      <c r="H88" s="76">
        <f t="shared" si="17"/>
        <v>0</v>
      </c>
      <c r="I88" s="76">
        <f t="shared" si="17"/>
        <v>0</v>
      </c>
      <c r="J88" s="76">
        <f t="shared" si="17"/>
        <v>0</v>
      </c>
      <c r="K88" s="76">
        <f t="shared" si="17"/>
        <v>0</v>
      </c>
      <c r="L88" s="76">
        <f t="shared" si="17"/>
        <v>0</v>
      </c>
      <c r="M88" s="76">
        <f t="shared" si="17"/>
        <v>0</v>
      </c>
      <c r="N88" s="76">
        <f t="shared" si="17"/>
        <v>0</v>
      </c>
      <c r="O88" s="76">
        <f t="shared" si="17"/>
        <v>0</v>
      </c>
      <c r="P88" s="76">
        <f t="shared" si="17"/>
        <v>0</v>
      </c>
      <c r="Q88" s="76">
        <f t="shared" si="17"/>
        <v>0</v>
      </c>
      <c r="R88" s="76">
        <f t="shared" si="17"/>
        <v>0</v>
      </c>
      <c r="S88" s="76">
        <f t="shared" si="17"/>
        <v>0</v>
      </c>
      <c r="T88" s="76">
        <f t="shared" si="17"/>
        <v>0</v>
      </c>
      <c r="U88" s="76">
        <f t="shared" si="17"/>
        <v>0</v>
      </c>
      <c r="V88" s="76">
        <f t="shared" si="17"/>
        <v>0</v>
      </c>
      <c r="W88" s="76">
        <f t="shared" si="17"/>
        <v>0</v>
      </c>
      <c r="X88" s="76">
        <f t="shared" si="17"/>
        <v>0</v>
      </c>
      <c r="Y88" s="76">
        <f t="shared" si="17"/>
        <v>0</v>
      </c>
      <c r="Z88" s="76">
        <f t="shared" si="17"/>
        <v>0</v>
      </c>
      <c r="AA88" s="76">
        <f t="shared" si="17"/>
        <v>0</v>
      </c>
      <c r="AB88" s="76">
        <f t="shared" si="17"/>
        <v>0</v>
      </c>
      <c r="AC88" s="76">
        <f t="shared" si="17"/>
        <v>0</v>
      </c>
      <c r="AD88" s="76">
        <f t="shared" si="17"/>
        <v>0</v>
      </c>
      <c r="AE88" s="76">
        <f t="shared" si="17"/>
        <v>0</v>
      </c>
      <c r="AF88" s="76">
        <f t="shared" si="17"/>
        <v>0</v>
      </c>
      <c r="AG88" s="86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92</v>
      </c>
      <c r="B89" s="76">
        <f t="shared" ref="B89:AF89" si="18">IF(B68&lt;0,B68*-1,0)</f>
        <v>68</v>
      </c>
      <c r="C89" s="76">
        <f t="shared" si="18"/>
        <v>80</v>
      </c>
      <c r="D89" s="76">
        <f t="shared" si="18"/>
        <v>90</v>
      </c>
      <c r="E89" s="76">
        <f t="shared" si="18"/>
        <v>94.7</v>
      </c>
      <c r="F89" s="76">
        <f t="shared" si="18"/>
        <v>76</v>
      </c>
      <c r="G89" s="76">
        <f t="shared" si="18"/>
        <v>83.5</v>
      </c>
      <c r="H89" s="76">
        <f t="shared" si="18"/>
        <v>87.1</v>
      </c>
      <c r="I89" s="76">
        <f t="shared" si="18"/>
        <v>87.3</v>
      </c>
      <c r="J89" s="76">
        <f t="shared" si="18"/>
        <v>118.5</v>
      </c>
      <c r="K89" s="76">
        <f t="shared" si="18"/>
        <v>130</v>
      </c>
      <c r="L89" s="76">
        <f t="shared" si="18"/>
        <v>233</v>
      </c>
      <c r="M89" s="76">
        <f t="shared" si="18"/>
        <v>231.4</v>
      </c>
      <c r="N89" s="76">
        <f t="shared" si="18"/>
        <v>231</v>
      </c>
      <c r="O89" s="76">
        <f t="shared" si="18"/>
        <v>91</v>
      </c>
      <c r="P89" s="76">
        <f t="shared" si="18"/>
        <v>128</v>
      </c>
      <c r="Q89" s="76">
        <f t="shared" si="18"/>
        <v>89.2</v>
      </c>
      <c r="R89" s="76">
        <f t="shared" si="18"/>
        <v>110</v>
      </c>
      <c r="S89" s="76">
        <f t="shared" si="18"/>
        <v>85</v>
      </c>
      <c r="T89" s="76">
        <f t="shared" si="18"/>
        <v>45</v>
      </c>
      <c r="U89" s="76">
        <f t="shared" si="18"/>
        <v>24.6</v>
      </c>
      <c r="V89" s="76">
        <f t="shared" si="18"/>
        <v>191.3</v>
      </c>
      <c r="W89" s="76">
        <f t="shared" si="18"/>
        <v>213</v>
      </c>
      <c r="X89" s="76">
        <f t="shared" si="18"/>
        <v>211</v>
      </c>
      <c r="Y89" s="76">
        <f t="shared" si="18"/>
        <v>227</v>
      </c>
      <c r="Z89" s="76">
        <f t="shared" si="18"/>
        <v>239</v>
      </c>
      <c r="AA89" s="76">
        <f t="shared" si="18"/>
        <v>239</v>
      </c>
      <c r="AB89" s="76">
        <f t="shared" si="18"/>
        <v>239</v>
      </c>
      <c r="AC89" s="76">
        <f t="shared" si="18"/>
        <v>199</v>
      </c>
      <c r="AD89" s="76">
        <f t="shared" si="18"/>
        <v>215</v>
      </c>
      <c r="AE89" s="76">
        <f t="shared" si="18"/>
        <v>156</v>
      </c>
      <c r="AF89" s="76">
        <f t="shared" si="18"/>
        <v>136</v>
      </c>
      <c r="AG89" s="86"/>
      <c r="AH89" s="48">
        <f t="shared" si="10"/>
        <v>239</v>
      </c>
      <c r="AI89" s="49">
        <f t="shared" si="11"/>
        <v>24.6</v>
      </c>
    </row>
    <row r="90" spans="1:37" x14ac:dyDescent="0.25">
      <c r="A90" s="78" t="s">
        <v>71</v>
      </c>
      <c r="B90" s="76">
        <f t="shared" ref="B90:AF90" si="19">IF(B66&lt;0,B66*-1,0)</f>
        <v>0</v>
      </c>
      <c r="C90" s="76">
        <f t="shared" si="19"/>
        <v>0</v>
      </c>
      <c r="D90" s="76">
        <f t="shared" si="19"/>
        <v>0</v>
      </c>
      <c r="E90" s="76">
        <f t="shared" si="19"/>
        <v>0</v>
      </c>
      <c r="F90" s="76">
        <f t="shared" si="19"/>
        <v>0</v>
      </c>
      <c r="G90" s="76">
        <f t="shared" si="19"/>
        <v>0</v>
      </c>
      <c r="H90" s="76">
        <f t="shared" si="19"/>
        <v>0</v>
      </c>
      <c r="I90" s="76">
        <f t="shared" si="19"/>
        <v>0</v>
      </c>
      <c r="J90" s="76">
        <f t="shared" si="19"/>
        <v>0</v>
      </c>
      <c r="K90" s="76">
        <f t="shared" si="19"/>
        <v>0</v>
      </c>
      <c r="L90" s="76">
        <f t="shared" si="19"/>
        <v>0</v>
      </c>
      <c r="M90" s="76">
        <f t="shared" si="19"/>
        <v>0</v>
      </c>
      <c r="N90" s="76">
        <f t="shared" si="19"/>
        <v>0</v>
      </c>
      <c r="O90" s="76">
        <f t="shared" si="19"/>
        <v>0</v>
      </c>
      <c r="P90" s="76">
        <f t="shared" si="19"/>
        <v>0</v>
      </c>
      <c r="Q90" s="76">
        <f t="shared" si="19"/>
        <v>0</v>
      </c>
      <c r="R90" s="76">
        <f t="shared" si="19"/>
        <v>0</v>
      </c>
      <c r="S90" s="76">
        <f t="shared" si="19"/>
        <v>0</v>
      </c>
      <c r="T90" s="76">
        <f t="shared" si="19"/>
        <v>0</v>
      </c>
      <c r="U90" s="76">
        <f t="shared" si="19"/>
        <v>0</v>
      </c>
      <c r="V90" s="76">
        <f t="shared" si="19"/>
        <v>0</v>
      </c>
      <c r="W90" s="76">
        <f t="shared" si="19"/>
        <v>0</v>
      </c>
      <c r="X90" s="76">
        <f t="shared" si="19"/>
        <v>0</v>
      </c>
      <c r="Y90" s="76">
        <f t="shared" si="19"/>
        <v>0</v>
      </c>
      <c r="Z90" s="76">
        <f t="shared" si="19"/>
        <v>0</v>
      </c>
      <c r="AA90" s="76">
        <f t="shared" si="19"/>
        <v>0</v>
      </c>
      <c r="AB90" s="76">
        <f t="shared" si="19"/>
        <v>0</v>
      </c>
      <c r="AC90" s="76">
        <f t="shared" si="19"/>
        <v>0</v>
      </c>
      <c r="AD90" s="76">
        <f t="shared" si="19"/>
        <v>0</v>
      </c>
      <c r="AE90" s="76">
        <f t="shared" si="19"/>
        <v>0</v>
      </c>
      <c r="AF90" s="76">
        <f t="shared" si="19"/>
        <v>0</v>
      </c>
      <c r="AG90" s="86"/>
      <c r="AH90" s="48">
        <f t="shared" si="10"/>
        <v>0</v>
      </c>
      <c r="AI90" s="49">
        <f t="shared" si="11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87" t="s">
        <v>94</v>
      </c>
      <c r="B92" s="61">
        <f t="shared" ref="B92:AF92" si="20">SUM(B86:B91)</f>
        <v>68</v>
      </c>
      <c r="C92" s="61">
        <f t="shared" si="20"/>
        <v>80</v>
      </c>
      <c r="D92" s="61">
        <f t="shared" si="20"/>
        <v>90</v>
      </c>
      <c r="E92" s="61">
        <f t="shared" si="20"/>
        <v>94.7</v>
      </c>
      <c r="F92" s="61">
        <f t="shared" si="20"/>
        <v>76</v>
      </c>
      <c r="G92" s="61">
        <f t="shared" si="20"/>
        <v>83.5</v>
      </c>
      <c r="H92" s="61">
        <f t="shared" si="20"/>
        <v>87.1</v>
      </c>
      <c r="I92" s="61">
        <f t="shared" si="20"/>
        <v>87.3</v>
      </c>
      <c r="J92" s="61">
        <f t="shared" si="20"/>
        <v>118.5</v>
      </c>
      <c r="K92" s="61">
        <f t="shared" si="20"/>
        <v>130</v>
      </c>
      <c r="L92" s="61">
        <f t="shared" si="20"/>
        <v>233</v>
      </c>
      <c r="M92" s="61">
        <f t="shared" si="20"/>
        <v>231.4</v>
      </c>
      <c r="N92" s="61">
        <f t="shared" si="20"/>
        <v>231</v>
      </c>
      <c r="O92" s="61">
        <f t="shared" si="20"/>
        <v>91</v>
      </c>
      <c r="P92" s="61">
        <f t="shared" si="20"/>
        <v>128</v>
      </c>
      <c r="Q92" s="61">
        <f t="shared" si="20"/>
        <v>89.2</v>
      </c>
      <c r="R92" s="61">
        <f t="shared" si="20"/>
        <v>110</v>
      </c>
      <c r="S92" s="61">
        <f t="shared" si="20"/>
        <v>85</v>
      </c>
      <c r="T92" s="61">
        <f t="shared" si="20"/>
        <v>45</v>
      </c>
      <c r="U92" s="61">
        <f t="shared" si="20"/>
        <v>24.6</v>
      </c>
      <c r="V92" s="61">
        <f t="shared" si="20"/>
        <v>191.3</v>
      </c>
      <c r="W92" s="61">
        <f t="shared" si="20"/>
        <v>213</v>
      </c>
      <c r="X92" s="61">
        <f t="shared" si="20"/>
        <v>211</v>
      </c>
      <c r="Y92" s="61">
        <f t="shared" si="20"/>
        <v>227</v>
      </c>
      <c r="Z92" s="61">
        <f t="shared" si="20"/>
        <v>239</v>
      </c>
      <c r="AA92" s="61">
        <f t="shared" si="20"/>
        <v>239</v>
      </c>
      <c r="AB92" s="61">
        <f t="shared" si="20"/>
        <v>239</v>
      </c>
      <c r="AC92" s="61">
        <f t="shared" si="20"/>
        <v>199</v>
      </c>
      <c r="AD92" s="61">
        <f t="shared" si="20"/>
        <v>215</v>
      </c>
      <c r="AE92" s="61">
        <f t="shared" si="20"/>
        <v>156</v>
      </c>
      <c r="AF92" s="61">
        <f t="shared" si="20"/>
        <v>136</v>
      </c>
      <c r="AG92" s="81"/>
      <c r="AH92" s="48">
        <f t="shared" si="10"/>
        <v>239</v>
      </c>
      <c r="AI92" s="49">
        <f t="shared" si="11"/>
        <v>24.6</v>
      </c>
      <c r="AK92" s="50"/>
    </row>
    <row r="93" spans="1:37" ht="15.75" thickBot="1" x14ac:dyDescent="0.3">
      <c r="A93" s="74" t="s">
        <v>95</v>
      </c>
      <c r="B93" s="61">
        <f t="shared" ref="B93:AF93" si="21">B77-B92</f>
        <v>-68</v>
      </c>
      <c r="C93" s="61">
        <f t="shared" si="21"/>
        <v>-80</v>
      </c>
      <c r="D93" s="61">
        <f t="shared" si="21"/>
        <v>-90</v>
      </c>
      <c r="E93" s="61">
        <f t="shared" si="21"/>
        <v>-94.7</v>
      </c>
      <c r="F93" s="61">
        <f t="shared" si="21"/>
        <v>-76</v>
      </c>
      <c r="G93" s="61">
        <f t="shared" si="21"/>
        <v>-83.5</v>
      </c>
      <c r="H93" s="61">
        <f t="shared" si="21"/>
        <v>-87.1</v>
      </c>
      <c r="I93" s="61">
        <f t="shared" si="21"/>
        <v>-67.900000000000006</v>
      </c>
      <c r="J93" s="61">
        <f t="shared" si="21"/>
        <v>-88.7</v>
      </c>
      <c r="K93" s="61">
        <f t="shared" si="21"/>
        <v>-111.9</v>
      </c>
      <c r="L93" s="61">
        <f t="shared" si="21"/>
        <v>-209.2</v>
      </c>
      <c r="M93" s="61">
        <f t="shared" si="21"/>
        <v>-191.60000000000002</v>
      </c>
      <c r="N93" s="61">
        <f t="shared" si="21"/>
        <v>-202.2</v>
      </c>
      <c r="O93" s="61">
        <f t="shared" si="21"/>
        <v>-61.9</v>
      </c>
      <c r="P93" s="61">
        <f t="shared" si="21"/>
        <v>-86.7</v>
      </c>
      <c r="Q93" s="61">
        <f t="shared" si="21"/>
        <v>-89.2</v>
      </c>
      <c r="R93" s="61">
        <f t="shared" si="21"/>
        <v>-110</v>
      </c>
      <c r="S93" s="61">
        <f t="shared" si="21"/>
        <v>-85</v>
      </c>
      <c r="T93" s="61">
        <f t="shared" si="21"/>
        <v>-45</v>
      </c>
      <c r="U93" s="61">
        <f t="shared" si="21"/>
        <v>-24.6</v>
      </c>
      <c r="V93" s="61">
        <f t="shared" si="21"/>
        <v>-191.3</v>
      </c>
      <c r="W93" s="61">
        <f t="shared" si="21"/>
        <v>-194</v>
      </c>
      <c r="X93" s="61">
        <f t="shared" si="21"/>
        <v>-179</v>
      </c>
      <c r="Y93" s="61">
        <f t="shared" si="21"/>
        <v>-200</v>
      </c>
      <c r="Z93" s="61">
        <f t="shared" si="21"/>
        <v>-214</v>
      </c>
      <c r="AA93" s="61">
        <f t="shared" si="21"/>
        <v>-209</v>
      </c>
      <c r="AB93" s="61">
        <f t="shared" si="21"/>
        <v>-214</v>
      </c>
      <c r="AC93" s="61">
        <f t="shared" si="21"/>
        <v>-170.9</v>
      </c>
      <c r="AD93" s="61">
        <f t="shared" si="21"/>
        <v>-190.6</v>
      </c>
      <c r="AE93" s="61">
        <f t="shared" si="21"/>
        <v>-156</v>
      </c>
      <c r="AF93" s="61">
        <f t="shared" si="21"/>
        <v>-136</v>
      </c>
      <c r="AG93" s="81"/>
      <c r="AH93" s="48">
        <f t="shared" si="10"/>
        <v>-24.6</v>
      </c>
      <c r="AI93" s="49">
        <f t="shared" si="11"/>
        <v>-214</v>
      </c>
    </row>
    <row r="94" spans="1:37" x14ac:dyDescent="0.25">
      <c r="A94" s="88" t="s">
        <v>96</v>
      </c>
      <c r="B94" s="89">
        <v>49.99</v>
      </c>
      <c r="C94" s="89">
        <v>49.911000000000001</v>
      </c>
      <c r="D94" s="89">
        <v>50.000999999999998</v>
      </c>
      <c r="E94" s="89">
        <v>50.052999999999997</v>
      </c>
      <c r="F94" s="89">
        <v>50.026000000000003</v>
      </c>
      <c r="G94" s="89">
        <v>49.981000000000002</v>
      </c>
      <c r="H94" s="89">
        <v>50.042000000000002</v>
      </c>
      <c r="I94" s="89">
        <v>50.042000000000002</v>
      </c>
      <c r="J94" s="89">
        <v>49.923999999999999</v>
      </c>
      <c r="K94" s="89">
        <v>49.872</v>
      </c>
      <c r="L94" s="89">
        <v>50.036999999999999</v>
      </c>
      <c r="M94" s="89">
        <v>50.006999999999998</v>
      </c>
      <c r="N94" s="89">
        <v>50.024999999999999</v>
      </c>
      <c r="O94" s="89">
        <v>49.98</v>
      </c>
      <c r="P94" s="89">
        <v>50.003</v>
      </c>
      <c r="Q94" s="89">
        <v>49.991</v>
      </c>
      <c r="R94" s="89">
        <v>50.045000000000002</v>
      </c>
      <c r="S94" s="89">
        <v>50.073999999999998</v>
      </c>
      <c r="T94" s="89">
        <v>50.01</v>
      </c>
      <c r="U94" s="89">
        <v>50.042999999999999</v>
      </c>
      <c r="V94" s="89">
        <v>50.006999999999998</v>
      </c>
      <c r="W94" s="89">
        <v>49.997</v>
      </c>
      <c r="X94" s="89">
        <v>50.02</v>
      </c>
      <c r="Y94" s="89">
        <v>50.04</v>
      </c>
      <c r="Z94" s="89">
        <v>50.048000000000002</v>
      </c>
      <c r="AA94" s="89">
        <v>50.048000000000002</v>
      </c>
      <c r="AB94" s="89">
        <v>50.048000000000002</v>
      </c>
      <c r="AC94" s="89">
        <v>49.906999999999996</v>
      </c>
      <c r="AD94" s="89">
        <v>49.920999999999999</v>
      </c>
      <c r="AE94" s="89">
        <v>49.951999999999998</v>
      </c>
      <c r="AF94" s="89">
        <v>50.023000000000003</v>
      </c>
      <c r="AG94" s="90"/>
      <c r="AH94" s="48">
        <f t="shared" si="10"/>
        <v>50.073999999999998</v>
      </c>
      <c r="AI94" s="49">
        <f t="shared" si="11"/>
        <v>49.872</v>
      </c>
    </row>
    <row r="95" spans="1:37" x14ac:dyDescent="0.25">
      <c r="A95" s="91" t="s">
        <v>97</v>
      </c>
      <c r="B95" s="65">
        <v>126</v>
      </c>
      <c r="C95" s="65">
        <v>127.3</v>
      </c>
      <c r="D95" s="65">
        <v>128</v>
      </c>
      <c r="E95" s="65">
        <v>127.6</v>
      </c>
      <c r="F95" s="65">
        <v>126.8</v>
      </c>
      <c r="G95" s="65">
        <v>126.6</v>
      </c>
      <c r="H95" s="65">
        <v>126.2</v>
      </c>
      <c r="I95" s="65">
        <v>126.2</v>
      </c>
      <c r="J95" s="65">
        <v>125</v>
      </c>
      <c r="K95" s="65">
        <v>125.3</v>
      </c>
      <c r="L95" s="65">
        <v>122.6</v>
      </c>
      <c r="M95" s="65">
        <v>122.4</v>
      </c>
      <c r="N95" s="65">
        <v>122.6</v>
      </c>
      <c r="O95" s="65">
        <v>123.8</v>
      </c>
      <c r="P95" s="65">
        <v>126</v>
      </c>
      <c r="Q95" s="65">
        <v>126.2</v>
      </c>
      <c r="R95" s="65">
        <v>126</v>
      </c>
      <c r="S95" s="65">
        <v>127</v>
      </c>
      <c r="T95" s="65">
        <v>127</v>
      </c>
      <c r="U95" s="65">
        <v>126.8</v>
      </c>
      <c r="V95" s="65">
        <v>126.7</v>
      </c>
      <c r="W95" s="65">
        <v>128</v>
      </c>
      <c r="X95" s="65">
        <v>128</v>
      </c>
      <c r="Y95" s="65">
        <v>128</v>
      </c>
      <c r="Z95" s="65">
        <v>128</v>
      </c>
      <c r="AA95" s="65">
        <v>128</v>
      </c>
      <c r="AB95" s="65">
        <v>128</v>
      </c>
      <c r="AC95" s="65">
        <v>127.8</v>
      </c>
      <c r="AD95" s="65">
        <v>127.7</v>
      </c>
      <c r="AE95" s="65">
        <v>127.3</v>
      </c>
      <c r="AF95" s="65">
        <v>127.9</v>
      </c>
      <c r="AG95" s="92"/>
      <c r="AH95" s="48">
        <f t="shared" si="10"/>
        <v>128</v>
      </c>
      <c r="AI95" s="49">
        <f t="shared" si="11"/>
        <v>122.4</v>
      </c>
    </row>
    <row r="96" spans="1:37" x14ac:dyDescent="0.25">
      <c r="A96" s="91" t="s">
        <v>98</v>
      </c>
      <c r="B96" s="65">
        <v>130.4</v>
      </c>
      <c r="C96" s="65">
        <v>131.6</v>
      </c>
      <c r="D96" s="65">
        <v>132.1</v>
      </c>
      <c r="E96" s="65">
        <v>132.1</v>
      </c>
      <c r="F96" s="65">
        <v>131.4</v>
      </c>
      <c r="G96" s="65">
        <v>131.1</v>
      </c>
      <c r="H96" s="65">
        <v>130.19999999999999</v>
      </c>
      <c r="I96" s="65">
        <v>130.19999999999999</v>
      </c>
      <c r="J96" s="65">
        <v>128.80000000000001</v>
      </c>
      <c r="K96" s="65">
        <v>128.69999999999999</v>
      </c>
      <c r="L96" s="65">
        <v>127.3</v>
      </c>
      <c r="M96" s="65">
        <v>126.3</v>
      </c>
      <c r="N96" s="65">
        <v>126.3</v>
      </c>
      <c r="O96" s="65">
        <v>127.3</v>
      </c>
      <c r="P96" s="65">
        <v>129.19999999999999</v>
      </c>
      <c r="Q96" s="65">
        <v>129.80000000000001</v>
      </c>
      <c r="R96" s="65">
        <v>129.1</v>
      </c>
      <c r="S96" s="65">
        <v>130</v>
      </c>
      <c r="T96" s="65">
        <v>130</v>
      </c>
      <c r="U96" s="65">
        <v>129.5</v>
      </c>
      <c r="V96" s="65">
        <v>130</v>
      </c>
      <c r="W96" s="65">
        <v>130</v>
      </c>
      <c r="X96" s="65">
        <v>130</v>
      </c>
      <c r="Y96" s="65">
        <v>130</v>
      </c>
      <c r="Z96" s="65">
        <v>130</v>
      </c>
      <c r="AA96" s="65">
        <v>130</v>
      </c>
      <c r="AB96" s="65">
        <v>130</v>
      </c>
      <c r="AC96" s="65">
        <v>130.4</v>
      </c>
      <c r="AD96" s="65">
        <v>130.4</v>
      </c>
      <c r="AE96" s="65">
        <v>131.30000000000001</v>
      </c>
      <c r="AF96" s="65">
        <v>131.80000000000001</v>
      </c>
      <c r="AG96" s="92"/>
      <c r="AH96" s="48">
        <f t="shared" si="10"/>
        <v>132.1</v>
      </c>
      <c r="AI96" s="49">
        <f t="shared" si="11"/>
        <v>126.3</v>
      </c>
    </row>
    <row r="97" spans="1:35" x14ac:dyDescent="0.25">
      <c r="A97" s="91" t="s">
        <v>99</v>
      </c>
      <c r="B97" s="65">
        <v>132.4</v>
      </c>
      <c r="C97" s="65">
        <v>132.4</v>
      </c>
      <c r="D97" s="65">
        <v>133.1</v>
      </c>
      <c r="E97" s="65">
        <v>133.5</v>
      </c>
      <c r="F97" s="65">
        <v>133.19999999999999</v>
      </c>
      <c r="G97" s="65">
        <v>132.30000000000001</v>
      </c>
      <c r="H97" s="65">
        <v>131.5</v>
      </c>
      <c r="I97" s="65">
        <v>131.5</v>
      </c>
      <c r="J97" s="65">
        <v>129.19999999999999</v>
      </c>
      <c r="K97" s="65">
        <v>128.5</v>
      </c>
      <c r="L97" s="65">
        <v>127.9</v>
      </c>
      <c r="M97" s="65">
        <v>128.69999999999999</v>
      </c>
      <c r="N97" s="65">
        <v>130.5</v>
      </c>
      <c r="O97" s="65">
        <v>127.6</v>
      </c>
      <c r="P97" s="65">
        <v>127.7</v>
      </c>
      <c r="Q97" s="65">
        <v>129.9</v>
      </c>
      <c r="R97" s="65">
        <v>133</v>
      </c>
      <c r="S97" s="65">
        <v>131</v>
      </c>
      <c r="T97" s="65">
        <v>130</v>
      </c>
      <c r="U97" s="65">
        <v>131</v>
      </c>
      <c r="V97" s="65">
        <v>130.5</v>
      </c>
      <c r="W97" s="65">
        <v>130</v>
      </c>
      <c r="X97" s="65">
        <v>130</v>
      </c>
      <c r="Y97" s="65">
        <v>130</v>
      </c>
      <c r="Z97" s="65">
        <v>130</v>
      </c>
      <c r="AA97" s="65">
        <v>130</v>
      </c>
      <c r="AB97" s="65">
        <v>130</v>
      </c>
      <c r="AC97" s="65">
        <v>132.9</v>
      </c>
      <c r="AD97" s="65">
        <v>133.5</v>
      </c>
      <c r="AE97" s="65">
        <v>130.30000000000001</v>
      </c>
      <c r="AF97" s="65">
        <v>130.5</v>
      </c>
      <c r="AG97" s="92"/>
      <c r="AH97" s="48">
        <f t="shared" si="10"/>
        <v>133.5</v>
      </c>
      <c r="AI97" s="49">
        <f t="shared" si="11"/>
        <v>127.6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0"/>
        <v>0</v>
      </c>
      <c r="AI98" s="49">
        <f t="shared" si="11"/>
        <v>0</v>
      </c>
    </row>
    <row r="99" spans="1:35" x14ac:dyDescent="0.25">
      <c r="A99" s="93" t="s">
        <v>101</v>
      </c>
      <c r="B99" s="94">
        <v>132.4</v>
      </c>
      <c r="C99" s="94">
        <v>132.80000000000001</v>
      </c>
      <c r="D99" s="94">
        <v>134.80000000000001</v>
      </c>
      <c r="E99" s="94">
        <v>135.9</v>
      </c>
      <c r="F99" s="94">
        <v>131.19999999999999</v>
      </c>
      <c r="G99" s="94">
        <v>132</v>
      </c>
      <c r="H99" s="94">
        <v>130.19999999999999</v>
      </c>
      <c r="I99" s="94">
        <v>130.19999999999999</v>
      </c>
      <c r="J99" s="94">
        <v>132.80000000000001</v>
      </c>
      <c r="K99" s="94">
        <v>131.9</v>
      </c>
      <c r="L99" s="94">
        <v>134.69999999999999</v>
      </c>
      <c r="M99" s="94">
        <v>134.5</v>
      </c>
      <c r="N99" s="94">
        <v>134.6</v>
      </c>
      <c r="O99" s="94">
        <v>133.5</v>
      </c>
      <c r="P99" s="94">
        <v>134.30000000000001</v>
      </c>
      <c r="Q99" s="94">
        <v>134.69999999999999</v>
      </c>
      <c r="R99" s="94">
        <v>134.30000000000001</v>
      </c>
      <c r="S99" s="94">
        <v>134</v>
      </c>
      <c r="T99" s="94">
        <v>132</v>
      </c>
      <c r="U99" s="94">
        <v>130.19999999999999</v>
      </c>
      <c r="V99" s="94">
        <v>141.9</v>
      </c>
      <c r="W99" s="94">
        <v>134.5</v>
      </c>
      <c r="X99" s="94">
        <v>134.5</v>
      </c>
      <c r="Y99" s="94">
        <v>134.5</v>
      </c>
      <c r="Z99" s="94">
        <v>134.5</v>
      </c>
      <c r="AA99" s="94">
        <v>134.5</v>
      </c>
      <c r="AB99" s="94">
        <v>134.5</v>
      </c>
      <c r="AC99" s="94">
        <v>135</v>
      </c>
      <c r="AD99" s="94">
        <v>135</v>
      </c>
      <c r="AE99" s="94">
        <v>135</v>
      </c>
      <c r="AF99" s="94">
        <v>135.6</v>
      </c>
      <c r="AG99" s="95"/>
      <c r="AH99" s="48">
        <f t="shared" si="10"/>
        <v>141.9</v>
      </c>
      <c r="AI99" s="49">
        <f t="shared" si="11"/>
        <v>130.19999999999999</v>
      </c>
    </row>
    <row r="100" spans="1:35" x14ac:dyDescent="0.25">
      <c r="A100" s="91" t="s">
        <v>102</v>
      </c>
      <c r="B100" s="65">
        <v>131.6</v>
      </c>
      <c r="C100" s="65">
        <v>131.5</v>
      </c>
      <c r="D100" s="65">
        <v>132.80000000000001</v>
      </c>
      <c r="E100" s="65">
        <v>135</v>
      </c>
      <c r="F100" s="65">
        <v>131.6</v>
      </c>
      <c r="G100" s="65">
        <v>130.5</v>
      </c>
      <c r="H100" s="65">
        <v>128.4</v>
      </c>
      <c r="I100" s="65">
        <v>128.4</v>
      </c>
      <c r="J100" s="65">
        <v>129.69999999999999</v>
      </c>
      <c r="K100" s="65">
        <v>128.19999999999999</v>
      </c>
      <c r="L100" s="65">
        <v>129.69999999999999</v>
      </c>
      <c r="M100" s="65">
        <v>130</v>
      </c>
      <c r="N100" s="65">
        <v>129.4</v>
      </c>
      <c r="O100" s="65">
        <v>128.5</v>
      </c>
      <c r="P100" s="65">
        <v>129.6</v>
      </c>
      <c r="Q100" s="65">
        <v>131</v>
      </c>
      <c r="R100" s="65">
        <v>132.6</v>
      </c>
      <c r="S100" s="65">
        <v>131.1</v>
      </c>
      <c r="T100" s="65">
        <v>127</v>
      </c>
      <c r="U100" s="65">
        <v>129</v>
      </c>
      <c r="V100" s="65">
        <v>133.80000000000001</v>
      </c>
      <c r="W100" s="65">
        <v>134.69999999999999</v>
      </c>
      <c r="X100" s="65">
        <v>134.69999999999999</v>
      </c>
      <c r="Y100" s="65">
        <v>134.69999999999999</v>
      </c>
      <c r="Z100" s="65">
        <v>134.69999999999999</v>
      </c>
      <c r="AA100" s="65">
        <v>134.69999999999999</v>
      </c>
      <c r="AB100" s="65">
        <v>134.69999999999999</v>
      </c>
      <c r="AC100" s="65">
        <v>134.80000000000001</v>
      </c>
      <c r="AD100" s="65">
        <v>135.30000000000001</v>
      </c>
      <c r="AE100" s="65">
        <v>135.4</v>
      </c>
      <c r="AF100" s="65">
        <v>135.69999999999999</v>
      </c>
      <c r="AG100" s="92"/>
      <c r="AH100" s="48">
        <f t="shared" si="10"/>
        <v>135.69999999999999</v>
      </c>
      <c r="AI100" s="49">
        <f t="shared" si="11"/>
        <v>127</v>
      </c>
    </row>
    <row r="101" spans="1:35" ht="15.75" thickBot="1" x14ac:dyDescent="0.3">
      <c r="A101" s="91" t="s">
        <v>104</v>
      </c>
      <c r="B101" s="96">
        <v>65.900000000000006</v>
      </c>
      <c r="C101" s="96">
        <v>66.599999999999994</v>
      </c>
      <c r="D101" s="96">
        <v>66.599999999999994</v>
      </c>
      <c r="E101" s="96">
        <v>66.900000000000006</v>
      </c>
      <c r="F101" s="96">
        <v>66.5</v>
      </c>
      <c r="G101" s="96">
        <v>66.2</v>
      </c>
      <c r="H101" s="96">
        <v>65.7</v>
      </c>
      <c r="I101" s="96">
        <v>65.7</v>
      </c>
      <c r="J101" s="96">
        <v>65</v>
      </c>
      <c r="K101" s="96">
        <v>64.900000000000006</v>
      </c>
      <c r="L101" s="96">
        <v>64.2</v>
      </c>
      <c r="M101" s="96">
        <v>63.2</v>
      </c>
      <c r="N101" s="96">
        <v>63.1</v>
      </c>
      <c r="O101" s="96">
        <v>63.5</v>
      </c>
      <c r="P101" s="96">
        <v>64.7</v>
      </c>
      <c r="Q101" s="96">
        <v>64.2</v>
      </c>
      <c r="R101" s="96">
        <v>64.2</v>
      </c>
      <c r="S101" s="96">
        <v>64.900000000000006</v>
      </c>
      <c r="T101" s="96">
        <v>64.8</v>
      </c>
      <c r="U101" s="96">
        <v>64.7</v>
      </c>
      <c r="V101" s="96">
        <v>65.3</v>
      </c>
      <c r="W101" s="96">
        <v>65.400000000000006</v>
      </c>
      <c r="X101" s="96">
        <v>65.400000000000006</v>
      </c>
      <c r="Y101" s="96">
        <v>65.400000000000006</v>
      </c>
      <c r="Z101" s="96">
        <v>65.400000000000006</v>
      </c>
      <c r="AA101" s="96">
        <v>65.400000000000006</v>
      </c>
      <c r="AB101" s="96">
        <v>65.400000000000006</v>
      </c>
      <c r="AC101" s="96">
        <v>65.400000000000006</v>
      </c>
      <c r="AD101" s="96">
        <v>65.5</v>
      </c>
      <c r="AE101" s="96">
        <v>66</v>
      </c>
      <c r="AF101" s="96">
        <v>66.3</v>
      </c>
      <c r="AG101" s="97"/>
      <c r="AH101" s="48">
        <f t="shared" si="10"/>
        <v>66.900000000000006</v>
      </c>
      <c r="AI101" s="49">
        <f t="shared" si="11"/>
        <v>63.1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0"/>
        <v>0</v>
      </c>
      <c r="AI102" s="49">
        <f t="shared" si="11"/>
        <v>0</v>
      </c>
    </row>
    <row r="103" spans="1:35" ht="15.75" thickBot="1" x14ac:dyDescent="0.3">
      <c r="A103" s="99" t="s">
        <v>105</v>
      </c>
      <c r="B103" s="100">
        <f t="shared" ref="B103:AF103" si="22">SUM(B16,B22,B25:B26,B51,B53:B54,B56,B58,B104:B108,B130,B136,B142,B151,B153,B165,B172,B175:B176,B183,B185,B187,B191:B193,B195:B197,B202,B208:B209,B211:B213,B221,B226)</f>
        <v>80.599999999999966</v>
      </c>
      <c r="C103" s="100">
        <f t="shared" si="22"/>
        <v>74.639999999999944</v>
      </c>
      <c r="D103" s="100">
        <f t="shared" si="22"/>
        <v>71.339999999999975</v>
      </c>
      <c r="E103" s="100">
        <f t="shared" si="22"/>
        <v>63.339999999999968</v>
      </c>
      <c r="F103" s="100">
        <f t="shared" si="22"/>
        <v>64.14</v>
      </c>
      <c r="G103" s="100">
        <f t="shared" si="22"/>
        <v>82.539999999999978</v>
      </c>
      <c r="H103" s="100">
        <f t="shared" si="22"/>
        <v>109.53999999999994</v>
      </c>
      <c r="I103" s="100">
        <f t="shared" si="22"/>
        <v>109.53999999999994</v>
      </c>
      <c r="J103" s="100">
        <f t="shared" si="22"/>
        <v>164.94</v>
      </c>
      <c r="K103" s="100">
        <f t="shared" si="22"/>
        <v>185.83999999999992</v>
      </c>
      <c r="L103" s="100">
        <f t="shared" si="22"/>
        <v>234.83999999999995</v>
      </c>
      <c r="M103" s="100">
        <f t="shared" si="22"/>
        <v>262.53999999999996</v>
      </c>
      <c r="N103" s="100">
        <f t="shared" si="22"/>
        <v>273.23999999999995</v>
      </c>
      <c r="O103" s="100">
        <f t="shared" si="22"/>
        <v>262.94</v>
      </c>
      <c r="P103" s="100">
        <f t="shared" si="22"/>
        <v>230.44</v>
      </c>
      <c r="Q103" s="100">
        <f t="shared" si="22"/>
        <v>198.00000000000003</v>
      </c>
      <c r="R103" s="100">
        <f t="shared" si="22"/>
        <v>196.19999999999996</v>
      </c>
      <c r="S103" s="100">
        <f t="shared" si="22"/>
        <v>163.19999999999996</v>
      </c>
      <c r="T103" s="100">
        <f t="shared" si="22"/>
        <v>169.4</v>
      </c>
      <c r="U103" s="100">
        <f t="shared" si="22"/>
        <v>175</v>
      </c>
      <c r="V103" s="100">
        <f t="shared" si="22"/>
        <v>209.99999999999997</v>
      </c>
      <c r="W103" s="100">
        <f t="shared" si="22"/>
        <v>257</v>
      </c>
      <c r="X103" s="100">
        <f t="shared" si="22"/>
        <v>144.99999999999997</v>
      </c>
      <c r="Y103" s="100">
        <f t="shared" si="22"/>
        <v>285</v>
      </c>
      <c r="Z103" s="100">
        <f t="shared" si="22"/>
        <v>285</v>
      </c>
      <c r="AA103" s="100">
        <f t="shared" si="22"/>
        <v>285</v>
      </c>
      <c r="AB103" s="100">
        <f t="shared" si="22"/>
        <v>285</v>
      </c>
      <c r="AC103" s="100">
        <f t="shared" si="22"/>
        <v>226.9</v>
      </c>
      <c r="AD103" s="100">
        <f t="shared" si="22"/>
        <v>200.7</v>
      </c>
      <c r="AE103" s="100">
        <f t="shared" si="22"/>
        <v>111.3</v>
      </c>
      <c r="AF103" s="100">
        <f t="shared" si="22"/>
        <v>103.99999999999999</v>
      </c>
      <c r="AG103" s="101"/>
      <c r="AH103" s="48">
        <f t="shared" si="10"/>
        <v>285</v>
      </c>
      <c r="AI103" s="49">
        <f t="shared" si="11"/>
        <v>63.339999999999968</v>
      </c>
    </row>
    <row r="104" spans="1:35" x14ac:dyDescent="0.25">
      <c r="A104" s="88" t="s">
        <v>106</v>
      </c>
      <c r="B104" s="102">
        <v>35.1</v>
      </c>
      <c r="C104" s="102">
        <v>28.7</v>
      </c>
      <c r="D104" s="102">
        <v>30.4</v>
      </c>
      <c r="E104" s="102">
        <v>29.7</v>
      </c>
      <c r="F104" s="102">
        <v>25.3</v>
      </c>
      <c r="G104" s="102">
        <v>30.8</v>
      </c>
      <c r="H104" s="102">
        <v>39</v>
      </c>
      <c r="I104" s="102">
        <v>39</v>
      </c>
      <c r="J104" s="102">
        <v>47.6</v>
      </c>
      <c r="K104" s="102">
        <v>47.8</v>
      </c>
      <c r="L104" s="102">
        <v>47</v>
      </c>
      <c r="M104" s="102">
        <v>53.1</v>
      </c>
      <c r="N104" s="102">
        <v>55</v>
      </c>
      <c r="O104" s="102">
        <v>58.1</v>
      </c>
      <c r="P104" s="102">
        <v>61.2</v>
      </c>
      <c r="Q104" s="102">
        <v>45.2</v>
      </c>
      <c r="R104" s="102">
        <v>43</v>
      </c>
      <c r="S104" s="102">
        <v>30.2</v>
      </c>
      <c r="T104" s="102">
        <v>32</v>
      </c>
      <c r="U104" s="102">
        <v>40.200000000000003</v>
      </c>
      <c r="V104" s="102">
        <v>49.9</v>
      </c>
      <c r="W104" s="102">
        <v>48</v>
      </c>
      <c r="X104" s="102"/>
      <c r="Y104" s="102">
        <v>53</v>
      </c>
      <c r="Z104" s="102">
        <v>53</v>
      </c>
      <c r="AA104" s="102">
        <v>53</v>
      </c>
      <c r="AB104" s="102">
        <v>53</v>
      </c>
      <c r="AC104" s="102">
        <v>61.9</v>
      </c>
      <c r="AD104" s="102">
        <v>63.7</v>
      </c>
      <c r="AE104" s="102">
        <v>47.9</v>
      </c>
      <c r="AF104" s="102">
        <v>38.5</v>
      </c>
      <c r="AG104" s="103">
        <v>75</v>
      </c>
      <c r="AH104" s="48">
        <f t="shared" si="10"/>
        <v>63.7</v>
      </c>
      <c r="AI104" s="49">
        <f t="shared" si="11"/>
        <v>25.3</v>
      </c>
    </row>
    <row r="105" spans="1:35" x14ac:dyDescent="0.25">
      <c r="A105" s="91" t="s">
        <v>107</v>
      </c>
      <c r="B105" s="104">
        <v>58</v>
      </c>
      <c r="C105" s="104">
        <v>49.5</v>
      </c>
      <c r="D105" s="104">
        <v>51.1</v>
      </c>
      <c r="E105" s="104">
        <v>49.5</v>
      </c>
      <c r="F105" s="104">
        <v>44.2</v>
      </c>
      <c r="G105" s="104">
        <v>51.2</v>
      </c>
      <c r="H105" s="104">
        <v>64.8</v>
      </c>
      <c r="I105" s="104">
        <v>64.8</v>
      </c>
      <c r="J105" s="104">
        <v>74.8</v>
      </c>
      <c r="K105" s="104">
        <v>73.900000000000006</v>
      </c>
      <c r="L105" s="104">
        <v>70.8</v>
      </c>
      <c r="M105" s="104">
        <v>77.900000000000006</v>
      </c>
      <c r="N105" s="104">
        <v>81.400000000000006</v>
      </c>
      <c r="O105" s="104">
        <v>86.3</v>
      </c>
      <c r="P105" s="104">
        <v>92.8</v>
      </c>
      <c r="Q105" s="104">
        <v>71.400000000000006</v>
      </c>
      <c r="R105" s="104">
        <v>69.400000000000006</v>
      </c>
      <c r="S105" s="104">
        <v>50.1</v>
      </c>
      <c r="T105" s="104">
        <v>52.4</v>
      </c>
      <c r="U105" s="104">
        <v>64.900000000000006</v>
      </c>
      <c r="V105" s="104">
        <v>74.7</v>
      </c>
      <c r="W105" s="104">
        <v>69</v>
      </c>
      <c r="X105" s="104"/>
      <c r="Y105" s="104">
        <v>75</v>
      </c>
      <c r="Z105" s="104">
        <v>75</v>
      </c>
      <c r="AA105" s="104">
        <v>75</v>
      </c>
      <c r="AB105" s="104">
        <v>75</v>
      </c>
      <c r="AC105" s="104">
        <v>87.8</v>
      </c>
      <c r="AD105" s="104">
        <v>91.7</v>
      </c>
      <c r="AE105" s="104">
        <v>70.8</v>
      </c>
      <c r="AF105" s="104">
        <v>62.6</v>
      </c>
      <c r="AG105" s="103">
        <v>240</v>
      </c>
      <c r="AH105" s="48">
        <f t="shared" si="10"/>
        <v>92.8</v>
      </c>
      <c r="AI105" s="49">
        <f t="shared" si="11"/>
        <v>44.2</v>
      </c>
    </row>
    <row r="106" spans="1:35" x14ac:dyDescent="0.25">
      <c r="A106" s="91" t="s">
        <v>108</v>
      </c>
      <c r="B106" s="104">
        <v>-143</v>
      </c>
      <c r="C106" s="104">
        <v>-137.80000000000001</v>
      </c>
      <c r="D106" s="104">
        <v>-141</v>
      </c>
      <c r="E106" s="104">
        <f>-71-75.7</f>
        <v>-146.69999999999999</v>
      </c>
      <c r="F106" s="104">
        <f>-66.2-70</f>
        <v>-136.19999999999999</v>
      </c>
      <c r="G106" s="104">
        <f>-64.2-68.1</f>
        <v>-132.30000000000001</v>
      </c>
      <c r="H106" s="104">
        <f>-62.2-65.9</f>
        <v>-128.10000000000002</v>
      </c>
      <c r="I106" s="104">
        <f>-62.2-65.9</f>
        <v>-128.10000000000002</v>
      </c>
      <c r="J106" s="104">
        <f>-46.9-50.8</f>
        <v>-97.699999999999989</v>
      </c>
      <c r="K106" s="104">
        <f>-37.6-41.9</f>
        <v>-79.5</v>
      </c>
      <c r="L106" s="104">
        <f>-16.9-19.6</f>
        <v>-36.5</v>
      </c>
      <c r="M106" s="104">
        <f>-15-16.3</f>
        <v>-31.3</v>
      </c>
      <c r="N106" s="104">
        <f>-12-14</f>
        <v>-26</v>
      </c>
      <c r="O106" s="104">
        <f>-21-23</f>
        <v>-44</v>
      </c>
      <c r="P106" s="104">
        <f>-43-45</f>
        <v>-88</v>
      </c>
      <c r="Q106" s="104">
        <v>-79.2</v>
      </c>
      <c r="R106" s="104">
        <f>-38.3-41</f>
        <v>-79.3</v>
      </c>
      <c r="S106" s="104">
        <f>-24-26.2</f>
        <v>-50.2</v>
      </c>
      <c r="T106" s="104">
        <v>-74</v>
      </c>
      <c r="U106" s="104">
        <v>-82</v>
      </c>
      <c r="V106" s="104">
        <v>-83.9</v>
      </c>
      <c r="W106" s="104">
        <v>-47</v>
      </c>
      <c r="X106" s="104"/>
      <c r="Y106" s="104">
        <v>-23</v>
      </c>
      <c r="Z106" s="104">
        <v>-23</v>
      </c>
      <c r="AA106" s="104">
        <v>-23</v>
      </c>
      <c r="AB106" s="104">
        <v>-23</v>
      </c>
      <c r="AC106" s="104">
        <v>-78.2</v>
      </c>
      <c r="AD106" s="104">
        <v>-103</v>
      </c>
      <c r="AE106" s="104">
        <v>-143.19999999999999</v>
      </c>
      <c r="AF106" s="104">
        <v>-135</v>
      </c>
      <c r="AG106" s="103">
        <v>240</v>
      </c>
      <c r="AH106" s="48">
        <f t="shared" si="10"/>
        <v>-23</v>
      </c>
      <c r="AI106" s="49">
        <f t="shared" si="11"/>
        <v>-146.69999999999999</v>
      </c>
    </row>
    <row r="107" spans="1:35" x14ac:dyDescent="0.25">
      <c r="A107" s="91" t="s">
        <v>109</v>
      </c>
      <c r="B107" s="104">
        <v>-13.5</v>
      </c>
      <c r="C107" s="104">
        <v>-10.7</v>
      </c>
      <c r="D107" s="104">
        <v>-14.1</v>
      </c>
      <c r="E107" s="104">
        <v>-14.1</v>
      </c>
      <c r="F107" s="104">
        <v>-14.3</v>
      </c>
      <c r="G107" s="104">
        <v>-12.3</v>
      </c>
      <c r="H107" s="104">
        <v>-11.1</v>
      </c>
      <c r="I107" s="104">
        <v>-11.1</v>
      </c>
      <c r="J107" s="104">
        <v>-4.7</v>
      </c>
      <c r="K107" s="104">
        <v>-1.3</v>
      </c>
      <c r="L107" s="104">
        <v>8.6</v>
      </c>
      <c r="M107" s="104">
        <v>13.9</v>
      </c>
      <c r="N107" s="104">
        <v>9.9</v>
      </c>
      <c r="O107" s="104">
        <v>7.6</v>
      </c>
      <c r="P107" s="104">
        <v>7.5</v>
      </c>
      <c r="Q107" s="104">
        <v>4.5999999999999996</v>
      </c>
      <c r="R107" s="104">
        <v>7.1</v>
      </c>
      <c r="S107" s="104">
        <v>7.6</v>
      </c>
      <c r="T107" s="104">
        <v>6</v>
      </c>
      <c r="U107" s="104">
        <v>2.9</v>
      </c>
      <c r="V107" s="104">
        <v>24.3</v>
      </c>
      <c r="W107" s="104">
        <v>42</v>
      </c>
      <c r="X107" s="104"/>
      <c r="Y107" s="104">
        <v>35</v>
      </c>
      <c r="Z107" s="104">
        <v>35</v>
      </c>
      <c r="AA107" s="104">
        <v>35</v>
      </c>
      <c r="AB107" s="104">
        <v>35</v>
      </c>
      <c r="AC107" s="104">
        <v>10.6</v>
      </c>
      <c r="AD107" s="104">
        <v>3.5</v>
      </c>
      <c r="AE107" s="104">
        <v>-8.6999999999999993</v>
      </c>
      <c r="AF107" s="104">
        <v>-6.8</v>
      </c>
      <c r="AG107" s="103">
        <v>60</v>
      </c>
      <c r="AH107" s="48">
        <f t="shared" si="10"/>
        <v>42</v>
      </c>
      <c r="AI107" s="49">
        <f t="shared" si="11"/>
        <v>-14.3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/>
      <c r="Y108" s="106">
        <v>0</v>
      </c>
      <c r="Z108" s="106">
        <v>0</v>
      </c>
      <c r="AA108" s="106">
        <v>0</v>
      </c>
      <c r="AB108" s="106">
        <v>0</v>
      </c>
      <c r="AC108" s="106">
        <v>0</v>
      </c>
      <c r="AD108" s="106">
        <v>0</v>
      </c>
      <c r="AE108" s="106">
        <v>0</v>
      </c>
      <c r="AF108" s="106">
        <v>0</v>
      </c>
      <c r="AG108" s="107">
        <v>120</v>
      </c>
      <c r="AH108" s="48">
        <f t="shared" si="10"/>
        <v>0</v>
      </c>
      <c r="AI108" s="49">
        <f t="shared" si="11"/>
        <v>0</v>
      </c>
    </row>
    <row r="109" spans="1:35" x14ac:dyDescent="0.25">
      <c r="A109" s="105" t="s">
        <v>111</v>
      </c>
      <c r="B109" s="106">
        <v>-7.8</v>
      </c>
      <c r="C109" s="106">
        <v>-5</v>
      </c>
      <c r="D109" s="106">
        <v>-7.3</v>
      </c>
      <c r="E109" s="106">
        <v>-8.1</v>
      </c>
      <c r="F109" s="106">
        <v>1.4</v>
      </c>
      <c r="G109" s="106">
        <v>6.5</v>
      </c>
      <c r="H109" s="106">
        <v>2.9</v>
      </c>
      <c r="I109" s="106">
        <v>2.9</v>
      </c>
      <c r="J109" s="106">
        <v>34.799999999999997</v>
      </c>
      <c r="K109" s="106">
        <v>36.200000000000003</v>
      </c>
      <c r="L109" s="106">
        <v>69.8</v>
      </c>
      <c r="M109" s="106">
        <v>78</v>
      </c>
      <c r="N109" s="106">
        <v>77</v>
      </c>
      <c r="O109" s="106">
        <v>51</v>
      </c>
      <c r="P109" s="106">
        <v>11.4</v>
      </c>
      <c r="Q109" s="106">
        <v>26.5</v>
      </c>
      <c r="R109" s="106">
        <v>26.1</v>
      </c>
      <c r="S109" s="106">
        <v>53</v>
      </c>
      <c r="T109" s="106">
        <v>35</v>
      </c>
      <c r="U109" s="106">
        <v>9.1</v>
      </c>
      <c r="V109" s="106">
        <v>4.8</v>
      </c>
      <c r="W109" s="106">
        <v>41</v>
      </c>
      <c r="X109" s="106"/>
      <c r="Y109" s="106">
        <v>36</v>
      </c>
      <c r="Z109" s="106">
        <v>36</v>
      </c>
      <c r="AA109" s="106">
        <v>36</v>
      </c>
      <c r="AB109" s="106">
        <v>36</v>
      </c>
      <c r="AC109" s="106">
        <v>-4.7</v>
      </c>
      <c r="AD109" s="106">
        <v>-22.6</v>
      </c>
      <c r="AE109" s="106">
        <v>-27.5</v>
      </c>
      <c r="AF109" s="106">
        <v>-19</v>
      </c>
      <c r="AG109" s="107"/>
      <c r="AH109" s="48">
        <f t="shared" si="10"/>
        <v>78</v>
      </c>
      <c r="AI109" s="49">
        <f t="shared" si="11"/>
        <v>-27.5</v>
      </c>
    </row>
    <row r="110" spans="1:35" x14ac:dyDescent="0.25">
      <c r="A110" s="105" t="s">
        <v>112</v>
      </c>
      <c r="B110" s="106">
        <v>14.8</v>
      </c>
      <c r="C110" s="106">
        <v>26</v>
      </c>
      <c r="D110" s="106">
        <v>21</v>
      </c>
      <c r="E110" s="106">
        <v>15.2</v>
      </c>
      <c r="F110" s="106">
        <v>27</v>
      </c>
      <c r="G110" s="106">
        <v>20.3</v>
      </c>
      <c r="H110" s="106">
        <v>19</v>
      </c>
      <c r="I110" s="106">
        <v>19</v>
      </c>
      <c r="J110" s="106">
        <v>3.6</v>
      </c>
      <c r="K110" s="106">
        <v>4.0999999999999996</v>
      </c>
      <c r="L110" s="106">
        <v>15.1</v>
      </c>
      <c r="M110" s="106">
        <v>-1.4</v>
      </c>
      <c r="N110" s="106">
        <v>0</v>
      </c>
      <c r="O110" s="106">
        <v>-9</v>
      </c>
      <c r="P110" s="106">
        <v>-19</v>
      </c>
      <c r="Q110" s="106">
        <v>49.9</v>
      </c>
      <c r="R110" s="106">
        <v>10</v>
      </c>
      <c r="S110" s="106">
        <v>31</v>
      </c>
      <c r="T110" s="106">
        <v>27</v>
      </c>
      <c r="U110" s="106">
        <v>7.4</v>
      </c>
      <c r="V110" s="106">
        <v>2</v>
      </c>
      <c r="W110" s="106">
        <v>14</v>
      </c>
      <c r="X110" s="106"/>
      <c r="Y110" s="106">
        <v>11</v>
      </c>
      <c r="Z110" s="106">
        <v>11</v>
      </c>
      <c r="AA110" s="106">
        <v>11</v>
      </c>
      <c r="AB110" s="106">
        <v>11</v>
      </c>
      <c r="AC110" s="106">
        <v>22.3</v>
      </c>
      <c r="AD110" s="106">
        <v>-23.7</v>
      </c>
      <c r="AE110" s="106">
        <v>-12.2</v>
      </c>
      <c r="AF110" s="106">
        <v>6.5</v>
      </c>
      <c r="AG110" s="108"/>
      <c r="AH110" s="48">
        <f t="shared" si="10"/>
        <v>49.9</v>
      </c>
      <c r="AI110" s="49">
        <f t="shared" si="11"/>
        <v>-23.7</v>
      </c>
    </row>
    <row r="111" spans="1:35" x14ac:dyDescent="0.25">
      <c r="A111" s="109" t="s">
        <v>113</v>
      </c>
      <c r="B111" s="94">
        <v>44.5</v>
      </c>
      <c r="C111" s="94">
        <v>45.4</v>
      </c>
      <c r="D111" s="94">
        <v>48.2</v>
      </c>
      <c r="E111" s="94">
        <v>46.3</v>
      </c>
      <c r="F111" s="94">
        <v>46.9</v>
      </c>
      <c r="G111" s="94">
        <v>45.2</v>
      </c>
      <c r="H111" s="94">
        <v>40.6</v>
      </c>
      <c r="I111" s="94">
        <v>40.6</v>
      </c>
      <c r="J111" s="94">
        <v>32.6</v>
      </c>
      <c r="K111" s="94">
        <v>30.6</v>
      </c>
      <c r="L111" s="94">
        <v>24.7</v>
      </c>
      <c r="M111" s="94">
        <v>26.3</v>
      </c>
      <c r="N111" s="94">
        <v>25.7</v>
      </c>
      <c r="O111" s="94">
        <v>35</v>
      </c>
      <c r="P111" s="94">
        <v>35</v>
      </c>
      <c r="Q111" s="94">
        <v>34.5</v>
      </c>
      <c r="R111" s="94">
        <v>37.5</v>
      </c>
      <c r="S111" s="94">
        <v>38.200000000000003</v>
      </c>
      <c r="T111" s="94">
        <v>35</v>
      </c>
      <c r="U111" s="94">
        <v>32.4</v>
      </c>
      <c r="V111" s="94">
        <v>17.5</v>
      </c>
      <c r="W111" s="94">
        <v>-6</v>
      </c>
      <c r="X111" s="94"/>
      <c r="Y111" s="94">
        <v>10</v>
      </c>
      <c r="Z111" s="94">
        <v>10</v>
      </c>
      <c r="AA111" s="94">
        <v>10</v>
      </c>
      <c r="AB111" s="94">
        <v>10</v>
      </c>
      <c r="AC111" s="94">
        <v>26.5</v>
      </c>
      <c r="AD111" s="94">
        <v>28.8</v>
      </c>
      <c r="AE111" s="94">
        <v>40.9</v>
      </c>
      <c r="AF111" s="94">
        <v>101.8</v>
      </c>
      <c r="AG111" s="108"/>
      <c r="AH111" s="48">
        <f t="shared" si="10"/>
        <v>101.8</v>
      </c>
      <c r="AI111" s="49">
        <f t="shared" si="11"/>
        <v>-6</v>
      </c>
    </row>
    <row r="112" spans="1:35" ht="15.75" thickBot="1" x14ac:dyDescent="0.3">
      <c r="A112" s="109" t="s">
        <v>114</v>
      </c>
      <c r="B112" s="94">
        <v>102.5</v>
      </c>
      <c r="C112" s="94">
        <v>93.2</v>
      </c>
      <c r="D112" s="94">
        <v>102</v>
      </c>
      <c r="E112" s="94">
        <v>102</v>
      </c>
      <c r="F112" s="94">
        <v>94.8</v>
      </c>
      <c r="G112" s="94">
        <v>97.7</v>
      </c>
      <c r="H112" s="94">
        <v>94</v>
      </c>
      <c r="I112" s="94">
        <v>94</v>
      </c>
      <c r="J112" s="94">
        <v>73.400000000000006</v>
      </c>
      <c r="K112" s="94">
        <v>66.3</v>
      </c>
      <c r="L112" s="94">
        <v>36.700000000000003</v>
      </c>
      <c r="M112" s="94">
        <v>34.5</v>
      </c>
      <c r="N112" s="94">
        <v>31</v>
      </c>
      <c r="O112" s="94">
        <v>44</v>
      </c>
      <c r="P112" s="94">
        <v>75</v>
      </c>
      <c r="Q112" s="94">
        <v>56.3</v>
      </c>
      <c r="R112" s="94">
        <v>59.1</v>
      </c>
      <c r="S112" s="94">
        <v>37</v>
      </c>
      <c r="T112" s="94">
        <v>52</v>
      </c>
      <c r="U112" s="94">
        <v>59.2</v>
      </c>
      <c r="V112" s="94">
        <v>72.900000000000006</v>
      </c>
      <c r="W112" s="94">
        <v>40</v>
      </c>
      <c r="X112" s="94"/>
      <c r="Y112" s="94">
        <v>36</v>
      </c>
      <c r="Z112" s="94">
        <v>36</v>
      </c>
      <c r="AA112" s="94">
        <v>36</v>
      </c>
      <c r="AB112" s="94">
        <v>36</v>
      </c>
      <c r="AC112" s="94">
        <v>72</v>
      </c>
      <c r="AD112" s="94">
        <v>81.5</v>
      </c>
      <c r="AE112" s="94">
        <v>108</v>
      </c>
      <c r="AF112" s="94">
        <v>106</v>
      </c>
      <c r="AG112" s="108"/>
      <c r="AH112" s="48">
        <f t="shared" si="10"/>
        <v>108</v>
      </c>
      <c r="AI112" s="49">
        <f t="shared" si="11"/>
        <v>31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23">SUM(B114:B218)</f>
        <v>0</v>
      </c>
      <c r="C219" s="125">
        <f t="shared" si="23"/>
        <v>0</v>
      </c>
      <c r="D219" s="125">
        <f t="shared" si="23"/>
        <v>0</v>
      </c>
      <c r="E219" s="125">
        <f t="shared" si="23"/>
        <v>0</v>
      </c>
      <c r="F219" s="125">
        <f t="shared" si="23"/>
        <v>0</v>
      </c>
      <c r="G219" s="125">
        <f t="shared" si="23"/>
        <v>0</v>
      </c>
      <c r="H219" s="125">
        <f t="shared" si="23"/>
        <v>0</v>
      </c>
      <c r="I219" s="125">
        <f t="shared" si="23"/>
        <v>0</v>
      </c>
      <c r="J219" s="125">
        <f t="shared" si="23"/>
        <v>0</v>
      </c>
      <c r="K219" s="125">
        <f t="shared" si="23"/>
        <v>0</v>
      </c>
      <c r="L219" s="125">
        <f t="shared" si="23"/>
        <v>0</v>
      </c>
      <c r="M219" s="125">
        <f t="shared" si="23"/>
        <v>0</v>
      </c>
      <c r="N219" s="125">
        <f t="shared" si="23"/>
        <v>0</v>
      </c>
      <c r="O219" s="125">
        <f t="shared" si="23"/>
        <v>0</v>
      </c>
      <c r="P219" s="125">
        <f t="shared" si="23"/>
        <v>0</v>
      </c>
      <c r="Q219" s="125">
        <f t="shared" si="23"/>
        <v>0</v>
      </c>
      <c r="R219" s="125">
        <f t="shared" si="23"/>
        <v>0</v>
      </c>
      <c r="S219" s="125">
        <f t="shared" si="23"/>
        <v>0</v>
      </c>
      <c r="T219" s="125">
        <f t="shared" si="23"/>
        <v>0</v>
      </c>
      <c r="U219" s="125">
        <f t="shared" si="23"/>
        <v>0</v>
      </c>
      <c r="V219" s="125">
        <f t="shared" si="23"/>
        <v>0</v>
      </c>
      <c r="W219" s="125">
        <f t="shared" si="23"/>
        <v>0</v>
      </c>
      <c r="X219" s="125">
        <f t="shared" si="23"/>
        <v>0</v>
      </c>
      <c r="Y219" s="125">
        <f t="shared" si="23"/>
        <v>0</v>
      </c>
      <c r="Z219" s="125">
        <f t="shared" si="23"/>
        <v>0</v>
      </c>
      <c r="AA219" s="125">
        <f t="shared" si="23"/>
        <v>0</v>
      </c>
      <c r="AB219" s="125">
        <f t="shared" si="23"/>
        <v>0</v>
      </c>
      <c r="AC219" s="125">
        <f t="shared" si="23"/>
        <v>0</v>
      </c>
      <c r="AD219" s="125">
        <f t="shared" si="23"/>
        <v>0</v>
      </c>
      <c r="AE219" s="125">
        <f t="shared" si="23"/>
        <v>0</v>
      </c>
      <c r="AF219" s="126">
        <f t="shared" si="23"/>
        <v>0</v>
      </c>
      <c r="AG219" s="127">
        <f t="shared" si="23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24">AF221</f>
        <v>0</v>
      </c>
      <c r="C221" s="129">
        <v>0.3</v>
      </c>
      <c r="D221" s="129">
        <f t="shared" ref="D221:P226" si="25">C221</f>
        <v>0.3</v>
      </c>
      <c r="E221" s="129">
        <f t="shared" si="25"/>
        <v>0.3</v>
      </c>
      <c r="F221" s="129">
        <f t="shared" si="25"/>
        <v>0.3</v>
      </c>
      <c r="G221" s="129">
        <f t="shared" si="25"/>
        <v>0.3</v>
      </c>
      <c r="H221" s="129">
        <f t="shared" si="25"/>
        <v>0.3</v>
      </c>
      <c r="I221" s="129">
        <f t="shared" si="25"/>
        <v>0.3</v>
      </c>
      <c r="J221" s="129">
        <f t="shared" si="25"/>
        <v>0.3</v>
      </c>
      <c r="K221" s="129">
        <f t="shared" si="25"/>
        <v>0.3</v>
      </c>
      <c r="L221" s="129">
        <f t="shared" si="25"/>
        <v>0.3</v>
      </c>
      <c r="M221" s="129">
        <f t="shared" si="25"/>
        <v>0.3</v>
      </c>
      <c r="N221" s="129">
        <f t="shared" si="25"/>
        <v>0.3</v>
      </c>
      <c r="O221" s="129">
        <f t="shared" si="25"/>
        <v>0.3</v>
      </c>
      <c r="P221" s="129">
        <f t="shared" si="25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24"/>
        <v>0</v>
      </c>
      <c r="C223" s="117">
        <v>1.5</v>
      </c>
      <c r="D223" s="117">
        <f t="shared" si="25"/>
        <v>1.5</v>
      </c>
      <c r="E223" s="117">
        <f t="shared" si="25"/>
        <v>1.5</v>
      </c>
      <c r="F223" s="117">
        <f t="shared" si="25"/>
        <v>1.5</v>
      </c>
      <c r="G223" s="117">
        <f t="shared" si="25"/>
        <v>1.5</v>
      </c>
      <c r="H223" s="117">
        <f t="shared" si="25"/>
        <v>1.5</v>
      </c>
      <c r="I223" s="117">
        <f t="shared" si="25"/>
        <v>1.5</v>
      </c>
      <c r="J223" s="117">
        <f t="shared" si="25"/>
        <v>1.5</v>
      </c>
      <c r="K223" s="117">
        <f t="shared" si="25"/>
        <v>1.5</v>
      </c>
      <c r="L223" s="117">
        <f t="shared" si="25"/>
        <v>1.5</v>
      </c>
      <c r="M223" s="117">
        <f t="shared" si="25"/>
        <v>1.5</v>
      </c>
      <c r="N223" s="117">
        <f t="shared" si="25"/>
        <v>1.5</v>
      </c>
      <c r="O223" s="117">
        <f t="shared" si="25"/>
        <v>1.5</v>
      </c>
      <c r="P223" s="117">
        <f t="shared" si="25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24"/>
        <v>0</v>
      </c>
      <c r="C224" s="117">
        <v>0.3</v>
      </c>
      <c r="D224" s="117">
        <f t="shared" si="25"/>
        <v>0.3</v>
      </c>
      <c r="E224" s="117">
        <f t="shared" si="25"/>
        <v>0.3</v>
      </c>
      <c r="F224" s="117">
        <f t="shared" si="25"/>
        <v>0.3</v>
      </c>
      <c r="G224" s="117">
        <f t="shared" si="25"/>
        <v>0.3</v>
      </c>
      <c r="H224" s="117">
        <f t="shared" si="25"/>
        <v>0.3</v>
      </c>
      <c r="I224" s="117">
        <f t="shared" si="25"/>
        <v>0.3</v>
      </c>
      <c r="J224" s="117">
        <f t="shared" si="25"/>
        <v>0.3</v>
      </c>
      <c r="K224" s="117">
        <f t="shared" si="25"/>
        <v>0.3</v>
      </c>
      <c r="L224" s="117">
        <f t="shared" si="25"/>
        <v>0.3</v>
      </c>
      <c r="M224" s="117">
        <f t="shared" si="25"/>
        <v>0.3</v>
      </c>
      <c r="N224" s="117">
        <f t="shared" si="25"/>
        <v>0.3</v>
      </c>
      <c r="O224" s="117">
        <f t="shared" si="25"/>
        <v>0.3</v>
      </c>
      <c r="P224" s="117">
        <f t="shared" si="25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24"/>
        <v>0</v>
      </c>
      <c r="C225" s="117">
        <v>0.4</v>
      </c>
      <c r="D225" s="117">
        <f t="shared" si="25"/>
        <v>0.4</v>
      </c>
      <c r="E225" s="117">
        <f t="shared" si="25"/>
        <v>0.4</v>
      </c>
      <c r="F225" s="117">
        <f t="shared" si="25"/>
        <v>0.4</v>
      </c>
      <c r="G225" s="117">
        <f t="shared" si="25"/>
        <v>0.4</v>
      </c>
      <c r="H225" s="117">
        <f t="shared" si="25"/>
        <v>0.4</v>
      </c>
      <c r="I225" s="117">
        <f t="shared" si="25"/>
        <v>0.4</v>
      </c>
      <c r="J225" s="117">
        <f t="shared" si="25"/>
        <v>0.4</v>
      </c>
      <c r="K225" s="117">
        <f t="shared" si="25"/>
        <v>0.4</v>
      </c>
      <c r="L225" s="117">
        <f t="shared" si="25"/>
        <v>0.4</v>
      </c>
      <c r="M225" s="117">
        <f t="shared" si="25"/>
        <v>0.4</v>
      </c>
      <c r="N225" s="117">
        <f t="shared" si="25"/>
        <v>0.4</v>
      </c>
      <c r="O225" s="117">
        <f t="shared" si="25"/>
        <v>0.4</v>
      </c>
      <c r="P225" s="117">
        <f t="shared" si="25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24"/>
        <v>0</v>
      </c>
      <c r="C226" s="121">
        <v>0.64</v>
      </c>
      <c r="D226" s="121">
        <f t="shared" si="25"/>
        <v>0.64</v>
      </c>
      <c r="E226" s="121">
        <f t="shared" si="25"/>
        <v>0.64</v>
      </c>
      <c r="F226" s="121">
        <f t="shared" si="25"/>
        <v>0.64</v>
      </c>
      <c r="G226" s="121">
        <f t="shared" si="25"/>
        <v>0.64</v>
      </c>
      <c r="H226" s="121">
        <f t="shared" si="25"/>
        <v>0.64</v>
      </c>
      <c r="I226" s="121">
        <f t="shared" si="25"/>
        <v>0.64</v>
      </c>
      <c r="J226" s="121">
        <f t="shared" si="25"/>
        <v>0.64</v>
      </c>
      <c r="K226" s="121">
        <f t="shared" si="25"/>
        <v>0.64</v>
      </c>
      <c r="L226" s="121">
        <f t="shared" si="25"/>
        <v>0.64</v>
      </c>
      <c r="M226" s="121">
        <f t="shared" si="25"/>
        <v>0.64</v>
      </c>
      <c r="N226" s="121">
        <f t="shared" si="25"/>
        <v>0.64</v>
      </c>
      <c r="O226" s="121">
        <f t="shared" si="25"/>
        <v>0.64</v>
      </c>
      <c r="P226" s="121">
        <f t="shared" si="25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26">SUM(B221:B226)</f>
        <v>0</v>
      </c>
      <c r="C227" s="125">
        <f t="shared" si="26"/>
        <v>3.54</v>
      </c>
      <c r="D227" s="125">
        <f t="shared" si="26"/>
        <v>3.54</v>
      </c>
      <c r="E227" s="125">
        <f t="shared" si="26"/>
        <v>3.54</v>
      </c>
      <c r="F227" s="125">
        <f t="shared" si="26"/>
        <v>3.54</v>
      </c>
      <c r="G227" s="125">
        <f t="shared" si="26"/>
        <v>3.54</v>
      </c>
      <c r="H227" s="125">
        <f t="shared" si="26"/>
        <v>3.54</v>
      </c>
      <c r="I227" s="125">
        <f t="shared" si="26"/>
        <v>3.54</v>
      </c>
      <c r="J227" s="125">
        <f t="shared" si="26"/>
        <v>3.54</v>
      </c>
      <c r="K227" s="125">
        <f t="shared" si="26"/>
        <v>3.54</v>
      </c>
      <c r="L227" s="125">
        <f t="shared" si="26"/>
        <v>3.54</v>
      </c>
      <c r="M227" s="125">
        <f t="shared" si="26"/>
        <v>3.54</v>
      </c>
      <c r="N227" s="125">
        <f t="shared" si="26"/>
        <v>3.54</v>
      </c>
      <c r="O227" s="125">
        <f t="shared" si="26"/>
        <v>3.54</v>
      </c>
      <c r="P227" s="125">
        <f t="shared" si="26"/>
        <v>3.54</v>
      </c>
      <c r="Q227" s="125">
        <f t="shared" si="26"/>
        <v>0</v>
      </c>
      <c r="R227" s="125">
        <f t="shared" si="26"/>
        <v>0</v>
      </c>
      <c r="S227" s="125">
        <f t="shared" si="26"/>
        <v>0</v>
      </c>
      <c r="T227" s="125">
        <f t="shared" si="26"/>
        <v>0</v>
      </c>
      <c r="U227" s="125">
        <f t="shared" si="26"/>
        <v>0</v>
      </c>
      <c r="V227" s="125">
        <f t="shared" si="26"/>
        <v>0</v>
      </c>
      <c r="W227" s="125">
        <f t="shared" si="26"/>
        <v>0</v>
      </c>
      <c r="X227" s="125">
        <f t="shared" si="26"/>
        <v>0</v>
      </c>
      <c r="Y227" s="125">
        <f t="shared" si="26"/>
        <v>0</v>
      </c>
      <c r="Z227" s="125">
        <f t="shared" si="26"/>
        <v>0</v>
      </c>
      <c r="AA227" s="125">
        <f t="shared" si="26"/>
        <v>0</v>
      </c>
      <c r="AB227" s="125">
        <f t="shared" si="26"/>
        <v>0</v>
      </c>
      <c r="AC227" s="125">
        <f t="shared" si="26"/>
        <v>0</v>
      </c>
      <c r="AD227" s="125">
        <f t="shared" si="26"/>
        <v>0</v>
      </c>
      <c r="AE227" s="125">
        <f t="shared" si="26"/>
        <v>0</v>
      </c>
      <c r="AF227" s="125">
        <f t="shared" si="26"/>
        <v>0</v>
      </c>
      <c r="AG227" s="134">
        <f t="shared" si="26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1627.34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17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2079/08/17)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2079/08/17)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27">B84</f>
        <v>1095.44</v>
      </c>
      <c r="U241" s="159">
        <f t="shared" si="27"/>
        <v>1065.44</v>
      </c>
      <c r="V241" s="159">
        <f t="shared" si="27"/>
        <v>1045.54</v>
      </c>
      <c r="W241" s="159">
        <f t="shared" si="27"/>
        <v>1031.3400000000001</v>
      </c>
      <c r="X241" s="159">
        <f t="shared" si="27"/>
        <v>1043.8400000000001</v>
      </c>
      <c r="Y241" s="159">
        <f t="shared" si="27"/>
        <v>1123.24</v>
      </c>
      <c r="Z241" s="159">
        <f t="shared" si="27"/>
        <v>1167.1399999999999</v>
      </c>
      <c r="AA241" s="159">
        <f t="shared" si="27"/>
        <v>1253.94</v>
      </c>
      <c r="AB241" s="159">
        <f t="shared" si="27"/>
        <v>1371.24</v>
      </c>
      <c r="AC241" s="159">
        <f t="shared" si="27"/>
        <v>1519.5399999999997</v>
      </c>
      <c r="AD241" s="159">
        <f t="shared" si="27"/>
        <v>1595.34</v>
      </c>
      <c r="AE241" s="159">
        <f t="shared" si="27"/>
        <v>1627.34</v>
      </c>
      <c r="AF241" s="159">
        <f t="shared" si="27"/>
        <v>1620.34</v>
      </c>
      <c r="AG241" s="159">
        <f t="shared" si="27"/>
        <v>1392.6399999999999</v>
      </c>
      <c r="AH241" s="159">
        <f t="shared" si="27"/>
        <v>1330.6399999999999</v>
      </c>
      <c r="AI241" s="159">
        <f t="shared" si="27"/>
        <v>1260.04</v>
      </c>
      <c r="AJ241" s="159">
        <f t="shared" si="27"/>
        <v>1239.3399999999999</v>
      </c>
      <c r="AK241" s="159">
        <f t="shared" si="27"/>
        <v>1150.54</v>
      </c>
      <c r="AL241" s="159">
        <f t="shared" si="27"/>
        <v>1073.04</v>
      </c>
      <c r="AM241" s="159">
        <f t="shared" si="27"/>
        <v>1053.94</v>
      </c>
      <c r="AN241" s="159">
        <f t="shared" si="27"/>
        <v>1399.94</v>
      </c>
      <c r="AO241" s="159">
        <f t="shared" si="27"/>
        <v>1587.24</v>
      </c>
      <c r="AP241" s="159">
        <f t="shared" si="27"/>
        <v>1554.24</v>
      </c>
      <c r="AQ241" s="159">
        <f t="shared" si="27"/>
        <v>1549.24</v>
      </c>
      <c r="AR241" s="159">
        <f t="shared" si="27"/>
        <v>1527.24</v>
      </c>
      <c r="AS241" s="159">
        <f t="shared" si="27"/>
        <v>1372.24</v>
      </c>
      <c r="AT241" s="159">
        <f t="shared" si="27"/>
        <v>1363.74</v>
      </c>
      <c r="AU241" s="159">
        <f t="shared" si="27"/>
        <v>1349.2399999999998</v>
      </c>
      <c r="AV241" s="159">
        <f t="shared" si="27"/>
        <v>1325.64</v>
      </c>
      <c r="AW241" s="159">
        <f t="shared" si="27"/>
        <v>1108.8400000000001</v>
      </c>
      <c r="AX241" s="159">
        <f t="shared" si="27"/>
        <v>1089.44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28">C226</f>
        <v>0.64</v>
      </c>
      <c r="C262" s="162">
        <f t="shared" si="28"/>
        <v>0.64</v>
      </c>
      <c r="D262" s="162">
        <f t="shared" si="28"/>
        <v>0.64</v>
      </c>
      <c r="E262" s="162">
        <f t="shared" si="28"/>
        <v>0.64</v>
      </c>
      <c r="F262" s="162">
        <f t="shared" si="28"/>
        <v>0.64</v>
      </c>
      <c r="G262" s="162">
        <f t="shared" si="28"/>
        <v>0.64</v>
      </c>
      <c r="H262" s="162">
        <f t="shared" si="28"/>
        <v>0.64</v>
      </c>
      <c r="I262" s="162">
        <f t="shared" si="28"/>
        <v>0.64</v>
      </c>
      <c r="J262" s="162">
        <f t="shared" si="28"/>
        <v>0.64</v>
      </c>
      <c r="K262" s="162">
        <f t="shared" si="28"/>
        <v>0.64</v>
      </c>
      <c r="L262" s="162">
        <f t="shared" si="28"/>
        <v>0.64</v>
      </c>
      <c r="M262" s="162">
        <f t="shared" si="28"/>
        <v>0.64</v>
      </c>
      <c r="N262" s="162">
        <f t="shared" si="28"/>
        <v>0.64</v>
      </c>
      <c r="O262" s="162">
        <f t="shared" si="28"/>
        <v>0.64</v>
      </c>
      <c r="P262" s="162">
        <f t="shared" si="28"/>
        <v>0</v>
      </c>
      <c r="Q262" s="162">
        <f t="shared" si="28"/>
        <v>0</v>
      </c>
      <c r="R262" s="162">
        <f t="shared" si="28"/>
        <v>0</v>
      </c>
      <c r="S262" s="162">
        <f t="shared" si="28"/>
        <v>0</v>
      </c>
      <c r="T262" s="162">
        <f t="shared" si="28"/>
        <v>0</v>
      </c>
      <c r="U262" s="162">
        <f t="shared" si="28"/>
        <v>0</v>
      </c>
      <c r="V262" s="162">
        <f t="shared" si="28"/>
        <v>0</v>
      </c>
      <c r="W262" s="162">
        <f t="shared" si="28"/>
        <v>0</v>
      </c>
      <c r="X262" s="162">
        <f t="shared" si="28"/>
        <v>0</v>
      </c>
      <c r="Y262" s="162">
        <f t="shared" si="28"/>
        <v>0</v>
      </c>
      <c r="Z262" s="162">
        <f t="shared" si="28"/>
        <v>0</v>
      </c>
      <c r="AA262" s="162">
        <f t="shared" si="28"/>
        <v>0</v>
      </c>
      <c r="AB262" s="162">
        <f t="shared" si="28"/>
        <v>0</v>
      </c>
      <c r="AC262" s="162">
        <f t="shared" si="28"/>
        <v>0</v>
      </c>
      <c r="AD262" s="162">
        <f t="shared" si="28"/>
        <v>0</v>
      </c>
      <c r="AE262" s="162">
        <f t="shared" si="28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29">IF(B230&lt;100,"",B230-520)</f>
        <v/>
      </c>
      <c r="C263" s="163" t="str">
        <f t="shared" si="29"/>
        <v/>
      </c>
      <c r="D263" s="163" t="str">
        <f t="shared" si="29"/>
        <v/>
      </c>
      <c r="E263" s="163" t="str">
        <f t="shared" si="29"/>
        <v/>
      </c>
      <c r="F263" s="163" t="str">
        <f t="shared" si="29"/>
        <v/>
      </c>
      <c r="G263" s="163" t="str">
        <f t="shared" si="29"/>
        <v/>
      </c>
      <c r="H263" s="163" t="str">
        <f t="shared" si="29"/>
        <v/>
      </c>
      <c r="I263" s="163" t="str">
        <f t="shared" si="29"/>
        <v/>
      </c>
      <c r="J263" s="163" t="str">
        <f t="shared" si="29"/>
        <v/>
      </c>
      <c r="K263" s="163" t="str">
        <f t="shared" si="29"/>
        <v/>
      </c>
      <c r="L263" s="163" t="str">
        <f t="shared" si="29"/>
        <v/>
      </c>
      <c r="M263" s="163" t="str">
        <f t="shared" si="29"/>
        <v/>
      </c>
      <c r="N263" s="163" t="str">
        <f t="shared" si="29"/>
        <v/>
      </c>
      <c r="O263" s="163" t="str">
        <f t="shared" si="29"/>
        <v/>
      </c>
      <c r="P263" s="163" t="str">
        <f t="shared" si="29"/>
        <v/>
      </c>
      <c r="Q263" s="163" t="str">
        <f t="shared" si="29"/>
        <v/>
      </c>
      <c r="R263" s="163" t="str">
        <f t="shared" si="29"/>
        <v/>
      </c>
      <c r="S263" s="163" t="str">
        <f t="shared" si="29"/>
        <v/>
      </c>
      <c r="T263" s="163" t="str">
        <f t="shared" si="29"/>
        <v/>
      </c>
      <c r="U263" s="163" t="str">
        <f t="shared" si="29"/>
        <v/>
      </c>
      <c r="V263" s="163" t="str">
        <f t="shared" si="29"/>
        <v/>
      </c>
      <c r="W263" s="163" t="str">
        <f t="shared" si="29"/>
        <v/>
      </c>
      <c r="X263" s="163" t="str">
        <f t="shared" si="29"/>
        <v/>
      </c>
      <c r="Y263" s="163" t="str">
        <f t="shared" si="29"/>
        <v/>
      </c>
      <c r="Z263" s="163" t="str">
        <f t="shared" si="29"/>
        <v/>
      </c>
      <c r="AA263" s="163" t="str">
        <f t="shared" si="29"/>
        <v/>
      </c>
      <c r="AB263" s="163" t="str">
        <f t="shared" si="29"/>
        <v/>
      </c>
      <c r="AC263" s="163" t="str">
        <f t="shared" si="29"/>
        <v/>
      </c>
      <c r="AD263" s="163" t="str">
        <f t="shared" si="29"/>
        <v/>
      </c>
      <c r="AE263" s="163" t="str">
        <f t="shared" si="29"/>
        <v/>
      </c>
      <c r="AF263" s="163" t="str">
        <f t="shared" si="29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30">IF(B231&lt;100,"",B231-620)</f>
        <v/>
      </c>
      <c r="C264" s="163" t="str">
        <f t="shared" si="30"/>
        <v/>
      </c>
      <c r="D264" s="163" t="str">
        <f t="shared" si="30"/>
        <v/>
      </c>
      <c r="E264" s="163" t="str">
        <f t="shared" si="30"/>
        <v/>
      </c>
      <c r="F264" s="163" t="str">
        <f t="shared" si="30"/>
        <v/>
      </c>
      <c r="G264" s="163" t="str">
        <f t="shared" si="30"/>
        <v/>
      </c>
      <c r="H264" s="163" t="str">
        <f t="shared" si="30"/>
        <v/>
      </c>
      <c r="I264" s="163" t="str">
        <f t="shared" si="30"/>
        <v/>
      </c>
      <c r="J264" s="163" t="str">
        <f t="shared" si="30"/>
        <v/>
      </c>
      <c r="K264" s="163" t="str">
        <f t="shared" si="30"/>
        <v/>
      </c>
      <c r="L264" s="163" t="str">
        <f t="shared" si="30"/>
        <v/>
      </c>
      <c r="M264" s="163" t="str">
        <f t="shared" si="30"/>
        <v/>
      </c>
      <c r="N264" s="163" t="str">
        <f t="shared" si="30"/>
        <v/>
      </c>
      <c r="O264" s="163" t="str">
        <f t="shared" si="30"/>
        <v/>
      </c>
      <c r="P264" s="163" t="str">
        <f t="shared" si="30"/>
        <v/>
      </c>
      <c r="Q264" s="163" t="str">
        <f t="shared" si="30"/>
        <v/>
      </c>
      <c r="R264" s="163" t="str">
        <f t="shared" si="30"/>
        <v/>
      </c>
      <c r="S264" s="163" t="str">
        <f t="shared" si="30"/>
        <v/>
      </c>
      <c r="T264" s="163" t="str">
        <f t="shared" si="30"/>
        <v/>
      </c>
      <c r="U264" s="163" t="str">
        <f t="shared" si="30"/>
        <v/>
      </c>
      <c r="V264" s="163" t="str">
        <f t="shared" si="30"/>
        <v/>
      </c>
      <c r="W264" s="163" t="str">
        <f t="shared" si="30"/>
        <v/>
      </c>
      <c r="X264" s="163" t="str">
        <f t="shared" si="30"/>
        <v/>
      </c>
      <c r="Y264" s="163" t="str">
        <f t="shared" si="30"/>
        <v/>
      </c>
      <c r="Z264" s="163" t="str">
        <f t="shared" si="30"/>
        <v/>
      </c>
      <c r="AA264" s="163" t="str">
        <f t="shared" si="30"/>
        <v/>
      </c>
      <c r="AB264" s="163" t="str">
        <f t="shared" si="30"/>
        <v/>
      </c>
      <c r="AC264" s="163" t="str">
        <f t="shared" si="30"/>
        <v/>
      </c>
      <c r="AD264" s="163" t="str">
        <f t="shared" si="30"/>
        <v/>
      </c>
      <c r="AE264" s="163" t="str">
        <f t="shared" si="30"/>
        <v/>
      </c>
      <c r="AF264" s="163" t="str">
        <f t="shared" si="30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31">IF(B232&lt;100,"",B232-330)</f>
        <v/>
      </c>
      <c r="C265" s="163" t="str">
        <f t="shared" si="31"/>
        <v/>
      </c>
      <c r="D265" s="163" t="str">
        <f t="shared" si="31"/>
        <v/>
      </c>
      <c r="E265" s="163" t="str">
        <f t="shared" si="31"/>
        <v/>
      </c>
      <c r="F265" s="163" t="str">
        <f t="shared" si="31"/>
        <v/>
      </c>
      <c r="G265" s="163" t="str">
        <f t="shared" si="31"/>
        <v/>
      </c>
      <c r="H265" s="163" t="str">
        <f t="shared" si="31"/>
        <v/>
      </c>
      <c r="I265" s="163" t="str">
        <f t="shared" si="31"/>
        <v/>
      </c>
      <c r="J265" s="163" t="str">
        <f t="shared" si="31"/>
        <v/>
      </c>
      <c r="K265" s="163" t="str">
        <f t="shared" si="31"/>
        <v/>
      </c>
      <c r="L265" s="163" t="str">
        <f t="shared" si="31"/>
        <v/>
      </c>
      <c r="M265" s="163" t="str">
        <f t="shared" si="31"/>
        <v/>
      </c>
      <c r="N265" s="163" t="str">
        <f t="shared" si="31"/>
        <v/>
      </c>
      <c r="O265" s="163" t="str">
        <f t="shared" si="31"/>
        <v/>
      </c>
      <c r="P265" s="163" t="str">
        <f t="shared" si="31"/>
        <v/>
      </c>
      <c r="Q265" s="163" t="str">
        <f t="shared" si="31"/>
        <v/>
      </c>
      <c r="R265" s="163" t="str">
        <f t="shared" si="31"/>
        <v/>
      </c>
      <c r="S265" s="163" t="str">
        <f t="shared" si="31"/>
        <v/>
      </c>
      <c r="T265" s="163" t="str">
        <f t="shared" si="31"/>
        <v/>
      </c>
      <c r="U265" s="163" t="str">
        <f t="shared" si="31"/>
        <v/>
      </c>
      <c r="V265" s="163" t="str">
        <f t="shared" si="31"/>
        <v/>
      </c>
      <c r="W265" s="163" t="str">
        <f t="shared" si="31"/>
        <v/>
      </c>
      <c r="X265" s="163" t="str">
        <f t="shared" si="31"/>
        <v/>
      </c>
      <c r="Y265" s="163" t="str">
        <f t="shared" si="31"/>
        <v/>
      </c>
      <c r="Z265" s="163" t="str">
        <f t="shared" si="31"/>
        <v/>
      </c>
      <c r="AA265" s="163" t="str">
        <f t="shared" si="31"/>
        <v/>
      </c>
      <c r="AB265" s="163" t="str">
        <f t="shared" si="31"/>
        <v/>
      </c>
      <c r="AC265" s="163" t="str">
        <f t="shared" si="31"/>
        <v/>
      </c>
      <c r="AD265" s="163" t="str">
        <f t="shared" si="31"/>
        <v/>
      </c>
      <c r="AE265" s="163" t="str">
        <f t="shared" si="31"/>
        <v/>
      </c>
      <c r="AF265" s="163" t="str">
        <f t="shared" si="31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32">IF(B233&lt;100,"",B233-1500)</f>
        <v/>
      </c>
      <c r="C266" s="163" t="str">
        <f t="shared" si="32"/>
        <v/>
      </c>
      <c r="D266" s="163" t="str">
        <f t="shared" si="32"/>
        <v/>
      </c>
      <c r="E266" s="163" t="str">
        <f t="shared" si="32"/>
        <v/>
      </c>
      <c r="F266" s="163" t="str">
        <f t="shared" si="32"/>
        <v/>
      </c>
      <c r="G266" s="163" t="str">
        <f t="shared" si="32"/>
        <v/>
      </c>
      <c r="H266" s="163" t="str">
        <f t="shared" si="32"/>
        <v/>
      </c>
      <c r="I266" s="163" t="str">
        <f t="shared" si="32"/>
        <v/>
      </c>
      <c r="J266" s="163" t="str">
        <f t="shared" si="32"/>
        <v/>
      </c>
      <c r="K266" s="163" t="str">
        <f t="shared" si="32"/>
        <v/>
      </c>
      <c r="L266" s="163" t="str">
        <f t="shared" si="32"/>
        <v/>
      </c>
      <c r="M266" s="163" t="str">
        <f t="shared" si="32"/>
        <v/>
      </c>
      <c r="N266" s="163" t="str">
        <f t="shared" si="32"/>
        <v/>
      </c>
      <c r="O266" s="163" t="str">
        <f t="shared" si="32"/>
        <v/>
      </c>
      <c r="P266" s="163" t="str">
        <f t="shared" si="32"/>
        <v/>
      </c>
      <c r="Q266" s="163" t="str">
        <f t="shared" si="32"/>
        <v/>
      </c>
      <c r="R266" s="163" t="str">
        <f t="shared" si="32"/>
        <v/>
      </c>
      <c r="S266" s="163" t="str">
        <f t="shared" si="32"/>
        <v/>
      </c>
      <c r="T266" s="163" t="str">
        <f t="shared" si="32"/>
        <v/>
      </c>
      <c r="U266" s="163" t="str">
        <f t="shared" si="32"/>
        <v/>
      </c>
      <c r="V266" s="163" t="str">
        <f t="shared" si="32"/>
        <v/>
      </c>
      <c r="W266" s="163" t="str">
        <f t="shared" si="32"/>
        <v/>
      </c>
      <c r="X266" s="163" t="str">
        <f t="shared" si="32"/>
        <v/>
      </c>
      <c r="Y266" s="163" t="str">
        <f t="shared" si="32"/>
        <v/>
      </c>
      <c r="Z266" s="163" t="str">
        <f t="shared" si="32"/>
        <v/>
      </c>
      <c r="AA266" s="163" t="str">
        <f t="shared" si="32"/>
        <v/>
      </c>
      <c r="AB266" s="163" t="str">
        <f t="shared" si="32"/>
        <v/>
      </c>
      <c r="AC266" s="163" t="str">
        <f t="shared" si="32"/>
        <v/>
      </c>
      <c r="AD266" s="163" t="str">
        <f t="shared" si="32"/>
        <v/>
      </c>
      <c r="AE266" s="163" t="str">
        <f t="shared" si="32"/>
        <v/>
      </c>
      <c r="AF266" s="163" t="str">
        <f t="shared" si="32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AC11:AF11 B15:AF15 B17:AF18 B22:AF26 C104:AF104 C106:AF111">
    <cfRule type="expression" dxfId="5016" priority="239">
      <formula>B$9&gt;=20/24</formula>
    </cfRule>
    <cfRule type="expression" dxfId="5015" priority="240">
      <formula>AND(B$9&gt;=14/24,B$9&lt;20/24)</formula>
    </cfRule>
    <cfRule type="expression" dxfId="5014" priority="241">
      <formula>AND(B$9&gt;=8/24,B$9&lt;14/24)</formula>
    </cfRule>
    <cfRule type="expression" dxfId="5013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2:AF42">
    <cfRule type="expression" dxfId="5012" priority="234">
      <formula>S$9&gt;=20/24</formula>
    </cfRule>
    <cfRule type="expression" dxfId="5011" priority="235">
      <formula>AND(S$9&gt;=14/24,S$9&lt;20/24)</formula>
    </cfRule>
    <cfRule type="expression" dxfId="5010" priority="236">
      <formula>AND(S$9&gt;=8/24,S$9&lt;14/24)</formula>
    </cfRule>
    <cfRule type="expression" dxfId="5009" priority="237">
      <formula>S$9&lt;8/24</formula>
    </cfRule>
  </conditionalFormatting>
  <conditionalFormatting sqref="AG60 B12:AB18 B20:AF20 B22:AF26 B40:AF40 S42:AF42 AC11:AF18">
    <cfRule type="expression" dxfId="5008" priority="233">
      <formula>B11&gt;$AG11</formula>
    </cfRule>
  </conditionalFormatting>
  <conditionalFormatting sqref="A94:A104 A54:A81 A90:A92 A197:A227 A41:A52 A113:A184 A37:A38 A86:A88 A83:A84 A106:A108 A34:A35 A20:A32 A17:A18 A11:A15">
    <cfRule type="expression" dxfId="5007" priority="232">
      <formula>$AH11=0</formula>
    </cfRule>
  </conditionalFormatting>
  <conditionalFormatting sqref="A109">
    <cfRule type="expression" dxfId="5006" priority="231">
      <formula>$AH109=0</formula>
    </cfRule>
  </conditionalFormatting>
  <conditionalFormatting sqref="AL38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5005" priority="229">
      <formula>$AH40=0</formula>
    </cfRule>
  </conditionalFormatting>
  <conditionalFormatting sqref="A93">
    <cfRule type="expression" dxfId="5004" priority="228">
      <formula>$AH93=0</formula>
    </cfRule>
  </conditionalFormatting>
  <conditionalFormatting sqref="A16">
    <cfRule type="expression" dxfId="5003" priority="227">
      <formula>$AH16=0</formula>
    </cfRule>
  </conditionalFormatting>
  <conditionalFormatting sqref="A191:A196">
    <cfRule type="expression" dxfId="5002" priority="226">
      <formula>$AH191=0</formula>
    </cfRule>
  </conditionalFormatting>
  <conditionalFormatting sqref="A185:A190">
    <cfRule type="expression" dxfId="5001" priority="225">
      <formula>$AH185=0</formula>
    </cfRule>
  </conditionalFormatting>
  <conditionalFormatting sqref="A53">
    <cfRule type="expression" dxfId="5000" priority="224">
      <formula>$AH53=0</formula>
    </cfRule>
  </conditionalFormatting>
  <conditionalFormatting sqref="A89">
    <cfRule type="expression" dxfId="4999" priority="223">
      <formula>$AH89=0</formula>
    </cfRule>
  </conditionalFormatting>
  <conditionalFormatting sqref="C94:AF94">
    <cfRule type="expression" dxfId="4998" priority="219">
      <formula>C$9&gt;=20/24</formula>
    </cfRule>
    <cfRule type="expression" dxfId="4997" priority="220">
      <formula>AND(C$9&gt;=14/24,C$9&lt;20/24)</formula>
    </cfRule>
    <cfRule type="expression" dxfId="4996" priority="221">
      <formula>AND(C$9&gt;=8/24,C$9&lt;14/24)</formula>
    </cfRule>
    <cfRule type="expression" dxfId="4995" priority="222">
      <formula>C$9&lt;8/24</formula>
    </cfRule>
  </conditionalFormatting>
  <conditionalFormatting sqref="AL39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994" priority="245">
      <formula>C$9&gt;=20/24</formula>
    </cfRule>
    <cfRule type="expression" dxfId="4993" priority="246">
      <formula>AND(C$9&gt;=14/24,C$9&lt;20/24)</formula>
    </cfRule>
    <cfRule type="expression" dxfId="4992" priority="247">
      <formula>AND(C$9&gt;=8/24,C$9&lt;14/24)</formula>
    </cfRule>
    <cfRule type="expression" dxfId="4991" priority="248">
      <formula>C$9&lt;8/24</formula>
    </cfRule>
  </conditionalFormatting>
  <conditionalFormatting sqref="A228">
    <cfRule type="expression" dxfId="4990" priority="249">
      <formula>$AH228=0</formula>
    </cfRule>
  </conditionalFormatting>
  <conditionalFormatting sqref="AG240">
    <cfRule type="expression" dxfId="4989" priority="250">
      <formula>B$9&gt;=20/24</formula>
    </cfRule>
    <cfRule type="expression" dxfId="4988" priority="251">
      <formula>AND(B$9&gt;=14/24,B$9&lt;20/24)</formula>
    </cfRule>
    <cfRule type="expression" dxfId="4987" priority="252">
      <formula>AND(B$9&gt;=8/24,B$9&lt;14/24)</formula>
    </cfRule>
    <cfRule type="expression" dxfId="4986" priority="253">
      <formula>B$9&lt;8/24</formula>
    </cfRule>
  </conditionalFormatting>
  <conditionalFormatting sqref="S8">
    <cfRule type="expression" dxfId="4985" priority="214">
      <formula>U$9&gt;=20/24</formula>
    </cfRule>
    <cfRule type="expression" dxfId="4984" priority="215">
      <formula>AND(U$9&gt;=14/24,U$9&lt;20/24)</formula>
    </cfRule>
    <cfRule type="expression" dxfId="4983" priority="216">
      <formula>AND(U$9&gt;=8/24,U$9&lt;14/24)</formula>
    </cfRule>
    <cfRule type="expression" dxfId="4982" priority="217">
      <formula>U$9&lt;8/24</formula>
    </cfRule>
  </conditionalFormatting>
  <conditionalFormatting sqref="AB8">
    <cfRule type="expression" dxfId="4981" priority="210">
      <formula>AD$9&gt;=20/24</formula>
    </cfRule>
    <cfRule type="expression" dxfId="4980" priority="211">
      <formula>AND(AD$9&gt;=14/24,AD$9&lt;20/24)</formula>
    </cfRule>
    <cfRule type="expression" dxfId="4979" priority="212">
      <formula>AND(AD$9&gt;=8/24,AD$9&lt;14/24)</formula>
    </cfRule>
    <cfRule type="expression" dxfId="4978" priority="213">
      <formula>AD$9&lt;8/24</formula>
    </cfRule>
  </conditionalFormatting>
  <conditionalFormatting sqref="AH240:AX240">
    <cfRule type="expression" dxfId="4977" priority="254">
      <formula>AG$9&gt;=20/24</formula>
    </cfRule>
    <cfRule type="expression" dxfId="4976" priority="255">
      <formula>AND(AG$9&gt;=14/24,AG$9&lt;20/24)</formula>
    </cfRule>
    <cfRule type="expression" dxfId="4975" priority="256">
      <formula>AND(AG$9&gt;=8/24,AG$9&lt;14/24)</formula>
    </cfRule>
    <cfRule type="expression" dxfId="4974" priority="257">
      <formula>AG$9&lt;8/24</formula>
    </cfRule>
  </conditionalFormatting>
  <conditionalFormatting sqref="T240">
    <cfRule type="expression" dxfId="4973" priority="258">
      <formula>AX$9&gt;=20/24</formula>
    </cfRule>
    <cfRule type="expression" dxfId="4972" priority="259">
      <formula>AND(AX$9&gt;=14/24,AX$9&lt;20/24)</formula>
    </cfRule>
    <cfRule type="expression" dxfId="4971" priority="260">
      <formula>AND(AX$9&gt;=8/24,AX$9&lt;14/24)</formula>
    </cfRule>
    <cfRule type="expression" dxfId="4970" priority="261">
      <formula>AX$9&lt;8/24</formula>
    </cfRule>
  </conditionalFormatting>
  <conditionalFormatting sqref="A110:A111">
    <cfRule type="expression" dxfId="4969" priority="209">
      <formula>$AH110=0</formula>
    </cfRule>
  </conditionalFormatting>
  <conditionalFormatting sqref="E49:P50 S49:AF50 E66:AF66">
    <cfRule type="expression" dxfId="4968" priority="205">
      <formula>E$9&gt;=20/24</formula>
    </cfRule>
    <cfRule type="expression" dxfId="4967" priority="206">
      <formula>AND(E$9&gt;=14/24,E$9&lt;20/24)</formula>
    </cfRule>
    <cfRule type="expression" dxfId="4966" priority="207">
      <formula>AND(E$9&gt;=8/24,E$9&lt;14/24)</formula>
    </cfRule>
    <cfRule type="expression" dxfId="4965" priority="208">
      <formula>E$9&lt;8/24</formula>
    </cfRule>
  </conditionalFormatting>
  <conditionalFormatting sqref="E48:P48 S48:AF48">
    <cfRule type="expression" dxfId="4964" priority="201">
      <formula>E$9&gt;=20/24</formula>
    </cfRule>
    <cfRule type="expression" dxfId="4963" priority="202">
      <formula>AND(E$9&gt;=14/24,E$9&lt;20/24)</formula>
    </cfRule>
    <cfRule type="expression" dxfId="4962" priority="203">
      <formula>AND(E$9&gt;=8/24,E$9&lt;14/24)</formula>
    </cfRule>
    <cfRule type="expression" dxfId="4961" priority="204">
      <formula>E$9&lt;8/24</formula>
    </cfRule>
  </conditionalFormatting>
  <conditionalFormatting sqref="E48:P50 S48:AF50">
    <cfRule type="expression" dxfId="4960" priority="200">
      <formula>E48&gt;$AG48</formula>
    </cfRule>
  </conditionalFormatting>
  <conditionalFormatting sqref="C91:AF91 C81:AF81 L42:R42 E67:T68 AC28:AF30 AC32:AF32 AC12:AF14 AC20:AF20 AC34:AF37 S62:AF64 U67:AF76 M78:AF80 D95:AF101">
    <cfRule type="expression" dxfId="4959" priority="196">
      <formula>C$9&gt;=20/24</formula>
    </cfRule>
    <cfRule type="expression" dxfId="4958" priority="197">
      <formula>AND(C$9&gt;=14/24,C$9&lt;20/24)</formula>
    </cfRule>
    <cfRule type="expression" dxfId="4957" priority="198">
      <formula>AND(C$9&gt;=8/24,C$9&lt;14/24)</formula>
    </cfRule>
    <cfRule type="expression" dxfId="4956" priority="199">
      <formula>C$9&lt;8/24</formula>
    </cfRule>
  </conditionalFormatting>
  <conditionalFormatting sqref="AC38:AF38">
    <cfRule type="expression" dxfId="4955" priority="192">
      <formula>AC$9&gt;=20/24</formula>
    </cfRule>
    <cfRule type="expression" dxfId="4954" priority="193">
      <formula>AND(AC$9&gt;=14/24,AC$9&lt;20/24)</formula>
    </cfRule>
    <cfRule type="expression" dxfId="4953" priority="194">
      <formula>AND(AC$9&gt;=8/24,AC$9&lt;14/24)</formula>
    </cfRule>
    <cfRule type="expression" dxfId="4952" priority="195">
      <formula>AC$9&lt;8/24</formula>
    </cfRule>
  </conditionalFormatting>
  <conditionalFormatting sqref="C60:AF60 L42:R42 E51:U51 AC28:AF32 AC34:AF38 AC51:AF52 S62:AF64">
    <cfRule type="expression" dxfId="4951" priority="191">
      <formula>C28&gt;$AG28</formula>
    </cfRule>
  </conditionalFormatting>
  <conditionalFormatting sqref="AC40:AF40">
    <cfRule type="expression" dxfId="4950" priority="187">
      <formula>AC$9&gt;=20/24</formula>
    </cfRule>
    <cfRule type="expression" dxfId="4949" priority="188">
      <formula>AND(AC$9&gt;=14/24,AC$9&lt;20/24)</formula>
    </cfRule>
    <cfRule type="expression" dxfId="4948" priority="189">
      <formula>AND(AC$9&gt;=8/24,AC$9&lt;14/24)</formula>
    </cfRule>
    <cfRule type="expression" dxfId="4947" priority="190">
      <formula>AC$9&lt;8/24</formula>
    </cfRule>
  </conditionalFormatting>
  <conditionalFormatting sqref="AC16:AF16">
    <cfRule type="expression" dxfId="4946" priority="183">
      <formula>AC$9&gt;=20/24</formula>
    </cfRule>
    <cfRule type="expression" dxfId="4945" priority="184">
      <formula>AND(AC$9&gt;=14/24,AC$9&lt;20/24)</formula>
    </cfRule>
    <cfRule type="expression" dxfId="4944" priority="185">
      <formula>AND(AC$9&gt;=8/24,AC$9&lt;14/24)</formula>
    </cfRule>
    <cfRule type="expression" dxfId="4943" priority="186">
      <formula>AC$9&lt;8/24</formula>
    </cfRule>
  </conditionalFormatting>
  <conditionalFormatting sqref="AC39:AF39">
    <cfRule type="expression" dxfId="4942" priority="179">
      <formula>AC$9&gt;=20/24</formula>
    </cfRule>
    <cfRule type="expression" dxfId="4941" priority="180">
      <formula>AND(AC$9&gt;=14/24,AC$9&lt;20/24)</formula>
    </cfRule>
    <cfRule type="expression" dxfId="4940" priority="181">
      <formula>AND(AC$9&gt;=8/24,AC$9&lt;14/24)</formula>
    </cfRule>
    <cfRule type="expression" dxfId="4939" priority="182">
      <formula>AC$9&lt;8/24</formula>
    </cfRule>
  </conditionalFormatting>
  <conditionalFormatting sqref="AC39:AF39">
    <cfRule type="expression" dxfId="4938" priority="178">
      <formula>AC39&gt;$AG39</formula>
    </cfRule>
  </conditionalFormatting>
  <conditionalFormatting sqref="AC53:AF59 V51:AB52">
    <cfRule type="expression" dxfId="4937" priority="174">
      <formula>V$9&gt;=20/24</formula>
    </cfRule>
    <cfRule type="expression" dxfId="4936" priority="175">
      <formula>AND(V$9&gt;=14/24,V$9&lt;20/24)</formula>
    </cfRule>
    <cfRule type="expression" dxfId="4935" priority="176">
      <formula>AND(V$9&gt;=8/24,V$9&lt;14/24)</formula>
    </cfRule>
    <cfRule type="expression" dxfId="4934" priority="177">
      <formula>V$9&lt;8/24</formula>
    </cfRule>
  </conditionalFormatting>
  <conditionalFormatting sqref="AC53:AF59 V51:AB52">
    <cfRule type="expression" dxfId="4933" priority="173">
      <formula>V51&gt;$AG51</formula>
    </cfRule>
  </conditionalFormatting>
  <conditionalFormatting sqref="Q48:R50 V53:AB53">
    <cfRule type="expression" dxfId="4932" priority="169">
      <formula>Q$9&gt;=20/24</formula>
    </cfRule>
    <cfRule type="expression" dxfId="4931" priority="170">
      <formula>AND(Q$9&gt;=14/24,Q$9&lt;20/24)</formula>
    </cfRule>
    <cfRule type="expression" dxfId="4930" priority="171">
      <formula>AND(Q$9&gt;=8/24,Q$9&lt;14/24)</formula>
    </cfRule>
    <cfRule type="expression" dxfId="4929" priority="172">
      <formula>Q$9&lt;8/24</formula>
    </cfRule>
  </conditionalFormatting>
  <conditionalFormatting sqref="Q48:R50 V53:AB53">
    <cfRule type="expression" dxfId="4928" priority="168">
      <formula>Q48&gt;$AG48</formula>
    </cfRule>
  </conditionalFormatting>
  <conditionalFormatting sqref="AC31:AF31">
    <cfRule type="expression" dxfId="4927" priority="164">
      <formula>AC$9&gt;=20/24</formula>
    </cfRule>
    <cfRule type="expression" dxfId="4926" priority="165">
      <formula>AND(AC$9&gt;=14/24,AC$9&lt;20/24)</formula>
    </cfRule>
    <cfRule type="expression" dxfId="4925" priority="166">
      <formula>AND(AC$9&gt;=8/24,AC$9&lt;14/24)</formula>
    </cfRule>
    <cfRule type="expression" dxfId="4924" priority="167">
      <formula>AC$9&lt;8/24</formula>
    </cfRule>
  </conditionalFormatting>
  <conditionalFormatting sqref="AC21:AF21 AC27:AF27">
    <cfRule type="expression" dxfId="4923" priority="160">
      <formula>AC$9&gt;=20/24</formula>
    </cfRule>
    <cfRule type="expression" dxfId="4922" priority="161">
      <formula>AND(AC$9&gt;=14/24,AC$9&lt;20/24)</formula>
    </cfRule>
    <cfRule type="expression" dxfId="4921" priority="162">
      <formula>AND(AC$9&gt;=8/24,AC$9&lt;14/24)</formula>
    </cfRule>
    <cfRule type="expression" dxfId="4920" priority="163">
      <formula>AC$9&lt;8/24</formula>
    </cfRule>
  </conditionalFormatting>
  <conditionalFormatting sqref="AC21:AF21 AC27:AF27">
    <cfRule type="expression" dxfId="4919" priority="159">
      <formula>AC21&gt;$AG21</formula>
    </cfRule>
  </conditionalFormatting>
  <conditionalFormatting sqref="D48">
    <cfRule type="expression" dxfId="4918" priority="155">
      <formula>D$9&gt;=20/24</formula>
    </cfRule>
    <cfRule type="expression" dxfId="4917" priority="156">
      <formula>AND(D$9&gt;=14/24,D$9&lt;20/24)</formula>
    </cfRule>
    <cfRule type="expression" dxfId="4916" priority="157">
      <formula>AND(D$9&gt;=8/24,D$9&lt;14/24)</formula>
    </cfRule>
    <cfRule type="expression" dxfId="4915" priority="158">
      <formula>D$9&lt;8/24</formula>
    </cfRule>
  </conditionalFormatting>
  <conditionalFormatting sqref="D48">
    <cfRule type="expression" dxfId="4914" priority="154">
      <formula>D48&gt;$AG48</formula>
    </cfRule>
  </conditionalFormatting>
  <conditionalFormatting sqref="B104 B83:AF83 B92:AF92 B106:B111 B11:AB11">
    <cfRule type="expression" dxfId="4913" priority="141">
      <formula>B$9&gt;=20/24</formula>
    </cfRule>
    <cfRule type="expression" dxfId="4912" priority="142">
      <formula>AND(B$9&gt;=14/24,B$9&lt;20/24)</formula>
    </cfRule>
    <cfRule type="expression" dxfId="4911" priority="143">
      <formula>AND(B$9&gt;=8/24,B$9&lt;14/24)</formula>
    </cfRule>
    <cfRule type="expression" dxfId="4910" priority="144">
      <formula>B$9&lt;8/24</formula>
    </cfRule>
  </conditionalFormatting>
  <conditionalFormatting sqref="B42:K42">
    <cfRule type="expression" dxfId="4909" priority="137">
      <formula>B$9&gt;=20/24</formula>
    </cfRule>
    <cfRule type="expression" dxfId="4908" priority="138">
      <formula>AND(B$9&gt;=14/24,B$9&lt;20/24)</formula>
    </cfRule>
    <cfRule type="expression" dxfId="4907" priority="139">
      <formula>AND(B$9&gt;=8/24,B$9&lt;14/24)</formula>
    </cfRule>
    <cfRule type="expression" dxfId="4906" priority="140">
      <formula>B$9&lt;8/24</formula>
    </cfRule>
  </conditionalFormatting>
  <conditionalFormatting sqref="B42:K42 B11:AB11">
    <cfRule type="expression" dxfId="4905" priority="136">
      <formula>B11&gt;$AG11</formula>
    </cfRule>
  </conditionalFormatting>
  <conditionalFormatting sqref="B94">
    <cfRule type="expression" dxfId="4904" priority="132">
      <formula>B$9&gt;=20/24</formula>
    </cfRule>
    <cfRule type="expression" dxfId="4903" priority="133">
      <formula>AND(B$9&gt;=14/24,B$9&lt;20/24)</formula>
    </cfRule>
    <cfRule type="expression" dxfId="4902" priority="134">
      <formula>AND(B$9&gt;=8/24,B$9&lt;14/24)</formula>
    </cfRule>
    <cfRule type="expression" dxfId="4901" priority="135">
      <formula>B$9&lt;8/24</formula>
    </cfRule>
  </conditionalFormatting>
  <conditionalFormatting sqref="B66:D66 B49:D50 B41:AF41">
    <cfRule type="expression" dxfId="4900" priority="128">
      <formula>B$9&gt;=20/24</formula>
    </cfRule>
    <cfRule type="expression" dxfId="4899" priority="129">
      <formula>AND(B$9&gt;=14/24,B$9&lt;20/24)</formula>
    </cfRule>
    <cfRule type="expression" dxfId="4898" priority="130">
      <formula>AND(B$9&gt;=8/24,B$9&lt;14/24)</formula>
    </cfRule>
    <cfRule type="expression" dxfId="4897" priority="131">
      <formula>B$9&lt;8/24</formula>
    </cfRule>
  </conditionalFormatting>
  <conditionalFormatting sqref="B48:C48">
    <cfRule type="expression" dxfId="4896" priority="124">
      <formula>B$9&gt;=20/24</formula>
    </cfRule>
    <cfRule type="expression" dxfId="4895" priority="125">
      <formula>AND(B$9&gt;=14/24,B$9&lt;20/24)</formula>
    </cfRule>
    <cfRule type="expression" dxfId="4894" priority="126">
      <formula>AND(B$9&gt;=8/24,B$9&lt;14/24)</formula>
    </cfRule>
    <cfRule type="expression" dxfId="4893" priority="127">
      <formula>B$9&lt;8/24</formula>
    </cfRule>
  </conditionalFormatting>
  <conditionalFormatting sqref="D49:D50 B48:C50 B41:AF41">
    <cfRule type="expression" dxfId="4892" priority="123">
      <formula>B41&gt;$AG41</formula>
    </cfRule>
  </conditionalFormatting>
  <conditionalFormatting sqref="B62:B65 B78:B82 B84:AF84 B91 C65:AG65 C82:AG82 B93:AF93 B95:C101 B67:D76 C78:L80 C62:R64 E69:T76 B12:AB14 B20:AB20 B28:AB30 B32:AB32 B34:AB37 AC14:AD14">
    <cfRule type="expression" dxfId="4891" priority="119">
      <formula>B$9&gt;=20/24</formula>
    </cfRule>
    <cfRule type="expression" dxfId="4890" priority="120">
      <formula>AND(B$9&gt;=14/24,B$9&lt;20/24)</formula>
    </cfRule>
    <cfRule type="expression" dxfId="4889" priority="121">
      <formula>AND(B$9&gt;=8/24,B$9&lt;14/24)</formula>
    </cfRule>
    <cfRule type="expression" dxfId="4888" priority="122">
      <formula>B$9&lt;8/24</formula>
    </cfRule>
  </conditionalFormatting>
  <conditionalFormatting sqref="B38:AB38">
    <cfRule type="expression" dxfId="4887" priority="115">
      <formula>B$9&gt;=20/24</formula>
    </cfRule>
    <cfRule type="expression" dxfId="4886" priority="116">
      <formula>AND(B$9&gt;=14/24,B$9&lt;20/24)</formula>
    </cfRule>
    <cfRule type="expression" dxfId="4885" priority="117">
      <formula>AND(B$9&gt;=8/24,B$9&lt;14/24)</formula>
    </cfRule>
    <cfRule type="expression" dxfId="4884" priority="118">
      <formula>B$9&lt;8/24</formula>
    </cfRule>
  </conditionalFormatting>
  <conditionalFormatting sqref="B60:B65 B43:AG43 C61:AG61 C65:AG65 C62:R64 B51:D52 E52:U52 B28:AB32 B34:AB38">
    <cfRule type="expression" dxfId="4883" priority="114">
      <formula>B28&gt;$AG28</formula>
    </cfRule>
  </conditionalFormatting>
  <conditionalFormatting sqref="B40:AB40">
    <cfRule type="expression" dxfId="4882" priority="110">
      <formula>B$9&gt;=20/24</formula>
    </cfRule>
    <cfRule type="expression" dxfId="4881" priority="111">
      <formula>AND(B$9&gt;=14/24,B$9&lt;20/24)</formula>
    </cfRule>
    <cfRule type="expression" dxfId="4880" priority="112">
      <formula>AND(B$9&gt;=8/24,B$9&lt;14/24)</formula>
    </cfRule>
    <cfRule type="expression" dxfId="4879" priority="113">
      <formula>B$9&lt;8/24</formula>
    </cfRule>
  </conditionalFormatting>
  <conditionalFormatting sqref="B16:AB16">
    <cfRule type="expression" dxfId="4878" priority="106">
      <formula>B$9&gt;=20/24</formula>
    </cfRule>
    <cfRule type="expression" dxfId="4877" priority="107">
      <formula>AND(B$9&gt;=14/24,B$9&lt;20/24)</formula>
    </cfRule>
    <cfRule type="expression" dxfId="4876" priority="108">
      <formula>AND(B$9&gt;=8/24,B$9&lt;14/24)</formula>
    </cfRule>
    <cfRule type="expression" dxfId="4875" priority="109">
      <formula>B$9&lt;8/24</formula>
    </cfRule>
  </conditionalFormatting>
  <conditionalFormatting sqref="B39:AB39">
    <cfRule type="expression" dxfId="4874" priority="102">
      <formula>B$9&gt;=20/24</formula>
    </cfRule>
    <cfRule type="expression" dxfId="4873" priority="103">
      <formula>AND(B$9&gt;=14/24,B$9&lt;20/24)</formula>
    </cfRule>
    <cfRule type="expression" dxfId="4872" priority="104">
      <formula>AND(B$9&gt;=8/24,B$9&lt;14/24)</formula>
    </cfRule>
    <cfRule type="expression" dxfId="4871" priority="105">
      <formula>B$9&lt;8/24</formula>
    </cfRule>
  </conditionalFormatting>
  <conditionalFormatting sqref="B39:AB39">
    <cfRule type="expression" dxfId="4870" priority="101">
      <formula>B39&gt;$AG39</formula>
    </cfRule>
  </conditionalFormatting>
  <conditionalFormatting sqref="B53:U59 V54:AB59">
    <cfRule type="expression" dxfId="4869" priority="97">
      <formula>B$9&gt;=20/24</formula>
    </cfRule>
    <cfRule type="expression" dxfId="4868" priority="98">
      <formula>AND(B$9&gt;=14/24,B$9&lt;20/24)</formula>
    </cfRule>
    <cfRule type="expression" dxfId="4867" priority="99">
      <formula>AND(B$9&gt;=8/24,B$9&lt;14/24)</formula>
    </cfRule>
    <cfRule type="expression" dxfId="4866" priority="100">
      <formula>B$9&lt;8/24</formula>
    </cfRule>
  </conditionalFormatting>
  <conditionalFormatting sqref="B53:U59 V54:AB59">
    <cfRule type="expression" dxfId="4865" priority="96">
      <formula>B53&gt;$AG53</formula>
    </cfRule>
  </conditionalFormatting>
  <conditionalFormatting sqref="B31:AB31">
    <cfRule type="expression" dxfId="4864" priority="92">
      <formula>B$9&gt;=20/24</formula>
    </cfRule>
    <cfRule type="expression" dxfId="4863" priority="93">
      <formula>AND(B$9&gt;=14/24,B$9&lt;20/24)</formula>
    </cfRule>
    <cfRule type="expression" dxfId="4862" priority="94">
      <formula>AND(B$9&gt;=8/24,B$9&lt;14/24)</formula>
    </cfRule>
    <cfRule type="expression" dxfId="4861" priority="95">
      <formula>B$9&lt;8/24</formula>
    </cfRule>
  </conditionalFormatting>
  <conditionalFormatting sqref="B21:AB21 B27:AB27">
    <cfRule type="expression" dxfId="4860" priority="88">
      <formula>B$9&gt;=20/24</formula>
    </cfRule>
    <cfRule type="expression" dxfId="4859" priority="89">
      <formula>AND(B$9&gt;=14/24,B$9&lt;20/24)</formula>
    </cfRule>
    <cfRule type="expression" dxfId="4858" priority="90">
      <formula>AND(B$9&gt;=8/24,B$9&lt;14/24)</formula>
    </cfRule>
    <cfRule type="expression" dxfId="4857" priority="91">
      <formula>B$9&lt;8/24</formula>
    </cfRule>
  </conditionalFormatting>
  <conditionalFormatting sqref="B21:AB21 B27:AB27">
    <cfRule type="expression" dxfId="4856" priority="87">
      <formula>B21&gt;$AG21</formula>
    </cfRule>
  </conditionalFormatting>
  <conditionalFormatting sqref="A39">
    <cfRule type="expression" dxfId="4855" priority="86">
      <formula>$AH39=0</formula>
    </cfRule>
  </conditionalFormatting>
  <conditionalFormatting sqref="B77:AF77">
    <cfRule type="expression" dxfId="4854" priority="82">
      <formula>B$9&gt;=20/24</formula>
    </cfRule>
    <cfRule type="expression" dxfId="4853" priority="83">
      <formula>AND(B$9&gt;=14/24,B$9&lt;20/24)</formula>
    </cfRule>
    <cfRule type="expression" dxfId="4852" priority="84">
      <formula>AND(B$9&gt;=8/24,B$9&lt;14/24)</formula>
    </cfRule>
    <cfRule type="expression" dxfId="4851" priority="85">
      <formula>B$9&lt;8/24</formula>
    </cfRule>
  </conditionalFormatting>
  <conditionalFormatting sqref="B86:AF90">
    <cfRule type="expression" dxfId="4850" priority="78">
      <formula>B$9&gt;=20/24</formula>
    </cfRule>
    <cfRule type="expression" dxfId="4849" priority="79">
      <formula>AND(B$9&gt;=14/24,B$9&lt;20/24)</formula>
    </cfRule>
    <cfRule type="expression" dxfId="4848" priority="80">
      <formula>AND(B$9&gt;=8/24,B$9&lt;14/24)</formula>
    </cfRule>
    <cfRule type="expression" dxfId="4847" priority="81">
      <formula>B$9&lt;8/24</formula>
    </cfRule>
  </conditionalFormatting>
  <conditionalFormatting sqref="AL40 AL37 AL20:AL32 AL34:AL35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4846" priority="74">
      <formula>C$9&gt;=20/24</formula>
    </cfRule>
    <cfRule type="expression" dxfId="4845" priority="75">
      <formula>AND(C$9&gt;=14/24,C$9&lt;20/24)</formula>
    </cfRule>
    <cfRule type="expression" dxfId="4844" priority="76">
      <formula>AND(C$9&gt;=8/24,C$9&lt;14/24)</formula>
    </cfRule>
    <cfRule type="expression" dxfId="4843" priority="77">
      <formula>C$9&lt;8/24</formula>
    </cfRule>
  </conditionalFormatting>
  <conditionalFormatting sqref="C44:AF46">
    <cfRule type="expression" dxfId="4842" priority="73">
      <formula>C44&gt;$AG44</formula>
    </cfRule>
  </conditionalFormatting>
  <conditionalFormatting sqref="B44:B47 C47:AG47">
    <cfRule type="expression" dxfId="4841" priority="69">
      <formula>B$9&gt;=20/24</formula>
    </cfRule>
    <cfRule type="expression" dxfId="4840" priority="70">
      <formula>AND(B$9&gt;=14/24,B$9&lt;20/24)</formula>
    </cfRule>
    <cfRule type="expression" dxfId="4839" priority="71">
      <formula>AND(B$9&gt;=8/24,B$9&lt;14/24)</formula>
    </cfRule>
    <cfRule type="expression" dxfId="4838" priority="72">
      <formula>B$9&lt;8/24</formula>
    </cfRule>
  </conditionalFormatting>
  <conditionalFormatting sqref="B44:B47 C47:AG47">
    <cfRule type="expression" dxfId="4837" priority="68">
      <formula>B44&gt;$AG44</formula>
    </cfRule>
  </conditionalFormatting>
  <conditionalFormatting sqref="C102:AF102">
    <cfRule type="expression" dxfId="4836" priority="64">
      <formula>C$9&gt;=20/24</formula>
    </cfRule>
    <cfRule type="expression" dxfId="4835" priority="65">
      <formula>AND(C$9&gt;=14/24,C$9&lt;20/24)</formula>
    </cfRule>
    <cfRule type="expression" dxfId="4834" priority="66">
      <formula>AND(C$9&gt;=8/24,C$9&lt;14/24)</formula>
    </cfRule>
    <cfRule type="expression" dxfId="4833" priority="67">
      <formula>C$9&lt;8/24</formula>
    </cfRule>
  </conditionalFormatting>
  <conditionalFormatting sqref="B102">
    <cfRule type="expression" dxfId="4832" priority="60">
      <formula>B$9&gt;=20/24</formula>
    </cfRule>
    <cfRule type="expression" dxfId="4831" priority="61">
      <formula>AND(B$9&gt;=14/24,B$9&lt;20/24)</formula>
    </cfRule>
    <cfRule type="expression" dxfId="4830" priority="62">
      <formula>AND(B$9&gt;=8/24,B$9&lt;14/24)</formula>
    </cfRule>
    <cfRule type="expression" dxfId="4829" priority="63">
      <formula>B$9&lt;8/24</formula>
    </cfRule>
  </conditionalFormatting>
  <conditionalFormatting sqref="AL36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4828" priority="54">
      <formula>$AH36=0</formula>
    </cfRule>
  </conditionalFormatting>
  <conditionalFormatting sqref="A85">
    <cfRule type="expression" dxfId="4827" priority="52">
      <formula>$AH85=0</formula>
    </cfRule>
  </conditionalFormatting>
  <conditionalFormatting sqref="A82">
    <cfRule type="expression" dxfId="4826" priority="53">
      <formula>$AH82=0</formula>
    </cfRule>
  </conditionalFormatting>
  <conditionalFormatting sqref="A112">
    <cfRule type="expression" dxfId="4825" priority="43">
      <formula>$AH112=0</formula>
    </cfRule>
  </conditionalFormatting>
  <conditionalFormatting sqref="C105:AF105">
    <cfRule type="expression" dxfId="4824" priority="39">
      <formula>C$9&gt;=20/24</formula>
    </cfRule>
    <cfRule type="expression" dxfId="4823" priority="40">
      <formula>AND(C$9&gt;=14/24,C$9&lt;20/24)</formula>
    </cfRule>
    <cfRule type="expression" dxfId="4822" priority="41">
      <formula>AND(C$9&gt;=8/24,C$9&lt;14/24)</formula>
    </cfRule>
    <cfRule type="expression" dxfId="4821" priority="42">
      <formula>C$9&lt;8/24</formula>
    </cfRule>
  </conditionalFormatting>
  <conditionalFormatting sqref="A105">
    <cfRule type="expression" dxfId="4820" priority="38">
      <formula>$AH105=0</formula>
    </cfRule>
  </conditionalFormatting>
  <conditionalFormatting sqref="B105">
    <cfRule type="expression" dxfId="4819" priority="34">
      <formula>B$9&gt;=20/24</formula>
    </cfRule>
    <cfRule type="expression" dxfId="4818" priority="35">
      <formula>AND(B$9&gt;=14/24,B$9&lt;20/24)</formula>
    </cfRule>
    <cfRule type="expression" dxfId="4817" priority="36">
      <formula>AND(B$9&gt;=8/24,B$9&lt;14/24)</formula>
    </cfRule>
    <cfRule type="expression" dxfId="4816" priority="37">
      <formula>B$9&lt;8/24</formula>
    </cfRule>
  </conditionalFormatting>
  <conditionalFormatting sqref="B19:AF19">
    <cfRule type="expression" dxfId="4815" priority="27">
      <formula>B19&gt;$AG19</formula>
    </cfRule>
  </conditionalFormatting>
  <conditionalFormatting sqref="A19">
    <cfRule type="expression" dxfId="4814" priority="26">
      <formula>$AH19=0</formula>
    </cfRule>
  </conditionalFormatting>
  <conditionalFormatting sqref="AC19:AF19">
    <cfRule type="expression" dxfId="4813" priority="22">
      <formula>AC$9&gt;=20/24</formula>
    </cfRule>
    <cfRule type="expression" dxfId="4812" priority="23">
      <formula>AND(AC$9&gt;=14/24,AC$9&lt;20/24)</formula>
    </cfRule>
    <cfRule type="expression" dxfId="4811" priority="24">
      <formula>AND(AC$9&gt;=8/24,AC$9&lt;14/24)</formula>
    </cfRule>
    <cfRule type="expression" dxfId="4810" priority="25">
      <formula>AC$9&lt;8/24</formula>
    </cfRule>
  </conditionalFormatting>
  <conditionalFormatting sqref="B19:AE19">
    <cfRule type="expression" dxfId="4809" priority="18">
      <formula>B$9&gt;=20/24</formula>
    </cfRule>
    <cfRule type="expression" dxfId="4808" priority="19">
      <formula>AND(B$9&gt;=14/24,B$9&lt;20/24)</formula>
    </cfRule>
    <cfRule type="expression" dxfId="4807" priority="20">
      <formula>AND(B$9&gt;=8/24,B$9&lt;14/24)</formula>
    </cfRule>
    <cfRule type="expression" dxfId="4806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805" priority="16">
      <formula>$AH33=0</formula>
    </cfRule>
  </conditionalFormatting>
  <conditionalFormatting sqref="AC33:AF33">
    <cfRule type="expression" dxfId="4804" priority="12">
      <formula>AC$9&gt;=20/24</formula>
    </cfRule>
    <cfRule type="expression" dxfId="4803" priority="13">
      <formula>AND(AC$9&gt;=14/24,AC$9&lt;20/24)</formula>
    </cfRule>
    <cfRule type="expression" dxfId="4802" priority="14">
      <formula>AND(AC$9&gt;=8/24,AC$9&lt;14/24)</formula>
    </cfRule>
    <cfRule type="expression" dxfId="4801" priority="15">
      <formula>AC$9&lt;8/24</formula>
    </cfRule>
  </conditionalFormatting>
  <conditionalFormatting sqref="AC33:AF33">
    <cfRule type="expression" dxfId="4800" priority="11">
      <formula>AC33&gt;$AG33</formula>
    </cfRule>
  </conditionalFormatting>
  <conditionalFormatting sqref="B33:AB33">
    <cfRule type="expression" dxfId="4799" priority="2">
      <formula>B$9&gt;=20/24</formula>
    </cfRule>
    <cfRule type="expression" dxfId="4798" priority="3">
      <formula>AND(B$9&gt;=14/24,B$9&lt;20/24)</formula>
    </cfRule>
    <cfRule type="expression" dxfId="4797" priority="4">
      <formula>AND(B$9&gt;=8/24,B$9&lt;14/24)</formula>
    </cfRule>
    <cfRule type="expression" dxfId="4796" priority="5">
      <formula>B$9&lt;8/24</formula>
    </cfRule>
  </conditionalFormatting>
  <conditionalFormatting sqref="B33:AB33">
    <cfRule type="expression" dxfId="4795" priority="1">
      <formula>B33&gt;$AG33</formula>
    </cfRule>
  </conditionalFormatting>
  <conditionalFormatting sqref="AL33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0706E2C0-BDF5-4616-929A-16C5200604F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B468EFAA-93F0-4292-A156-22BE8D231D6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1B81AB14-DDA0-4B8E-B1F8-14B870D0BB3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9D0A4181-06FE-4256-9D8F-822E707DB78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B85:AF85</xm:sqref>
        </x14:conditionalFormatting>
        <x14:conditionalFormatting xmlns:xm="http://schemas.microsoft.com/office/excel/2006/main">
          <x14:cfRule type="expression" priority="48" id="{2A29E623-C5A9-48C0-8A45-F7F205F42B0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DABF68D3-DB6E-4172-8FCE-F4A5FE511BB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AAEC6E07-A05C-4697-871E-8A4DE5BD348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2B920018-E64A-4FE0-921E-92FC9079A46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44" id="{EF7E07B1-3933-46D3-951C-F2100CEFE5E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DE67B9A3-DE10-4579-910A-F5C616E3688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80118632-67CA-4846-9066-690A49B1D17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284EA84F-4D80-45DD-845C-B65EF011A25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2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Q26" sqref="Q2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2079/08/18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10</v>
      </c>
      <c r="H5" s="30">
        <f t="shared" si="0"/>
        <v>15</v>
      </c>
      <c r="I5" s="30">
        <f t="shared" si="0"/>
        <v>17.899999999999999</v>
      </c>
      <c r="J5" s="30">
        <f t="shared" si="0"/>
        <v>123.69999999999999</v>
      </c>
      <c r="K5" s="30">
        <f t="shared" si="0"/>
        <v>48</v>
      </c>
      <c r="L5" s="30">
        <f t="shared" si="0"/>
        <v>46.4</v>
      </c>
      <c r="M5" s="30">
        <f t="shared" si="0"/>
        <v>21.4</v>
      </c>
      <c r="N5" s="30">
        <f t="shared" si="0"/>
        <v>18.899999999999999</v>
      </c>
      <c r="O5" s="30">
        <f t="shared" si="0"/>
        <v>16.899999999999999</v>
      </c>
      <c r="P5" s="30">
        <f t="shared" si="0"/>
        <v>17.2</v>
      </c>
      <c r="Q5" s="30">
        <f t="shared" si="0"/>
        <v>37.200000000000003</v>
      </c>
      <c r="R5" s="30">
        <f t="shared" si="0"/>
        <v>59.800000000000004</v>
      </c>
      <c r="S5" s="30">
        <f t="shared" si="0"/>
        <v>42.8</v>
      </c>
      <c r="T5" s="30">
        <f t="shared" si="0"/>
        <v>47</v>
      </c>
      <c r="U5" s="30">
        <f t="shared" si="0"/>
        <v>42.4</v>
      </c>
      <c r="V5" s="30">
        <f t="shared" si="0"/>
        <v>25.1</v>
      </c>
      <c r="W5" s="30">
        <f t="shared" si="0"/>
        <v>33.700000000000003</v>
      </c>
      <c r="X5" s="30">
        <f t="shared" si="0"/>
        <v>29.5</v>
      </c>
      <c r="Y5" s="30">
        <f t="shared" si="0"/>
        <v>26.5</v>
      </c>
      <c r="Z5" s="30">
        <f t="shared" si="0"/>
        <v>22.4</v>
      </c>
      <c r="AA5" s="30">
        <f t="shared" si="0"/>
        <v>16.600000000000001</v>
      </c>
      <c r="AB5" s="30">
        <f t="shared" si="0"/>
        <v>15</v>
      </c>
      <c r="AC5" s="30">
        <f t="shared" si="0"/>
        <v>28.9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1585MW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Load=945</v>
      </c>
      <c r="B7" s="35">
        <f t="shared" ref="B7:AF7" si="1">B84</f>
        <v>1046.7400000000002</v>
      </c>
      <c r="C7" s="35">
        <f t="shared" si="1"/>
        <v>1002.74</v>
      </c>
      <c r="D7" s="35">
        <f t="shared" si="1"/>
        <v>980.84000000000015</v>
      </c>
      <c r="E7" s="35">
        <f t="shared" si="1"/>
        <v>945.04000000000008</v>
      </c>
      <c r="F7" s="35">
        <f t="shared" si="1"/>
        <v>971.34</v>
      </c>
      <c r="G7" s="35">
        <f t="shared" si="1"/>
        <v>1026.04</v>
      </c>
      <c r="H7" s="35">
        <f t="shared" si="1"/>
        <v>1126.6400000000001</v>
      </c>
      <c r="I7" s="35">
        <f t="shared" si="1"/>
        <v>1229.44</v>
      </c>
      <c r="J7" s="35">
        <f t="shared" si="1"/>
        <v>1323.94</v>
      </c>
      <c r="K7" s="35">
        <f t="shared" si="1"/>
        <v>1542.14</v>
      </c>
      <c r="L7" s="35">
        <f t="shared" si="1"/>
        <v>1581.4400000000003</v>
      </c>
      <c r="M7" s="35">
        <f t="shared" si="1"/>
        <v>1584.7400000000002</v>
      </c>
      <c r="N7" s="35">
        <f t="shared" si="1"/>
        <v>1488.8400000000004</v>
      </c>
      <c r="O7" s="35">
        <f t="shared" si="1"/>
        <v>1293.24</v>
      </c>
      <c r="P7" s="35">
        <f t="shared" si="1"/>
        <v>1215.94</v>
      </c>
      <c r="Q7" s="35">
        <f t="shared" si="1"/>
        <v>1175.3399999999999</v>
      </c>
      <c r="R7" s="35">
        <f t="shared" si="1"/>
        <v>1167.24</v>
      </c>
      <c r="S7" s="35">
        <f t="shared" si="1"/>
        <v>1162.8399999999999</v>
      </c>
      <c r="T7" s="35">
        <f t="shared" si="1"/>
        <v>1159.44</v>
      </c>
      <c r="U7" s="35">
        <f t="shared" si="1"/>
        <v>1208.6400000000001</v>
      </c>
      <c r="V7" s="35">
        <f t="shared" si="1"/>
        <v>1308.8400000000001</v>
      </c>
      <c r="W7" s="35">
        <f t="shared" si="1"/>
        <v>1563.8399999999997</v>
      </c>
      <c r="X7" s="35">
        <f t="shared" si="1"/>
        <v>1696.74</v>
      </c>
      <c r="Y7" s="35">
        <f t="shared" si="1"/>
        <v>1691.84</v>
      </c>
      <c r="Z7" s="35">
        <f t="shared" si="1"/>
        <v>1605.9399999999998</v>
      </c>
      <c r="AA7" s="35">
        <f t="shared" si="1"/>
        <v>1530.34</v>
      </c>
      <c r="AB7" s="35">
        <f t="shared" si="1"/>
        <v>1437.34</v>
      </c>
      <c r="AC7" s="35">
        <f t="shared" si="1"/>
        <v>1425.04</v>
      </c>
      <c r="AD7" s="35">
        <f t="shared" si="1"/>
        <v>1329.54</v>
      </c>
      <c r="AE7" s="35">
        <f t="shared" si="1"/>
        <v>1160.04</v>
      </c>
      <c r="AF7" s="35">
        <f t="shared" si="1"/>
        <v>1069.3399999999999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31.2</v>
      </c>
      <c r="C11" s="45">
        <v>31.2</v>
      </c>
      <c r="D11" s="45">
        <v>31.2</v>
      </c>
      <c r="E11" s="45">
        <v>30</v>
      </c>
      <c r="F11" s="45">
        <v>30</v>
      </c>
      <c r="G11" s="45">
        <v>30</v>
      </c>
      <c r="H11" s="45">
        <v>30</v>
      </c>
      <c r="I11" s="45">
        <v>30</v>
      </c>
      <c r="J11" s="45">
        <v>30</v>
      </c>
      <c r="K11" s="45">
        <v>30</v>
      </c>
      <c r="L11" s="45">
        <v>30</v>
      </c>
      <c r="M11" s="45">
        <v>30</v>
      </c>
      <c r="N11" s="45">
        <v>28.2</v>
      </c>
      <c r="O11" s="45">
        <v>28.2</v>
      </c>
      <c r="P11" s="45">
        <v>28.2</v>
      </c>
      <c r="Q11" s="45">
        <v>28.2</v>
      </c>
      <c r="R11" s="45">
        <v>28.2</v>
      </c>
      <c r="S11" s="45">
        <v>27.5</v>
      </c>
      <c r="T11" s="45">
        <v>27.5</v>
      </c>
      <c r="U11" s="45">
        <v>28.9</v>
      </c>
      <c r="V11" s="45">
        <v>28.9</v>
      </c>
      <c r="W11" s="45">
        <v>28.9</v>
      </c>
      <c r="X11" s="46">
        <v>28.8</v>
      </c>
      <c r="Y11" s="46">
        <v>28.8</v>
      </c>
      <c r="Z11" s="46">
        <v>28.8</v>
      </c>
      <c r="AA11" s="46">
        <v>28.8</v>
      </c>
      <c r="AB11" s="46">
        <v>28.8</v>
      </c>
      <c r="AC11" s="46">
        <v>28.8</v>
      </c>
      <c r="AD11" s="46">
        <v>28.8</v>
      </c>
      <c r="AE11" s="46">
        <v>28.8</v>
      </c>
      <c r="AF11" s="46">
        <v>28.8</v>
      </c>
      <c r="AG11" s="47">
        <v>52.4</v>
      </c>
      <c r="AH11" s="48">
        <f>MAX(B11:AF11)</f>
        <v>31.2</v>
      </c>
      <c r="AI11" s="49">
        <f>MIN(B11:AF11)</f>
        <v>27.5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50.3</v>
      </c>
      <c r="N12" s="45">
        <v>50.3</v>
      </c>
      <c r="O12" s="45">
        <v>50.6</v>
      </c>
      <c r="P12" s="45">
        <v>50.4</v>
      </c>
      <c r="Q12" s="45">
        <v>50.3</v>
      </c>
      <c r="R12" s="45">
        <v>50.5</v>
      </c>
      <c r="S12" s="45">
        <v>50.1</v>
      </c>
      <c r="T12" s="45">
        <v>50.1</v>
      </c>
      <c r="U12" s="45">
        <v>50.1</v>
      </c>
      <c r="V12" s="45">
        <v>50.1</v>
      </c>
      <c r="W12" s="45">
        <v>50.1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50.6</v>
      </c>
      <c r="AC12" s="45">
        <v>50.6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8" si="2">MAX(B12:AF12)</f>
        <v>50.6</v>
      </c>
      <c r="AI12" s="49">
        <f t="shared" ref="AI12:AI78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29</v>
      </c>
      <c r="C13" s="45">
        <v>29</v>
      </c>
      <c r="D13" s="45">
        <v>29</v>
      </c>
      <c r="E13" s="45">
        <v>27.3</v>
      </c>
      <c r="F13" s="45">
        <v>27.3</v>
      </c>
      <c r="G13" s="45">
        <v>27.3</v>
      </c>
      <c r="H13" s="45">
        <v>27.3</v>
      </c>
      <c r="I13" s="45">
        <v>27.3</v>
      </c>
      <c r="J13" s="45">
        <v>27.3</v>
      </c>
      <c r="K13" s="45">
        <v>27.3</v>
      </c>
      <c r="L13" s="45">
        <v>27.3</v>
      </c>
      <c r="M13" s="45">
        <v>27.3</v>
      </c>
      <c r="N13" s="45">
        <v>27.3</v>
      </c>
      <c r="O13" s="45">
        <v>23.9</v>
      </c>
      <c r="P13" s="45">
        <v>23.9</v>
      </c>
      <c r="Q13" s="45">
        <v>24.7</v>
      </c>
      <c r="R13" s="45">
        <v>24.4</v>
      </c>
      <c r="S13" s="45">
        <v>23.7</v>
      </c>
      <c r="T13" s="45">
        <v>23.7</v>
      </c>
      <c r="U13" s="45">
        <v>23.7</v>
      </c>
      <c r="V13" s="45">
        <v>23.7</v>
      </c>
      <c r="W13" s="45">
        <v>23.7</v>
      </c>
      <c r="X13" s="45">
        <v>29.2</v>
      </c>
      <c r="Y13" s="45">
        <v>29.2</v>
      </c>
      <c r="Z13" s="45">
        <v>29.2</v>
      </c>
      <c r="AA13" s="45">
        <v>29.2</v>
      </c>
      <c r="AB13" s="45">
        <v>29.2</v>
      </c>
      <c r="AC13" s="45">
        <v>29.2</v>
      </c>
      <c r="AD13" s="45">
        <v>29.2</v>
      </c>
      <c r="AE13" s="45">
        <v>29.2</v>
      </c>
      <c r="AF13" s="45">
        <v>29.2</v>
      </c>
      <c r="AG13" s="51">
        <v>45</v>
      </c>
      <c r="AH13" s="48">
        <f t="shared" si="2"/>
        <v>29.2</v>
      </c>
      <c r="AI13" s="49">
        <f t="shared" si="3"/>
        <v>23.7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14.5</v>
      </c>
      <c r="C14" s="45">
        <v>14.5</v>
      </c>
      <c r="D14" s="45">
        <v>14.5</v>
      </c>
      <c r="E14" s="45">
        <v>14.5</v>
      </c>
      <c r="F14" s="45">
        <v>14.5</v>
      </c>
      <c r="G14" s="45">
        <v>14.5</v>
      </c>
      <c r="H14" s="45">
        <v>14.5</v>
      </c>
      <c r="I14" s="45">
        <v>14.5</v>
      </c>
      <c r="J14" s="45">
        <v>14.5</v>
      </c>
      <c r="K14" s="45">
        <v>14.5</v>
      </c>
      <c r="L14" s="45">
        <v>14.5</v>
      </c>
      <c r="M14" s="45">
        <v>14.5</v>
      </c>
      <c r="N14" s="45">
        <v>14.5</v>
      </c>
      <c r="O14" s="45">
        <v>14.5</v>
      </c>
      <c r="P14" s="45">
        <v>14.5</v>
      </c>
      <c r="Q14" s="45">
        <v>14.5</v>
      </c>
      <c r="R14" s="45">
        <v>14.5</v>
      </c>
      <c r="S14" s="45">
        <v>14.5</v>
      </c>
      <c r="T14" s="45">
        <v>14.5</v>
      </c>
      <c r="U14" s="45">
        <v>14.5</v>
      </c>
      <c r="V14" s="45">
        <v>14.5</v>
      </c>
      <c r="W14" s="45">
        <v>14.5</v>
      </c>
      <c r="X14" s="45">
        <v>14.5</v>
      </c>
      <c r="Y14" s="45">
        <v>14.5</v>
      </c>
      <c r="Z14" s="45">
        <v>14.5</v>
      </c>
      <c r="AA14" s="45">
        <v>14.5</v>
      </c>
      <c r="AB14" s="45">
        <v>14.5</v>
      </c>
      <c r="AC14" s="45">
        <v>14.5</v>
      </c>
      <c r="AD14" s="45">
        <v>14.5</v>
      </c>
      <c r="AE14" s="45">
        <v>14.5</v>
      </c>
      <c r="AF14" s="45">
        <v>14.5</v>
      </c>
      <c r="AG14" s="51">
        <v>42</v>
      </c>
      <c r="AH14" s="48">
        <f t="shared" si="2"/>
        <v>14.5</v>
      </c>
      <c r="AI14" s="49">
        <f t="shared" si="3"/>
        <v>14.5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24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14</v>
      </c>
      <c r="C16" s="45">
        <v>14</v>
      </c>
      <c r="D16" s="45">
        <v>14</v>
      </c>
      <c r="E16" s="45">
        <v>14</v>
      </c>
      <c r="F16" s="45">
        <v>14</v>
      </c>
      <c r="G16" s="45">
        <v>14</v>
      </c>
      <c r="H16" s="45">
        <v>14</v>
      </c>
      <c r="I16" s="45">
        <v>14</v>
      </c>
      <c r="J16" s="45">
        <v>14</v>
      </c>
      <c r="K16" s="45">
        <v>14</v>
      </c>
      <c r="L16" s="45">
        <v>14</v>
      </c>
      <c r="M16" s="45">
        <v>14</v>
      </c>
      <c r="N16" s="45">
        <v>14</v>
      </c>
      <c r="O16" s="45">
        <v>14</v>
      </c>
      <c r="P16" s="45">
        <v>14</v>
      </c>
      <c r="Q16" s="45">
        <v>14</v>
      </c>
      <c r="R16" s="45">
        <v>14</v>
      </c>
      <c r="S16" s="45">
        <v>15.2</v>
      </c>
      <c r="T16" s="45">
        <v>15.2</v>
      </c>
      <c r="U16" s="45">
        <v>15.2</v>
      </c>
      <c r="V16" s="45">
        <v>15.2</v>
      </c>
      <c r="W16" s="45">
        <v>15.2</v>
      </c>
      <c r="X16" s="45">
        <v>15.9</v>
      </c>
      <c r="Y16" s="45">
        <v>15.9</v>
      </c>
      <c r="Z16" s="45">
        <v>15.9</v>
      </c>
      <c r="AA16" s="45">
        <v>15.9</v>
      </c>
      <c r="AB16" s="45">
        <v>15.9</v>
      </c>
      <c r="AC16" s="45">
        <v>15.9</v>
      </c>
      <c r="AD16" s="45">
        <v>15.9</v>
      </c>
      <c r="AE16" s="45">
        <v>15.9</v>
      </c>
      <c r="AF16" s="45">
        <v>15.9</v>
      </c>
      <c r="AG16" s="52">
        <v>30</v>
      </c>
      <c r="AH16" s="48">
        <f t="shared" si="2"/>
        <v>15.9</v>
      </c>
      <c r="AI16" s="49">
        <f t="shared" si="3"/>
        <v>14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14</v>
      </c>
      <c r="W17" s="45">
        <v>14</v>
      </c>
      <c r="X17" s="45">
        <v>14</v>
      </c>
      <c r="Y17" s="45">
        <v>14</v>
      </c>
      <c r="Z17" s="45">
        <v>14</v>
      </c>
      <c r="AA17" s="45">
        <v>14</v>
      </c>
      <c r="AB17" s="45">
        <v>14</v>
      </c>
      <c r="AC17" s="45">
        <v>14</v>
      </c>
      <c r="AD17" s="45">
        <v>14</v>
      </c>
      <c r="AE17" s="45">
        <v>14</v>
      </c>
      <c r="AF17" s="45">
        <v>14</v>
      </c>
      <c r="AG17" s="51">
        <v>24.2</v>
      </c>
      <c r="AH17" s="48">
        <f t="shared" si="2"/>
        <v>14</v>
      </c>
      <c r="AI17" s="49">
        <f t="shared" si="3"/>
        <v>14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15.5</v>
      </c>
      <c r="O18" s="45">
        <v>15.5</v>
      </c>
      <c r="P18" s="45">
        <v>15.5</v>
      </c>
      <c r="Q18" s="45">
        <v>15.5</v>
      </c>
      <c r="R18" s="45">
        <v>15.5</v>
      </c>
      <c r="S18" s="45">
        <v>15.5</v>
      </c>
      <c r="T18" s="45">
        <v>15.5</v>
      </c>
      <c r="U18" s="45">
        <v>15.5</v>
      </c>
      <c r="V18" s="45">
        <v>15.5</v>
      </c>
      <c r="W18" s="45">
        <v>15.5</v>
      </c>
      <c r="X18" s="45">
        <v>15.5</v>
      </c>
      <c r="Y18" s="45">
        <v>15.5</v>
      </c>
      <c r="Z18" s="45">
        <v>15.5</v>
      </c>
      <c r="AA18" s="45">
        <v>15.5</v>
      </c>
      <c r="AB18" s="45">
        <v>15.5</v>
      </c>
      <c r="AC18" s="45">
        <v>15.5</v>
      </c>
      <c r="AD18" s="45">
        <v>15.5</v>
      </c>
      <c r="AE18" s="45">
        <v>15.5</v>
      </c>
      <c r="AF18" s="45">
        <v>15.5</v>
      </c>
      <c r="AG18" s="51">
        <v>28</v>
      </c>
      <c r="AH18" s="48">
        <f t="shared" si="2"/>
        <v>15.5</v>
      </c>
      <c r="AI18" s="49">
        <f t="shared" si="3"/>
        <v>15.5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17</v>
      </c>
      <c r="H19" s="45">
        <v>17</v>
      </c>
      <c r="I19" s="45">
        <v>17</v>
      </c>
      <c r="J19" s="45">
        <v>17</v>
      </c>
      <c r="K19" s="45">
        <v>17</v>
      </c>
      <c r="L19" s="45">
        <v>17</v>
      </c>
      <c r="M19" s="45">
        <v>17</v>
      </c>
      <c r="N19" s="45">
        <v>17</v>
      </c>
      <c r="O19" s="45">
        <v>17</v>
      </c>
      <c r="P19" s="45">
        <v>17</v>
      </c>
      <c r="Q19" s="45">
        <v>17</v>
      </c>
      <c r="R19" s="45">
        <v>17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17</v>
      </c>
      <c r="AE19" s="45">
        <v>17</v>
      </c>
      <c r="AF19" s="45">
        <v>17</v>
      </c>
      <c r="AG19" s="52">
        <v>30</v>
      </c>
      <c r="AH19" s="48">
        <f t="shared" si="2"/>
        <v>17</v>
      </c>
      <c r="AI19" s="49">
        <f t="shared" si="3"/>
        <v>17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</v>
      </c>
      <c r="C20" s="45">
        <v>14</v>
      </c>
      <c r="D20" s="45">
        <v>14</v>
      </c>
      <c r="E20" s="45">
        <v>14</v>
      </c>
      <c r="F20" s="45">
        <v>14</v>
      </c>
      <c r="G20" s="45">
        <v>14</v>
      </c>
      <c r="H20" s="45">
        <v>14</v>
      </c>
      <c r="I20" s="45">
        <v>14</v>
      </c>
      <c r="J20" s="45">
        <v>14</v>
      </c>
      <c r="K20" s="45">
        <v>14</v>
      </c>
      <c r="L20" s="45">
        <v>14</v>
      </c>
      <c r="M20" s="45">
        <v>14</v>
      </c>
      <c r="N20" s="45">
        <v>14</v>
      </c>
      <c r="O20" s="45">
        <v>14</v>
      </c>
      <c r="P20" s="45">
        <v>14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14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13.9</v>
      </c>
      <c r="C24" s="45">
        <v>13.9</v>
      </c>
      <c r="D24" s="45">
        <v>13.9</v>
      </c>
      <c r="E24" s="45">
        <v>13.9</v>
      </c>
      <c r="F24" s="45">
        <v>13.9</v>
      </c>
      <c r="G24" s="45">
        <v>13.9</v>
      </c>
      <c r="H24" s="45">
        <v>13.9</v>
      </c>
      <c r="I24" s="45">
        <v>13.9</v>
      </c>
      <c r="J24" s="45">
        <v>13.9</v>
      </c>
      <c r="K24" s="45">
        <v>13.9</v>
      </c>
      <c r="L24" s="45">
        <v>13.9</v>
      </c>
      <c r="M24" s="45">
        <v>13.9</v>
      </c>
      <c r="N24" s="45">
        <v>13.9</v>
      </c>
      <c r="O24" s="45">
        <v>13.9</v>
      </c>
      <c r="P24" s="45">
        <v>13.9</v>
      </c>
      <c r="Q24" s="45">
        <v>13.9</v>
      </c>
      <c r="R24" s="45">
        <v>13.9</v>
      </c>
      <c r="S24" s="45">
        <v>13.9</v>
      </c>
      <c r="T24" s="45">
        <v>13.9</v>
      </c>
      <c r="U24" s="45">
        <v>13.9</v>
      </c>
      <c r="V24" s="45">
        <v>13.9</v>
      </c>
      <c r="W24" s="45">
        <v>13.9</v>
      </c>
      <c r="X24" s="45">
        <v>13.9</v>
      </c>
      <c r="Y24" s="45">
        <v>13.9</v>
      </c>
      <c r="Z24" s="45">
        <v>13.9</v>
      </c>
      <c r="AA24" s="45">
        <v>13.9</v>
      </c>
      <c r="AB24" s="45">
        <v>13.9</v>
      </c>
      <c r="AC24" s="45">
        <v>13.9</v>
      </c>
      <c r="AD24" s="45">
        <v>13.9</v>
      </c>
      <c r="AE24" s="45">
        <v>13.9</v>
      </c>
      <c r="AF24" s="45">
        <v>13.9</v>
      </c>
      <c r="AG24" s="51">
        <v>23.5</v>
      </c>
      <c r="AH24" s="48">
        <f t="shared" si="2"/>
        <v>13.9</v>
      </c>
      <c r="AI24" s="49">
        <f t="shared" si="3"/>
        <v>13.9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1">
        <v>12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1">
        <v>12</v>
      </c>
      <c r="AH35" s="48">
        <f t="shared" si="2"/>
        <v>7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5">
        <v>10</v>
      </c>
      <c r="AH39" s="48">
        <f t="shared" si="2"/>
        <v>7</v>
      </c>
      <c r="AI39" s="49">
        <f t="shared" si="3"/>
        <v>7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2</v>
      </c>
      <c r="W40" s="45">
        <v>2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220</v>
      </c>
      <c r="C41" s="57">
        <v>220</v>
      </c>
      <c r="D41" s="57">
        <v>220</v>
      </c>
      <c r="E41" s="57">
        <v>220</v>
      </c>
      <c r="F41" s="57">
        <v>220</v>
      </c>
      <c r="G41" s="57">
        <v>220</v>
      </c>
      <c r="H41" s="57">
        <v>220</v>
      </c>
      <c r="I41" s="57">
        <v>220</v>
      </c>
      <c r="J41" s="57">
        <v>220</v>
      </c>
      <c r="K41" s="57">
        <v>220</v>
      </c>
      <c r="L41" s="57">
        <v>220</v>
      </c>
      <c r="M41" s="57">
        <v>220</v>
      </c>
      <c r="N41" s="57">
        <v>220</v>
      </c>
      <c r="O41" s="57">
        <v>220</v>
      </c>
      <c r="P41" s="57">
        <v>220</v>
      </c>
      <c r="Q41" s="57">
        <v>220</v>
      </c>
      <c r="R41" s="57">
        <v>220</v>
      </c>
      <c r="S41" s="57">
        <v>220</v>
      </c>
      <c r="T41" s="57">
        <v>220</v>
      </c>
      <c r="U41" s="57">
        <v>220</v>
      </c>
      <c r="V41" s="57">
        <v>220</v>
      </c>
      <c r="W41" s="57">
        <v>220</v>
      </c>
      <c r="X41" s="57">
        <v>220</v>
      </c>
      <c r="Y41" s="57">
        <v>220</v>
      </c>
      <c r="Z41" s="57">
        <v>220</v>
      </c>
      <c r="AA41" s="57">
        <v>220</v>
      </c>
      <c r="AB41" s="57">
        <v>220</v>
      </c>
      <c r="AC41" s="57">
        <v>220</v>
      </c>
      <c r="AD41" s="57">
        <v>220</v>
      </c>
      <c r="AE41" s="57">
        <v>220</v>
      </c>
      <c r="AF41" s="57">
        <v>220</v>
      </c>
      <c r="AG41" s="55">
        <v>85</v>
      </c>
      <c r="AH41" s="48">
        <f t="shared" si="2"/>
        <v>220</v>
      </c>
      <c r="AI41" s="49">
        <f t="shared" si="3"/>
        <v>220</v>
      </c>
      <c r="AK41" s="50"/>
    </row>
    <row r="42" spans="1:88" ht="15.75" thickBot="1" x14ac:dyDescent="0.3">
      <c r="A42" s="58" t="s">
        <v>47</v>
      </c>
      <c r="B42" s="59">
        <v>66.3</v>
      </c>
      <c r="C42" s="59">
        <v>66</v>
      </c>
      <c r="D42" s="59">
        <v>66</v>
      </c>
      <c r="E42" s="59">
        <v>68</v>
      </c>
      <c r="F42" s="59">
        <v>68</v>
      </c>
      <c r="G42" s="59">
        <v>68</v>
      </c>
      <c r="H42" s="59">
        <v>67.099999999999994</v>
      </c>
      <c r="I42" s="59">
        <v>66</v>
      </c>
      <c r="J42" s="59">
        <v>64</v>
      </c>
      <c r="K42" s="59">
        <v>64.2</v>
      </c>
      <c r="L42" s="59">
        <v>64.2</v>
      </c>
      <c r="M42" s="57">
        <f>31.2+35.5</f>
        <v>66.7</v>
      </c>
      <c r="N42" s="57">
        <f>31.2+35.5</f>
        <v>66.7</v>
      </c>
      <c r="O42" s="57">
        <f>30.6+36.1</f>
        <v>66.7</v>
      </c>
      <c r="P42" s="57">
        <f>28+36.6</f>
        <v>64.599999999999994</v>
      </c>
      <c r="Q42" s="57">
        <f t="shared" ref="Q42:R42" si="4">28+36.6</f>
        <v>64.599999999999994</v>
      </c>
      <c r="R42" s="57">
        <f t="shared" si="4"/>
        <v>64.599999999999994</v>
      </c>
      <c r="S42" s="59">
        <v>67</v>
      </c>
      <c r="T42" s="59">
        <v>67</v>
      </c>
      <c r="U42" s="59">
        <v>67</v>
      </c>
      <c r="V42" s="59">
        <v>63.7</v>
      </c>
      <c r="W42" s="59">
        <v>58.5</v>
      </c>
      <c r="X42" s="59">
        <v>58.5</v>
      </c>
      <c r="Y42" s="59">
        <v>58.5</v>
      </c>
      <c r="Z42" s="59">
        <v>61</v>
      </c>
      <c r="AA42" s="59">
        <v>62.7</v>
      </c>
      <c r="AB42" s="59">
        <v>68.5</v>
      </c>
      <c r="AC42" s="59">
        <v>68.5</v>
      </c>
      <c r="AD42" s="59">
        <v>69.099999999999994</v>
      </c>
      <c r="AE42" s="59">
        <v>77.3</v>
      </c>
      <c r="AF42" s="59">
        <v>72.5</v>
      </c>
      <c r="AG42" s="55">
        <v>240</v>
      </c>
      <c r="AH42" s="48">
        <f t="shared" si="2"/>
        <v>77.3</v>
      </c>
      <c r="AI42" s="49">
        <f t="shared" si="3"/>
        <v>58.5</v>
      </c>
      <c r="AK42" s="50"/>
    </row>
    <row r="43" spans="1:88" ht="15.75" thickBot="1" x14ac:dyDescent="0.3">
      <c r="A43" s="60" t="s">
        <v>48</v>
      </c>
      <c r="B43" s="61">
        <f t="shared" ref="B43:AG43" si="5">SUM(B11:B41)</f>
        <v>619.20000000000005</v>
      </c>
      <c r="C43" s="61">
        <f>SUM(C11:C41)</f>
        <v>619.20000000000005</v>
      </c>
      <c r="D43" s="61">
        <f t="shared" si="5"/>
        <v>619.20000000000005</v>
      </c>
      <c r="E43" s="61">
        <f t="shared" si="5"/>
        <v>616.20000000000005</v>
      </c>
      <c r="F43" s="61">
        <f t="shared" si="5"/>
        <v>616.20000000000005</v>
      </c>
      <c r="G43" s="61">
        <f t="shared" si="5"/>
        <v>616.20000000000005</v>
      </c>
      <c r="H43" s="61">
        <f t="shared" si="5"/>
        <v>616.20000000000005</v>
      </c>
      <c r="I43" s="61">
        <f t="shared" si="5"/>
        <v>616.20000000000005</v>
      </c>
      <c r="J43" s="61">
        <f t="shared" si="5"/>
        <v>616.20000000000005</v>
      </c>
      <c r="K43" s="61">
        <f t="shared" si="5"/>
        <v>616.20000000000005</v>
      </c>
      <c r="L43" s="61">
        <f t="shared" si="5"/>
        <v>616.20000000000005</v>
      </c>
      <c r="M43" s="61">
        <f t="shared" si="5"/>
        <v>618.20000000000005</v>
      </c>
      <c r="N43" s="61">
        <f t="shared" si="5"/>
        <v>616.40000000000009</v>
      </c>
      <c r="O43" s="61">
        <f t="shared" si="5"/>
        <v>613.29999999999995</v>
      </c>
      <c r="P43" s="61">
        <f t="shared" si="5"/>
        <v>613.1</v>
      </c>
      <c r="Q43" s="61">
        <f t="shared" si="5"/>
        <v>613.79999999999995</v>
      </c>
      <c r="R43" s="61">
        <f t="shared" si="5"/>
        <v>613.70000000000005</v>
      </c>
      <c r="S43" s="61">
        <f t="shared" si="5"/>
        <v>613.1</v>
      </c>
      <c r="T43" s="61">
        <f t="shared" si="5"/>
        <v>613.1</v>
      </c>
      <c r="U43" s="61">
        <f t="shared" si="5"/>
        <v>614.5</v>
      </c>
      <c r="V43" s="61">
        <f t="shared" si="5"/>
        <v>614.5</v>
      </c>
      <c r="W43" s="61">
        <f t="shared" si="5"/>
        <v>614.5</v>
      </c>
      <c r="X43" s="61">
        <f t="shared" si="5"/>
        <v>619.1</v>
      </c>
      <c r="Y43" s="61">
        <f t="shared" si="5"/>
        <v>619.1</v>
      </c>
      <c r="Z43" s="61">
        <f t="shared" si="5"/>
        <v>619.1</v>
      </c>
      <c r="AA43" s="61">
        <f t="shared" si="5"/>
        <v>619.1</v>
      </c>
      <c r="AB43" s="61">
        <f t="shared" si="5"/>
        <v>619.1</v>
      </c>
      <c r="AC43" s="61">
        <f t="shared" si="5"/>
        <v>619.1</v>
      </c>
      <c r="AD43" s="61">
        <f t="shared" si="5"/>
        <v>619.1</v>
      </c>
      <c r="AE43" s="61">
        <f t="shared" si="5"/>
        <v>619.1</v>
      </c>
      <c r="AF43" s="61">
        <f t="shared" si="5"/>
        <v>619.1</v>
      </c>
      <c r="AG43" s="62">
        <f t="shared" si="5"/>
        <v>796.78000000000009</v>
      </c>
      <c r="AH43" s="48">
        <f t="shared" si="2"/>
        <v>619.20000000000005</v>
      </c>
      <c r="AI43" s="49">
        <f t="shared" si="3"/>
        <v>613.1</v>
      </c>
      <c r="AK43" s="50"/>
    </row>
    <row r="44" spans="1:88" x14ac:dyDescent="0.25">
      <c r="A44" s="63" t="s">
        <v>49</v>
      </c>
      <c r="B44" s="45">
        <v>60</v>
      </c>
      <c r="C44" s="45">
        <v>40</v>
      </c>
      <c r="D44" s="45">
        <v>25</v>
      </c>
      <c r="E44" s="45">
        <v>15</v>
      </c>
      <c r="F44" s="45">
        <v>25</v>
      </c>
      <c r="G44" s="45">
        <v>50</v>
      </c>
      <c r="H44" s="45">
        <v>100</v>
      </c>
      <c r="I44" s="45">
        <v>135</v>
      </c>
      <c r="J44" s="45">
        <v>200</v>
      </c>
      <c r="K44" s="45">
        <v>305</v>
      </c>
      <c r="L44" s="45">
        <v>420</v>
      </c>
      <c r="M44" s="45">
        <v>370</v>
      </c>
      <c r="N44" s="45">
        <v>350</v>
      </c>
      <c r="O44" s="45">
        <v>160</v>
      </c>
      <c r="P44" s="45">
        <v>120</v>
      </c>
      <c r="Q44" s="45">
        <v>80</v>
      </c>
      <c r="R44" s="45">
        <v>60</v>
      </c>
      <c r="S44" s="45">
        <v>20</v>
      </c>
      <c r="T44" s="45">
        <v>35</v>
      </c>
      <c r="U44" s="45">
        <v>76</v>
      </c>
      <c r="V44" s="45">
        <v>175</v>
      </c>
      <c r="W44" s="45">
        <v>350</v>
      </c>
      <c r="X44" s="45">
        <v>456</v>
      </c>
      <c r="Y44" s="45">
        <v>456</v>
      </c>
      <c r="Z44" s="45">
        <v>380</v>
      </c>
      <c r="AA44" s="45">
        <v>300</v>
      </c>
      <c r="AB44" s="45">
        <v>230</v>
      </c>
      <c r="AC44" s="45">
        <v>230</v>
      </c>
      <c r="AD44" s="45">
        <v>200</v>
      </c>
      <c r="AE44" s="45">
        <v>120</v>
      </c>
      <c r="AF44" s="45">
        <v>90</v>
      </c>
      <c r="AG44" s="52">
        <v>456</v>
      </c>
      <c r="AH44" s="48">
        <f t="shared" si="2"/>
        <v>456</v>
      </c>
      <c r="AI44" s="49">
        <f t="shared" si="3"/>
        <v>15</v>
      </c>
      <c r="AK44" s="50"/>
    </row>
    <row r="45" spans="1:88" x14ac:dyDescent="0.25">
      <c r="A45" s="64" t="s">
        <v>50</v>
      </c>
      <c r="B45" s="65">
        <v>52</v>
      </c>
      <c r="C45" s="65">
        <v>52</v>
      </c>
      <c r="D45" s="65">
        <v>52</v>
      </c>
      <c r="E45" s="65">
        <v>52</v>
      </c>
      <c r="F45" s="65">
        <v>52</v>
      </c>
      <c r="G45" s="65">
        <v>52</v>
      </c>
      <c r="H45" s="65">
        <v>52</v>
      </c>
      <c r="I45" s="65">
        <v>52</v>
      </c>
      <c r="J45" s="65">
        <v>52</v>
      </c>
      <c r="K45" s="65">
        <v>52</v>
      </c>
      <c r="L45" s="65">
        <v>52</v>
      </c>
      <c r="M45" s="65">
        <v>52</v>
      </c>
      <c r="N45" s="65">
        <v>52</v>
      </c>
      <c r="O45" s="65">
        <v>52</v>
      </c>
      <c r="P45" s="65">
        <v>52</v>
      </c>
      <c r="Q45" s="65">
        <v>52</v>
      </c>
      <c r="R45" s="65">
        <v>52</v>
      </c>
      <c r="S45" s="65">
        <v>52</v>
      </c>
      <c r="T45" s="65">
        <v>52</v>
      </c>
      <c r="U45" s="65">
        <v>52</v>
      </c>
      <c r="V45" s="65">
        <v>52</v>
      </c>
      <c r="W45" s="65">
        <v>46</v>
      </c>
      <c r="X45" s="65">
        <v>46</v>
      </c>
      <c r="Y45" s="65">
        <v>46</v>
      </c>
      <c r="Z45" s="65">
        <v>46</v>
      </c>
      <c r="AA45" s="65">
        <v>46</v>
      </c>
      <c r="AB45" s="65">
        <v>46</v>
      </c>
      <c r="AC45" s="65">
        <v>46</v>
      </c>
      <c r="AD45" s="65">
        <v>46</v>
      </c>
      <c r="AE45" s="65">
        <v>46</v>
      </c>
      <c r="AF45" s="65">
        <v>46</v>
      </c>
      <c r="AG45" s="55">
        <v>60</v>
      </c>
      <c r="AH45" s="48">
        <f t="shared" si="2"/>
        <v>52</v>
      </c>
      <c r="AI45" s="49">
        <f t="shared" si="3"/>
        <v>46</v>
      </c>
      <c r="AK45" s="50"/>
    </row>
    <row r="46" spans="1:88" ht="15.75" thickBot="1" x14ac:dyDescent="0.3">
      <c r="A46" s="66" t="s">
        <v>51</v>
      </c>
      <c r="B46" s="67">
        <v>20.6</v>
      </c>
      <c r="C46" s="67">
        <v>20.6</v>
      </c>
      <c r="D46" s="67">
        <v>20.7</v>
      </c>
      <c r="E46" s="67">
        <v>20.6</v>
      </c>
      <c r="F46" s="67">
        <v>20.6</v>
      </c>
      <c r="G46" s="67">
        <v>20.6</v>
      </c>
      <c r="H46" s="67">
        <v>20.6</v>
      </c>
      <c r="I46" s="67">
        <v>20.6</v>
      </c>
      <c r="J46" s="67">
        <v>20.6</v>
      </c>
      <c r="K46" s="67">
        <v>20.6</v>
      </c>
      <c r="L46" s="67">
        <v>20.6</v>
      </c>
      <c r="M46" s="67">
        <v>20.3</v>
      </c>
      <c r="N46" s="67">
        <v>20.399999999999999</v>
      </c>
      <c r="O46" s="67">
        <v>20.399999999999999</v>
      </c>
      <c r="P46" s="67">
        <v>20.399999999999999</v>
      </c>
      <c r="Q46" s="67">
        <v>20.3</v>
      </c>
      <c r="R46" s="67">
        <v>20.3</v>
      </c>
      <c r="S46" s="67">
        <v>19.7</v>
      </c>
      <c r="T46" s="67">
        <v>15.5</v>
      </c>
      <c r="U46" s="67">
        <v>18.600000000000001</v>
      </c>
      <c r="V46" s="67">
        <v>18.600000000000001</v>
      </c>
      <c r="W46" s="67">
        <v>18.600000000000001</v>
      </c>
      <c r="X46" s="67">
        <v>21.6</v>
      </c>
      <c r="Y46" s="67">
        <v>21.6</v>
      </c>
      <c r="Z46" s="67">
        <v>21.7</v>
      </c>
      <c r="AA46" s="67">
        <v>21.7</v>
      </c>
      <c r="AB46" s="67">
        <v>21.7</v>
      </c>
      <c r="AC46" s="67">
        <v>21.7</v>
      </c>
      <c r="AD46" s="67">
        <v>21.7</v>
      </c>
      <c r="AE46" s="67">
        <v>21.7</v>
      </c>
      <c r="AF46" s="67">
        <v>21.7</v>
      </c>
      <c r="AG46" s="68">
        <v>22.1</v>
      </c>
      <c r="AH46" s="48">
        <f t="shared" si="2"/>
        <v>21.7</v>
      </c>
      <c r="AI46" s="49">
        <f t="shared" si="3"/>
        <v>15.5</v>
      </c>
      <c r="AK46" s="50"/>
    </row>
    <row r="47" spans="1:88" ht="15.75" thickBot="1" x14ac:dyDescent="0.3">
      <c r="A47" s="69" t="s">
        <v>52</v>
      </c>
      <c r="B47" s="61">
        <f t="shared" ref="B47:AG47" si="6">SUM(B44:B46)</f>
        <v>132.6</v>
      </c>
      <c r="C47" s="61">
        <f t="shared" si="6"/>
        <v>112.6</v>
      </c>
      <c r="D47" s="61">
        <f t="shared" si="6"/>
        <v>97.7</v>
      </c>
      <c r="E47" s="61">
        <f t="shared" si="6"/>
        <v>87.6</v>
      </c>
      <c r="F47" s="61">
        <f t="shared" si="6"/>
        <v>97.6</v>
      </c>
      <c r="G47" s="61">
        <f t="shared" si="6"/>
        <v>122.6</v>
      </c>
      <c r="H47" s="61">
        <f t="shared" si="6"/>
        <v>172.6</v>
      </c>
      <c r="I47" s="61">
        <f t="shared" si="6"/>
        <v>207.6</v>
      </c>
      <c r="J47" s="61">
        <f t="shared" si="6"/>
        <v>272.60000000000002</v>
      </c>
      <c r="K47" s="61">
        <f t="shared" si="6"/>
        <v>377.6</v>
      </c>
      <c r="L47" s="61">
        <f t="shared" si="6"/>
        <v>492.6</v>
      </c>
      <c r="M47" s="61">
        <f t="shared" si="6"/>
        <v>442.3</v>
      </c>
      <c r="N47" s="61">
        <f t="shared" si="6"/>
        <v>422.4</v>
      </c>
      <c r="O47" s="61">
        <f t="shared" si="6"/>
        <v>232.4</v>
      </c>
      <c r="P47" s="61">
        <f t="shared" si="6"/>
        <v>192.4</v>
      </c>
      <c r="Q47" s="61">
        <f t="shared" si="6"/>
        <v>152.30000000000001</v>
      </c>
      <c r="R47" s="61">
        <f t="shared" si="6"/>
        <v>132.30000000000001</v>
      </c>
      <c r="S47" s="61">
        <f t="shared" si="6"/>
        <v>91.7</v>
      </c>
      <c r="T47" s="61">
        <f t="shared" si="6"/>
        <v>102.5</v>
      </c>
      <c r="U47" s="61">
        <f t="shared" si="6"/>
        <v>146.6</v>
      </c>
      <c r="V47" s="61">
        <f t="shared" si="6"/>
        <v>245.6</v>
      </c>
      <c r="W47" s="61">
        <f t="shared" si="6"/>
        <v>414.6</v>
      </c>
      <c r="X47" s="61">
        <f t="shared" si="6"/>
        <v>523.6</v>
      </c>
      <c r="Y47" s="61">
        <f t="shared" si="6"/>
        <v>523.6</v>
      </c>
      <c r="Z47" s="61">
        <f t="shared" si="6"/>
        <v>447.7</v>
      </c>
      <c r="AA47" s="61">
        <f t="shared" si="6"/>
        <v>367.7</v>
      </c>
      <c r="AB47" s="61">
        <f t="shared" si="6"/>
        <v>297.7</v>
      </c>
      <c r="AC47" s="61">
        <f t="shared" si="6"/>
        <v>297.7</v>
      </c>
      <c r="AD47" s="61">
        <f t="shared" si="6"/>
        <v>267.7</v>
      </c>
      <c r="AE47" s="61">
        <f t="shared" si="6"/>
        <v>187.7</v>
      </c>
      <c r="AF47" s="61">
        <f t="shared" si="6"/>
        <v>157.69999999999999</v>
      </c>
      <c r="AG47" s="62">
        <f t="shared" si="6"/>
        <v>538.1</v>
      </c>
      <c r="AH47" s="48">
        <f t="shared" si="2"/>
        <v>523.6</v>
      </c>
      <c r="AI47" s="49">
        <f t="shared" si="3"/>
        <v>87.6</v>
      </c>
      <c r="AK47" s="50"/>
    </row>
    <row r="48" spans="1:88" x14ac:dyDescent="0.25">
      <c r="A48" s="44" t="s">
        <v>53</v>
      </c>
      <c r="B48" s="45">
        <v>82.2</v>
      </c>
      <c r="C48" s="45">
        <v>77</v>
      </c>
      <c r="D48" s="45">
        <v>71.7</v>
      </c>
      <c r="E48" s="45">
        <v>46.4</v>
      </c>
      <c r="F48" s="45">
        <v>40.4</v>
      </c>
      <c r="G48" s="45">
        <v>66.5</v>
      </c>
      <c r="H48" s="45">
        <v>77</v>
      </c>
      <c r="I48" s="45">
        <v>105</v>
      </c>
      <c r="J48" s="45">
        <v>137</v>
      </c>
      <c r="K48" s="45">
        <v>142.4</v>
      </c>
      <c r="L48" s="45">
        <v>142.4</v>
      </c>
      <c r="M48" s="45">
        <v>142.4</v>
      </c>
      <c r="N48" s="45">
        <v>142.4</v>
      </c>
      <c r="O48" s="45">
        <v>142.4</v>
      </c>
      <c r="P48" s="45">
        <v>132.5</v>
      </c>
      <c r="Q48" s="45">
        <v>132.5</v>
      </c>
      <c r="R48" s="45">
        <v>132.5</v>
      </c>
      <c r="S48" s="45">
        <v>140.5</v>
      </c>
      <c r="T48" s="45">
        <v>141.6</v>
      </c>
      <c r="U48" s="45">
        <v>141.6</v>
      </c>
      <c r="V48" s="45">
        <v>140</v>
      </c>
      <c r="W48" s="45">
        <v>140.9</v>
      </c>
      <c r="X48" s="45">
        <v>141</v>
      </c>
      <c r="Y48" s="45">
        <v>141</v>
      </c>
      <c r="Z48" s="45">
        <v>141</v>
      </c>
      <c r="AA48" s="45">
        <v>141</v>
      </c>
      <c r="AB48" s="45">
        <v>139</v>
      </c>
      <c r="AC48" s="45">
        <v>138.9</v>
      </c>
      <c r="AD48" s="45">
        <v>138.9</v>
      </c>
      <c r="AE48" s="45">
        <v>120</v>
      </c>
      <c r="AF48" s="45">
        <v>86.6</v>
      </c>
      <c r="AG48" s="52">
        <v>144</v>
      </c>
      <c r="AH48" s="48">
        <f t="shared" si="2"/>
        <v>142.4</v>
      </c>
      <c r="AI48" s="49">
        <f t="shared" si="3"/>
        <v>40.4</v>
      </c>
      <c r="AK48" s="50"/>
    </row>
    <row r="49" spans="1:41" x14ac:dyDescent="0.25">
      <c r="A49" s="54" t="s">
        <v>54</v>
      </c>
      <c r="B49" s="65">
        <v>35</v>
      </c>
      <c r="C49" s="65">
        <v>24.2</v>
      </c>
      <c r="D49" s="65">
        <v>23</v>
      </c>
      <c r="E49" s="65">
        <v>17.600000000000001</v>
      </c>
      <c r="F49" s="65">
        <v>18.2</v>
      </c>
      <c r="G49" s="65">
        <v>21.6</v>
      </c>
      <c r="H49" s="65">
        <v>50.6</v>
      </c>
      <c r="I49" s="65">
        <v>70.599999999999994</v>
      </c>
      <c r="J49" s="65">
        <v>69.599999999999994</v>
      </c>
      <c r="K49" s="65">
        <v>70</v>
      </c>
      <c r="L49" s="65">
        <v>70</v>
      </c>
      <c r="M49" s="65">
        <v>70</v>
      </c>
      <c r="N49" s="65">
        <v>70</v>
      </c>
      <c r="O49" s="65">
        <v>70</v>
      </c>
      <c r="P49" s="45">
        <v>59.4</v>
      </c>
      <c r="Q49" s="45">
        <v>58.7</v>
      </c>
      <c r="R49" s="45">
        <v>70</v>
      </c>
      <c r="S49" s="65">
        <v>69.3</v>
      </c>
      <c r="T49" s="65">
        <v>70.5</v>
      </c>
      <c r="U49" s="65">
        <v>70</v>
      </c>
      <c r="V49" s="65">
        <v>70.2</v>
      </c>
      <c r="W49" s="65">
        <v>71</v>
      </c>
      <c r="X49" s="65">
        <v>70.5</v>
      </c>
      <c r="Y49" s="65">
        <v>70.5</v>
      </c>
      <c r="Z49" s="65">
        <v>70.5</v>
      </c>
      <c r="AA49" s="65">
        <v>70.5</v>
      </c>
      <c r="AB49" s="65">
        <v>71.400000000000006</v>
      </c>
      <c r="AC49" s="65">
        <v>71.5</v>
      </c>
      <c r="AD49" s="65">
        <v>71.5</v>
      </c>
      <c r="AE49" s="65">
        <v>35.700000000000003</v>
      </c>
      <c r="AF49" s="65">
        <v>30.2</v>
      </c>
      <c r="AG49" s="55">
        <v>70</v>
      </c>
      <c r="AH49" s="48">
        <f t="shared" si="2"/>
        <v>71.5</v>
      </c>
      <c r="AI49" s="49">
        <f t="shared" si="3"/>
        <v>17.600000000000001</v>
      </c>
      <c r="AK49" s="50"/>
    </row>
    <row r="50" spans="1:41" x14ac:dyDescent="0.25">
      <c r="A50" s="54" t="s">
        <v>55</v>
      </c>
      <c r="B50" s="65">
        <v>62.1</v>
      </c>
      <c r="C50" s="65">
        <v>53.9</v>
      </c>
      <c r="D50" s="65">
        <v>53.5</v>
      </c>
      <c r="E50" s="65">
        <v>61.8</v>
      </c>
      <c r="F50" s="65">
        <v>69.900000000000006</v>
      </c>
      <c r="G50" s="65">
        <v>70.099999999999994</v>
      </c>
      <c r="H50" s="65">
        <v>69.8</v>
      </c>
      <c r="I50" s="65">
        <v>69.8</v>
      </c>
      <c r="J50" s="65">
        <v>68.5</v>
      </c>
      <c r="K50" s="65">
        <v>69.7</v>
      </c>
      <c r="L50" s="65">
        <v>69.7</v>
      </c>
      <c r="M50" s="65">
        <v>69.7</v>
      </c>
      <c r="N50" s="65">
        <v>69.7</v>
      </c>
      <c r="O50" s="65">
        <v>69.7</v>
      </c>
      <c r="P50" s="45">
        <v>66.8</v>
      </c>
      <c r="Q50" s="45">
        <v>66</v>
      </c>
      <c r="R50" s="45">
        <v>60.8</v>
      </c>
      <c r="S50" s="65">
        <v>67.7</v>
      </c>
      <c r="T50" s="65">
        <v>68.2</v>
      </c>
      <c r="U50" s="65">
        <v>68.2</v>
      </c>
      <c r="V50" s="65">
        <v>67.599999999999994</v>
      </c>
      <c r="W50" s="65">
        <v>67.7</v>
      </c>
      <c r="X50" s="65">
        <v>67</v>
      </c>
      <c r="Y50" s="65">
        <v>67</v>
      </c>
      <c r="Z50" s="65">
        <v>67</v>
      </c>
      <c r="AA50" s="65">
        <v>67</v>
      </c>
      <c r="AB50" s="65">
        <v>68.2</v>
      </c>
      <c r="AC50" s="65">
        <v>68.7</v>
      </c>
      <c r="AD50" s="65">
        <v>68.7</v>
      </c>
      <c r="AE50" s="65">
        <v>69.5</v>
      </c>
      <c r="AF50" s="65">
        <v>60.8</v>
      </c>
      <c r="AG50" s="55">
        <v>69</v>
      </c>
      <c r="AH50" s="48">
        <f t="shared" si="2"/>
        <v>70.099999999999994</v>
      </c>
      <c r="AI50" s="49">
        <f t="shared" si="3"/>
        <v>53.5</v>
      </c>
      <c r="AK50" s="50"/>
    </row>
    <row r="51" spans="1:41" x14ac:dyDescent="0.25">
      <c r="A51" s="54" t="s">
        <v>56</v>
      </c>
      <c r="B51" s="57">
        <v>61.2</v>
      </c>
      <c r="C51" s="57">
        <v>61.3</v>
      </c>
      <c r="D51" s="57">
        <v>61.2</v>
      </c>
      <c r="E51" s="57">
        <v>61.2</v>
      </c>
      <c r="F51" s="57">
        <v>61.2</v>
      </c>
      <c r="G51" s="57">
        <v>61.2</v>
      </c>
      <c r="H51" s="57">
        <v>61.2</v>
      </c>
      <c r="I51" s="57">
        <v>61</v>
      </c>
      <c r="J51" s="57">
        <v>61.2</v>
      </c>
      <c r="K51" s="57">
        <v>61</v>
      </c>
      <c r="L51" s="57">
        <v>61</v>
      </c>
      <c r="M51" s="57">
        <v>61</v>
      </c>
      <c r="N51" s="57">
        <v>61</v>
      </c>
      <c r="O51" s="57">
        <v>61</v>
      </c>
      <c r="P51" s="45">
        <v>61</v>
      </c>
      <c r="Q51" s="45">
        <v>61</v>
      </c>
      <c r="R51" s="45">
        <v>61</v>
      </c>
      <c r="S51" s="45">
        <v>61</v>
      </c>
      <c r="T51" s="45">
        <v>61</v>
      </c>
      <c r="U51" s="45">
        <v>61</v>
      </c>
      <c r="V51" s="65">
        <v>61</v>
      </c>
      <c r="W51" s="65">
        <v>61</v>
      </c>
      <c r="X51" s="65">
        <v>61</v>
      </c>
      <c r="Y51" s="65">
        <v>61</v>
      </c>
      <c r="Z51" s="65">
        <v>61</v>
      </c>
      <c r="AA51" s="65">
        <v>61</v>
      </c>
      <c r="AB51" s="65">
        <v>61</v>
      </c>
      <c r="AC51" s="65">
        <v>61</v>
      </c>
      <c r="AD51" s="65">
        <v>61</v>
      </c>
      <c r="AE51" s="65">
        <v>61</v>
      </c>
      <c r="AF51" s="57">
        <v>61.2</v>
      </c>
      <c r="AG51" s="55">
        <v>60</v>
      </c>
      <c r="AH51" s="48">
        <f t="shared" si="2"/>
        <v>61.3</v>
      </c>
      <c r="AI51" s="49">
        <f t="shared" si="3"/>
        <v>61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13.6</v>
      </c>
      <c r="G52" s="57">
        <v>13.6</v>
      </c>
      <c r="H52" s="57">
        <v>15</v>
      </c>
      <c r="I52" s="57">
        <v>30</v>
      </c>
      <c r="J52" s="57">
        <v>26.7</v>
      </c>
      <c r="K52" s="57">
        <v>27.3</v>
      </c>
      <c r="L52" s="57">
        <v>27.3</v>
      </c>
      <c r="M52" s="57">
        <v>27.3</v>
      </c>
      <c r="N52" s="57">
        <v>27.3</v>
      </c>
      <c r="O52" s="57">
        <v>27.3</v>
      </c>
      <c r="P52" s="45">
        <v>14.1</v>
      </c>
      <c r="Q52" s="45">
        <v>14.1</v>
      </c>
      <c r="R52" s="45">
        <v>0</v>
      </c>
      <c r="S52" s="45">
        <v>0</v>
      </c>
      <c r="T52" s="45">
        <v>0</v>
      </c>
      <c r="U52" s="45">
        <v>0</v>
      </c>
      <c r="V52" s="65">
        <v>13.8</v>
      </c>
      <c r="W52" s="65">
        <v>30</v>
      </c>
      <c r="X52" s="65">
        <v>30</v>
      </c>
      <c r="Y52" s="65">
        <v>29.3</v>
      </c>
      <c r="Z52" s="65">
        <v>29.3</v>
      </c>
      <c r="AA52" s="65">
        <v>29.3</v>
      </c>
      <c r="AB52" s="65">
        <v>29.3</v>
      </c>
      <c r="AC52" s="65">
        <v>28.6</v>
      </c>
      <c r="AD52" s="65">
        <v>13.2</v>
      </c>
      <c r="AE52" s="65">
        <v>13.3</v>
      </c>
      <c r="AF52" s="57">
        <v>0</v>
      </c>
      <c r="AG52" s="55">
        <v>30</v>
      </c>
      <c r="AH52" s="48">
        <f t="shared" si="2"/>
        <v>30</v>
      </c>
      <c r="AI52" s="49">
        <f t="shared" si="3"/>
        <v>0</v>
      </c>
      <c r="AK52" s="50"/>
    </row>
    <row r="53" spans="1:41" x14ac:dyDescent="0.25">
      <c r="A53" s="54" t="s">
        <v>58</v>
      </c>
      <c r="B53" s="65">
        <v>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4</v>
      </c>
      <c r="N53" s="65">
        <v>4</v>
      </c>
      <c r="O53" s="65">
        <v>4</v>
      </c>
      <c r="P53" s="65">
        <v>6</v>
      </c>
      <c r="Q53" s="65">
        <v>6</v>
      </c>
      <c r="R53" s="65">
        <v>6</v>
      </c>
      <c r="S53" s="45">
        <v>6</v>
      </c>
      <c r="T53" s="45">
        <v>6</v>
      </c>
      <c r="U53" s="45">
        <v>6</v>
      </c>
      <c r="V53" s="45">
        <v>0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55">
        <v>25</v>
      </c>
      <c r="AH53" s="48">
        <f t="shared" si="2"/>
        <v>6</v>
      </c>
      <c r="AI53" s="49">
        <f t="shared" si="3"/>
        <v>0</v>
      </c>
      <c r="AK53" s="50"/>
    </row>
    <row r="54" spans="1:41" x14ac:dyDescent="0.25">
      <c r="A54" s="54" t="s">
        <v>59</v>
      </c>
      <c r="B54" s="65">
        <v>17.3</v>
      </c>
      <c r="C54" s="65">
        <v>17.3</v>
      </c>
      <c r="D54" s="65">
        <v>17.3</v>
      </c>
      <c r="E54" s="65">
        <v>17.3</v>
      </c>
      <c r="F54" s="65">
        <v>17.3</v>
      </c>
      <c r="G54" s="65">
        <v>17.3</v>
      </c>
      <c r="H54" s="65">
        <v>17.3</v>
      </c>
      <c r="I54" s="65">
        <v>17.3</v>
      </c>
      <c r="J54" s="65">
        <v>17.3</v>
      </c>
      <c r="K54" s="65">
        <v>17.3</v>
      </c>
      <c r="L54" s="65">
        <v>17.3</v>
      </c>
      <c r="M54" s="65">
        <v>17.3</v>
      </c>
      <c r="N54" s="65">
        <v>17.3</v>
      </c>
      <c r="O54" s="65">
        <v>17.3</v>
      </c>
      <c r="P54" s="65">
        <v>17.3</v>
      </c>
      <c r="Q54" s="65">
        <v>17.3</v>
      </c>
      <c r="R54" s="65">
        <v>17.3</v>
      </c>
      <c r="S54" s="45">
        <v>17.3</v>
      </c>
      <c r="T54" s="45">
        <v>17.3</v>
      </c>
      <c r="U54" s="45">
        <v>17.3</v>
      </c>
      <c r="V54" s="45">
        <v>17.3</v>
      </c>
      <c r="W54" s="45">
        <v>17.3</v>
      </c>
      <c r="X54" s="45">
        <v>17.3</v>
      </c>
      <c r="Y54" s="45">
        <v>17.3</v>
      </c>
      <c r="Z54" s="45">
        <v>17.3</v>
      </c>
      <c r="AA54" s="45">
        <v>17.3</v>
      </c>
      <c r="AB54" s="45">
        <v>17.3</v>
      </c>
      <c r="AC54" s="45">
        <v>17.3</v>
      </c>
      <c r="AD54" s="45">
        <v>17.3</v>
      </c>
      <c r="AE54" s="45">
        <v>17.3</v>
      </c>
      <c r="AF54" s="45">
        <v>17.3</v>
      </c>
      <c r="AG54" s="55">
        <v>24</v>
      </c>
      <c r="AH54" s="48">
        <f t="shared" si="2"/>
        <v>17.3</v>
      </c>
      <c r="AI54" s="49">
        <f t="shared" si="3"/>
        <v>17.3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14.6</v>
      </c>
      <c r="C56" s="65">
        <v>14.5</v>
      </c>
      <c r="D56" s="65">
        <v>14.5</v>
      </c>
      <c r="E56" s="65">
        <v>14.7</v>
      </c>
      <c r="F56" s="65">
        <v>14.7</v>
      </c>
      <c r="G56" s="65">
        <v>14.7</v>
      </c>
      <c r="H56" s="65">
        <v>14.7</v>
      </c>
      <c r="I56" s="65">
        <v>14.7</v>
      </c>
      <c r="J56" s="65">
        <v>14.7</v>
      </c>
      <c r="K56" s="65">
        <v>14.7</v>
      </c>
      <c r="L56" s="65">
        <v>14.7</v>
      </c>
      <c r="M56" s="65">
        <v>14.7</v>
      </c>
      <c r="N56" s="65">
        <v>14.7</v>
      </c>
      <c r="O56" s="65">
        <v>14.7</v>
      </c>
      <c r="P56" s="65">
        <v>14.2</v>
      </c>
      <c r="Q56" s="65">
        <v>14.2</v>
      </c>
      <c r="R56" s="65">
        <v>14.2</v>
      </c>
      <c r="S56" s="65">
        <v>14.2</v>
      </c>
      <c r="T56" s="65">
        <v>14.2</v>
      </c>
      <c r="U56" s="65">
        <v>14.2</v>
      </c>
      <c r="V56" s="65">
        <v>14.2</v>
      </c>
      <c r="W56" s="65">
        <v>14.2</v>
      </c>
      <c r="X56" s="65">
        <v>14.2</v>
      </c>
      <c r="Y56" s="65">
        <v>14.2</v>
      </c>
      <c r="Z56" s="65">
        <v>14.2</v>
      </c>
      <c r="AA56" s="65">
        <v>14.2</v>
      </c>
      <c r="AB56" s="65">
        <v>14.2</v>
      </c>
      <c r="AC56" s="65">
        <v>14.2</v>
      </c>
      <c r="AD56" s="65">
        <v>14.2</v>
      </c>
      <c r="AE56" s="65">
        <v>14.2</v>
      </c>
      <c r="AF56" s="65">
        <v>14.2</v>
      </c>
      <c r="AG56" s="55">
        <v>14.1</v>
      </c>
      <c r="AH56" s="48">
        <f t="shared" si="2"/>
        <v>14.7</v>
      </c>
      <c r="AI56" s="49">
        <f t="shared" si="3"/>
        <v>14.2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8.6</v>
      </c>
      <c r="C57" s="65">
        <v>8.6999999999999993</v>
      </c>
      <c r="D57" s="65">
        <v>8.6999999999999993</v>
      </c>
      <c r="E57" s="65">
        <v>8.1999999999999993</v>
      </c>
      <c r="F57" s="65">
        <v>8.1999999999999993</v>
      </c>
      <c r="G57" s="65">
        <v>8.1999999999999993</v>
      </c>
      <c r="H57" s="65">
        <v>8.1999999999999993</v>
      </c>
      <c r="I57" s="65">
        <v>8.1999999999999993</v>
      </c>
      <c r="J57" s="65">
        <v>8.1999999999999993</v>
      </c>
      <c r="K57" s="65">
        <v>8.1999999999999993</v>
      </c>
      <c r="L57" s="65">
        <v>8.1999999999999993</v>
      </c>
      <c r="M57" s="65">
        <v>8.1999999999999993</v>
      </c>
      <c r="N57" s="65">
        <v>8.1999999999999993</v>
      </c>
      <c r="O57" s="65">
        <v>8.1999999999999993</v>
      </c>
      <c r="P57" s="65">
        <v>8.1999999999999993</v>
      </c>
      <c r="Q57" s="65">
        <v>8.1999999999999993</v>
      </c>
      <c r="R57" s="65">
        <v>8.1999999999999993</v>
      </c>
      <c r="S57" s="65">
        <v>8.1999999999999993</v>
      </c>
      <c r="T57" s="65">
        <v>8.1999999999999993</v>
      </c>
      <c r="U57" s="65">
        <v>8.1999999999999993</v>
      </c>
      <c r="V57" s="65">
        <v>8.1999999999999993</v>
      </c>
      <c r="W57" s="65">
        <v>8.1999999999999993</v>
      </c>
      <c r="X57" s="65">
        <v>8.1999999999999993</v>
      </c>
      <c r="Y57" s="65">
        <v>8.1999999999999993</v>
      </c>
      <c r="Z57" s="65">
        <v>8.1999999999999993</v>
      </c>
      <c r="AA57" s="65">
        <v>8.1999999999999993</v>
      </c>
      <c r="AB57" s="65">
        <v>8.1999999999999993</v>
      </c>
      <c r="AC57" s="65">
        <v>8.1999999999999993</v>
      </c>
      <c r="AD57" s="65">
        <v>8.1999999999999993</v>
      </c>
      <c r="AE57" s="65">
        <v>8.1999999999999993</v>
      </c>
      <c r="AF57" s="65">
        <v>8.1999999999999993</v>
      </c>
      <c r="AG57" s="55">
        <v>14</v>
      </c>
      <c r="AH57" s="48">
        <f t="shared" si="2"/>
        <v>8.6999999999999993</v>
      </c>
      <c r="AI57" s="49">
        <f t="shared" si="3"/>
        <v>8.1999999999999993</v>
      </c>
      <c r="AK57" s="50"/>
    </row>
    <row r="58" spans="1:41" x14ac:dyDescent="0.25">
      <c r="A58" s="54" t="s">
        <v>63</v>
      </c>
      <c r="B58" s="65">
        <v>6.2</v>
      </c>
      <c r="C58" s="65">
        <v>6.2</v>
      </c>
      <c r="D58" s="65">
        <v>6.2</v>
      </c>
      <c r="E58" s="65">
        <v>6.2</v>
      </c>
      <c r="F58" s="65">
        <v>6.2</v>
      </c>
      <c r="G58" s="65">
        <v>6.2</v>
      </c>
      <c r="H58" s="65">
        <v>6.2</v>
      </c>
      <c r="I58" s="65">
        <v>6.2</v>
      </c>
      <c r="J58" s="65">
        <v>6.2</v>
      </c>
      <c r="K58" s="65">
        <v>6.2</v>
      </c>
      <c r="L58" s="65">
        <v>6.2</v>
      </c>
      <c r="M58" s="65">
        <v>6.2</v>
      </c>
      <c r="N58" s="65">
        <v>6.2</v>
      </c>
      <c r="O58" s="65">
        <v>6.2</v>
      </c>
      <c r="P58" s="65">
        <v>6.2</v>
      </c>
      <c r="Q58" s="65">
        <v>6.2</v>
      </c>
      <c r="R58" s="65">
        <v>6.2</v>
      </c>
      <c r="S58" s="65">
        <v>6.2</v>
      </c>
      <c r="T58" s="65">
        <v>6.2</v>
      </c>
      <c r="U58" s="65">
        <v>6.2</v>
      </c>
      <c r="V58" s="65">
        <v>6.2</v>
      </c>
      <c r="W58" s="65">
        <v>6.2</v>
      </c>
      <c r="X58" s="65">
        <v>6.2</v>
      </c>
      <c r="Y58" s="65">
        <v>6.2</v>
      </c>
      <c r="Z58" s="65">
        <v>6.2</v>
      </c>
      <c r="AA58" s="65">
        <v>6.2</v>
      </c>
      <c r="AB58" s="65">
        <v>6.2</v>
      </c>
      <c r="AC58" s="65">
        <v>6.2</v>
      </c>
      <c r="AD58" s="65">
        <v>6.2</v>
      </c>
      <c r="AE58" s="65">
        <v>6.2</v>
      </c>
      <c r="AF58" s="65">
        <v>6.2</v>
      </c>
      <c r="AG58" s="55">
        <v>10.050000000000001</v>
      </c>
      <c r="AH58" s="48">
        <f t="shared" si="2"/>
        <v>6.2</v>
      </c>
      <c r="AI58" s="49">
        <f t="shared" si="3"/>
        <v>6.2</v>
      </c>
      <c r="AK58" s="50"/>
    </row>
    <row r="59" spans="1:41" x14ac:dyDescent="0.25">
      <c r="A59" s="54" t="s">
        <v>64</v>
      </c>
      <c r="B59" s="65">
        <v>4.2</v>
      </c>
      <c r="C59" s="65">
        <v>4.3</v>
      </c>
      <c r="D59" s="65">
        <v>4.3</v>
      </c>
      <c r="E59" s="65">
        <v>4.3</v>
      </c>
      <c r="F59" s="65">
        <v>4.3</v>
      </c>
      <c r="G59" s="65">
        <v>4.3</v>
      </c>
      <c r="H59" s="65">
        <v>4.3</v>
      </c>
      <c r="I59" s="65">
        <v>4.3</v>
      </c>
      <c r="J59" s="65">
        <v>4.3</v>
      </c>
      <c r="K59" s="65">
        <v>4.3</v>
      </c>
      <c r="L59" s="65">
        <v>4.3</v>
      </c>
      <c r="M59" s="65">
        <v>4.3</v>
      </c>
      <c r="N59" s="65">
        <v>4.3</v>
      </c>
      <c r="O59" s="65">
        <v>4.3</v>
      </c>
      <c r="P59" s="65">
        <v>4.3</v>
      </c>
      <c r="Q59" s="65">
        <v>4.3</v>
      </c>
      <c r="R59" s="65">
        <v>4.3</v>
      </c>
      <c r="S59" s="65">
        <v>4.3</v>
      </c>
      <c r="T59" s="65">
        <v>4.3</v>
      </c>
      <c r="U59" s="65">
        <v>4.3</v>
      </c>
      <c r="V59" s="65">
        <v>4.3</v>
      </c>
      <c r="W59" s="65">
        <v>4.3</v>
      </c>
      <c r="X59" s="65">
        <v>4.3</v>
      </c>
      <c r="Y59" s="65">
        <v>4.3</v>
      </c>
      <c r="Z59" s="65">
        <v>4.3</v>
      </c>
      <c r="AA59" s="65">
        <v>4.3</v>
      </c>
      <c r="AB59" s="65">
        <v>4.3</v>
      </c>
      <c r="AC59" s="65">
        <v>4.3</v>
      </c>
      <c r="AD59" s="65">
        <v>4.3</v>
      </c>
      <c r="AE59" s="65">
        <v>4.3</v>
      </c>
      <c r="AF59" s="65">
        <v>4.3</v>
      </c>
      <c r="AG59" s="55">
        <v>6.2</v>
      </c>
      <c r="AH59" s="48">
        <f t="shared" si="2"/>
        <v>4.3</v>
      </c>
      <c r="AI59" s="49">
        <f t="shared" si="3"/>
        <v>4.2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:AG61" si="7">SUM(B48:B60)</f>
        <v>294.94000000000005</v>
      </c>
      <c r="C61" s="61">
        <f t="shared" si="7"/>
        <v>270.94</v>
      </c>
      <c r="D61" s="61">
        <f t="shared" si="7"/>
        <v>263.94</v>
      </c>
      <c r="E61" s="61">
        <f t="shared" si="7"/>
        <v>241.23999999999998</v>
      </c>
      <c r="F61" s="61">
        <f t="shared" si="7"/>
        <v>257.53999999999996</v>
      </c>
      <c r="G61" s="61">
        <f t="shared" si="7"/>
        <v>287.24</v>
      </c>
      <c r="H61" s="61">
        <f t="shared" si="7"/>
        <v>327.84</v>
      </c>
      <c r="I61" s="61">
        <f t="shared" si="7"/>
        <v>390.64</v>
      </c>
      <c r="J61" s="61">
        <f t="shared" si="7"/>
        <v>417.24</v>
      </c>
      <c r="K61" s="61">
        <f t="shared" si="7"/>
        <v>424.64000000000004</v>
      </c>
      <c r="L61" s="61">
        <f t="shared" si="7"/>
        <v>424.64000000000004</v>
      </c>
      <c r="M61" s="61">
        <f t="shared" si="7"/>
        <v>428.64000000000004</v>
      </c>
      <c r="N61" s="61">
        <f t="shared" si="7"/>
        <v>428.64000000000004</v>
      </c>
      <c r="O61" s="61">
        <f t="shared" si="7"/>
        <v>428.64000000000004</v>
      </c>
      <c r="P61" s="61">
        <f t="shared" si="7"/>
        <v>393.54</v>
      </c>
      <c r="Q61" s="61">
        <f t="shared" si="7"/>
        <v>392.04</v>
      </c>
      <c r="R61" s="61">
        <f t="shared" si="7"/>
        <v>384.04</v>
      </c>
      <c r="S61" s="61">
        <f t="shared" si="7"/>
        <v>398.24</v>
      </c>
      <c r="T61" s="61">
        <f t="shared" si="7"/>
        <v>401.04</v>
      </c>
      <c r="U61" s="61">
        <f t="shared" si="7"/>
        <v>400.54</v>
      </c>
      <c r="V61" s="61">
        <f t="shared" si="7"/>
        <v>406.34</v>
      </c>
      <c r="W61" s="61">
        <f t="shared" si="7"/>
        <v>424.34000000000003</v>
      </c>
      <c r="X61" s="61">
        <f t="shared" si="7"/>
        <v>423.24</v>
      </c>
      <c r="Y61" s="61">
        <f t="shared" si="7"/>
        <v>422.54</v>
      </c>
      <c r="Z61" s="61">
        <f t="shared" si="7"/>
        <v>422.54</v>
      </c>
      <c r="AA61" s="61">
        <f t="shared" si="7"/>
        <v>422.54</v>
      </c>
      <c r="AB61" s="61">
        <f t="shared" si="7"/>
        <v>422.64000000000004</v>
      </c>
      <c r="AC61" s="61">
        <f t="shared" si="7"/>
        <v>422.44000000000005</v>
      </c>
      <c r="AD61" s="61">
        <f t="shared" si="7"/>
        <v>407.04</v>
      </c>
      <c r="AE61" s="61">
        <f t="shared" si="7"/>
        <v>353.24</v>
      </c>
      <c r="AF61" s="61">
        <f t="shared" si="7"/>
        <v>292.54000000000002</v>
      </c>
      <c r="AG61" s="62">
        <f t="shared" si="7"/>
        <v>489.91</v>
      </c>
      <c r="AH61" s="48">
        <f t="shared" si="2"/>
        <v>428.64000000000004</v>
      </c>
      <c r="AI61" s="49">
        <f t="shared" si="3"/>
        <v>241.23999999999998</v>
      </c>
      <c r="AK61" s="50"/>
    </row>
    <row r="62" spans="1:41" x14ac:dyDescent="0.25">
      <c r="A62" s="44" t="s">
        <v>67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5">
        <v>0</v>
      </c>
      <c r="J62" s="45">
        <v>0</v>
      </c>
      <c r="K62" s="45">
        <v>0</v>
      </c>
      <c r="L62" s="45">
        <v>0</v>
      </c>
      <c r="M62" s="45">
        <v>29.4</v>
      </c>
      <c r="N62" s="45">
        <v>0</v>
      </c>
      <c r="O62" s="45">
        <v>0</v>
      </c>
      <c r="P62" s="45">
        <v>0</v>
      </c>
      <c r="Q62" s="45">
        <v>0</v>
      </c>
      <c r="R62" s="45">
        <v>0</v>
      </c>
      <c r="S62" s="45">
        <v>0</v>
      </c>
      <c r="T62" s="45">
        <v>0</v>
      </c>
      <c r="U62" s="45">
        <v>0</v>
      </c>
      <c r="V62" s="45">
        <v>0</v>
      </c>
      <c r="W62" s="45">
        <v>55.5</v>
      </c>
      <c r="X62" s="45">
        <v>59.4</v>
      </c>
      <c r="Y62" s="45">
        <v>59.4</v>
      </c>
      <c r="Z62" s="45">
        <v>52.4</v>
      </c>
      <c r="AA62" s="45">
        <v>59.4</v>
      </c>
      <c r="AB62" s="45">
        <v>50.7</v>
      </c>
      <c r="AC62" s="45">
        <v>40.1</v>
      </c>
      <c r="AD62" s="45">
        <v>0</v>
      </c>
      <c r="AE62" s="45">
        <v>0</v>
      </c>
      <c r="AF62" s="45"/>
      <c r="AG62" s="52">
        <v>60</v>
      </c>
      <c r="AH62" s="48">
        <f t="shared" si="2"/>
        <v>59.4</v>
      </c>
      <c r="AI62" s="49">
        <f t="shared" si="3"/>
        <v>0</v>
      </c>
      <c r="AK62" s="50"/>
    </row>
    <row r="63" spans="1:41" x14ac:dyDescent="0.25">
      <c r="A63" s="54" t="s">
        <v>68</v>
      </c>
      <c r="B63" s="65">
        <v>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14.5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21.8</v>
      </c>
      <c r="X63" s="65">
        <v>27.6</v>
      </c>
      <c r="Y63" s="65">
        <v>27.6</v>
      </c>
      <c r="Z63" s="65">
        <v>27.6</v>
      </c>
      <c r="AA63" s="65">
        <v>28.7</v>
      </c>
      <c r="AB63" s="65">
        <v>22.4</v>
      </c>
      <c r="AC63" s="65">
        <v>22.5</v>
      </c>
      <c r="AD63" s="65">
        <v>5</v>
      </c>
      <c r="AE63" s="65">
        <v>0</v>
      </c>
      <c r="AF63" s="65"/>
      <c r="AG63" s="55">
        <v>32</v>
      </c>
      <c r="AH63" s="48">
        <f t="shared" si="2"/>
        <v>28.7</v>
      </c>
      <c r="AI63" s="49">
        <f t="shared" si="3"/>
        <v>0</v>
      </c>
      <c r="AK63" s="50"/>
    </row>
    <row r="64" spans="1:41" ht="15.75" thickBot="1" x14ac:dyDescent="0.3">
      <c r="A64" s="71" t="s">
        <v>69</v>
      </c>
      <c r="B64" s="67">
        <v>0</v>
      </c>
      <c r="C64" s="67">
        <v>0</v>
      </c>
      <c r="D64" s="67">
        <v>0</v>
      </c>
      <c r="E64" s="67">
        <v>0</v>
      </c>
      <c r="F64" s="67">
        <v>0</v>
      </c>
      <c r="G64" s="67">
        <v>0</v>
      </c>
      <c r="H64" s="67">
        <v>0</v>
      </c>
      <c r="I64" s="67">
        <v>0</v>
      </c>
      <c r="J64" s="67">
        <v>0</v>
      </c>
      <c r="K64" s="67">
        <v>0</v>
      </c>
      <c r="L64" s="67">
        <v>0</v>
      </c>
      <c r="M64" s="67">
        <v>5.3</v>
      </c>
      <c r="N64" s="67">
        <v>0</v>
      </c>
      <c r="O64" s="67">
        <v>0</v>
      </c>
      <c r="P64" s="67">
        <v>0</v>
      </c>
      <c r="Q64" s="67">
        <v>0</v>
      </c>
      <c r="R64" s="67">
        <v>0</v>
      </c>
      <c r="S64" s="67">
        <v>0</v>
      </c>
      <c r="T64" s="67">
        <v>0</v>
      </c>
      <c r="U64" s="67">
        <v>0</v>
      </c>
      <c r="V64" s="67">
        <v>0</v>
      </c>
      <c r="W64" s="67">
        <v>8</v>
      </c>
      <c r="X64" s="67">
        <v>10.1</v>
      </c>
      <c r="Y64" s="67">
        <v>10.1</v>
      </c>
      <c r="Z64" s="67">
        <v>10.1</v>
      </c>
      <c r="AA64" s="67">
        <v>10.5</v>
      </c>
      <c r="AB64" s="67">
        <v>8.1999999999999993</v>
      </c>
      <c r="AC64" s="67">
        <v>8.1999999999999993</v>
      </c>
      <c r="AD64" s="67">
        <v>1.8</v>
      </c>
      <c r="AE64" s="67">
        <v>0</v>
      </c>
      <c r="AF64" s="67"/>
      <c r="AG64" s="68">
        <v>14</v>
      </c>
      <c r="AH64" s="48">
        <f t="shared" si="2"/>
        <v>10.5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:AG65" si="8">SUM(B62:B64)</f>
        <v>0</v>
      </c>
      <c r="C65" s="61">
        <f t="shared" si="8"/>
        <v>0</v>
      </c>
      <c r="D65" s="61">
        <f t="shared" si="8"/>
        <v>0</v>
      </c>
      <c r="E65" s="61">
        <f t="shared" si="8"/>
        <v>0</v>
      </c>
      <c r="F65" s="61">
        <f t="shared" si="8"/>
        <v>0</v>
      </c>
      <c r="G65" s="61">
        <f t="shared" si="8"/>
        <v>0</v>
      </c>
      <c r="H65" s="61">
        <f t="shared" si="8"/>
        <v>0</v>
      </c>
      <c r="I65" s="61">
        <f t="shared" si="8"/>
        <v>0</v>
      </c>
      <c r="J65" s="61">
        <f t="shared" si="8"/>
        <v>0</v>
      </c>
      <c r="K65" s="61">
        <f t="shared" si="8"/>
        <v>0</v>
      </c>
      <c r="L65" s="61">
        <f t="shared" si="8"/>
        <v>0</v>
      </c>
      <c r="M65" s="61">
        <f t="shared" si="8"/>
        <v>49.199999999999996</v>
      </c>
      <c r="N65" s="61">
        <f t="shared" si="8"/>
        <v>0</v>
      </c>
      <c r="O65" s="61">
        <f t="shared" si="8"/>
        <v>0</v>
      </c>
      <c r="P65" s="61">
        <f t="shared" si="8"/>
        <v>0</v>
      </c>
      <c r="Q65" s="61">
        <f t="shared" si="8"/>
        <v>0</v>
      </c>
      <c r="R65" s="61">
        <f t="shared" si="8"/>
        <v>0</v>
      </c>
      <c r="S65" s="61">
        <f t="shared" si="8"/>
        <v>0</v>
      </c>
      <c r="T65" s="61">
        <f t="shared" si="8"/>
        <v>0</v>
      </c>
      <c r="U65" s="61">
        <f t="shared" si="8"/>
        <v>0</v>
      </c>
      <c r="V65" s="61">
        <f t="shared" si="8"/>
        <v>0</v>
      </c>
      <c r="W65" s="61">
        <f t="shared" si="8"/>
        <v>85.3</v>
      </c>
      <c r="X65" s="61">
        <f t="shared" si="8"/>
        <v>97.1</v>
      </c>
      <c r="Y65" s="61">
        <f t="shared" si="8"/>
        <v>97.1</v>
      </c>
      <c r="Z65" s="61">
        <f t="shared" si="8"/>
        <v>90.1</v>
      </c>
      <c r="AA65" s="61">
        <f t="shared" si="8"/>
        <v>98.6</v>
      </c>
      <c r="AB65" s="61">
        <f t="shared" si="8"/>
        <v>81.3</v>
      </c>
      <c r="AC65" s="61">
        <f t="shared" si="8"/>
        <v>70.8</v>
      </c>
      <c r="AD65" s="61">
        <f t="shared" si="8"/>
        <v>6.8</v>
      </c>
      <c r="AE65" s="61">
        <f t="shared" si="8"/>
        <v>0</v>
      </c>
      <c r="AF65" s="61">
        <f t="shared" si="8"/>
        <v>0</v>
      </c>
      <c r="AG65" s="62">
        <f t="shared" si="8"/>
        <v>106</v>
      </c>
      <c r="AH65" s="48">
        <f t="shared" si="2"/>
        <v>98.6</v>
      </c>
      <c r="AI65" s="49">
        <f t="shared" si="3"/>
        <v>0</v>
      </c>
      <c r="AK65" s="50"/>
    </row>
    <row r="66" spans="1:37" x14ac:dyDescent="0.25">
      <c r="A66" s="44" t="s">
        <v>71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10</v>
      </c>
      <c r="I66" s="45">
        <v>15</v>
      </c>
      <c r="J66" s="45">
        <v>17.899999999999999</v>
      </c>
      <c r="K66" s="45">
        <v>22.1</v>
      </c>
      <c r="L66" s="45">
        <v>48</v>
      </c>
      <c r="M66" s="45">
        <v>46.4</v>
      </c>
      <c r="N66" s="45">
        <v>21.4</v>
      </c>
      <c r="O66" s="45">
        <v>18.899999999999999</v>
      </c>
      <c r="P66" s="45">
        <v>16.899999999999999</v>
      </c>
      <c r="Q66" s="45">
        <v>14.5</v>
      </c>
      <c r="R66" s="45">
        <v>26.7</v>
      </c>
      <c r="S66" s="45">
        <v>27.1</v>
      </c>
      <c r="T66" s="45">
        <v>27.4</v>
      </c>
      <c r="U66" s="45">
        <v>27</v>
      </c>
      <c r="V66" s="45">
        <v>24</v>
      </c>
      <c r="W66" s="45">
        <v>25.1</v>
      </c>
      <c r="X66" s="45">
        <v>33.700000000000003</v>
      </c>
      <c r="Y66" s="45">
        <v>29.5</v>
      </c>
      <c r="Z66" s="45">
        <v>26.5</v>
      </c>
      <c r="AA66" s="45">
        <v>22.4</v>
      </c>
      <c r="AB66" s="45">
        <v>16.600000000000001</v>
      </c>
      <c r="AC66" s="45">
        <v>15</v>
      </c>
      <c r="AD66" s="45">
        <v>28.9</v>
      </c>
      <c r="AE66" s="45">
        <v>0</v>
      </c>
      <c r="AF66" s="45"/>
      <c r="AG66" s="52"/>
      <c r="AH66" s="48">
        <f t="shared" si="2"/>
        <v>48</v>
      </c>
      <c r="AI66" s="49">
        <f t="shared" si="3"/>
        <v>0</v>
      </c>
      <c r="AK66" s="50"/>
    </row>
    <row r="67" spans="1:37" x14ac:dyDescent="0.25">
      <c r="A67" s="54" t="s">
        <v>72</v>
      </c>
      <c r="B67" s="65">
        <v>0</v>
      </c>
      <c r="C67" s="65">
        <v>0</v>
      </c>
      <c r="D67" s="65">
        <v>0</v>
      </c>
      <c r="E67" s="65">
        <v>0</v>
      </c>
      <c r="F67" s="65">
        <v>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/>
      <c r="AC67" s="65"/>
      <c r="AD67" s="65"/>
      <c r="AE67" s="65"/>
      <c r="AF67" s="65"/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-142</v>
      </c>
      <c r="C68" s="65">
        <v>-116</v>
      </c>
      <c r="D68" s="65">
        <v>-96.2</v>
      </c>
      <c r="E68" s="65">
        <v>-91</v>
      </c>
      <c r="F68" s="65">
        <v>-83.3</v>
      </c>
      <c r="G68" s="65">
        <v>-70.3</v>
      </c>
      <c r="H68" s="65">
        <v>-101.5</v>
      </c>
      <c r="I68" s="65">
        <v>-86.5</v>
      </c>
      <c r="J68" s="65">
        <v>-80</v>
      </c>
      <c r="K68" s="65">
        <v>101.6</v>
      </c>
      <c r="L68" s="65">
        <v>-125</v>
      </c>
      <c r="M68" s="65">
        <v>-153</v>
      </c>
      <c r="N68" s="65">
        <v>-152</v>
      </c>
      <c r="O68" s="65">
        <v>-16.899999999999999</v>
      </c>
      <c r="P68" s="65">
        <v>-12.9</v>
      </c>
      <c r="Q68" s="65">
        <v>2.7</v>
      </c>
      <c r="R68" s="65">
        <v>10.5</v>
      </c>
      <c r="S68" s="65">
        <v>32.700000000000003</v>
      </c>
      <c r="T68" s="65">
        <v>15.4</v>
      </c>
      <c r="U68" s="65">
        <v>20</v>
      </c>
      <c r="V68" s="65">
        <v>18.399999999999999</v>
      </c>
      <c r="W68" s="65">
        <v>-120.9</v>
      </c>
      <c r="X68" s="65">
        <v>-160.4</v>
      </c>
      <c r="Y68" s="65">
        <v>-203</v>
      </c>
      <c r="Z68" s="65">
        <v>-221.3</v>
      </c>
      <c r="AA68" s="65">
        <v>-211</v>
      </c>
      <c r="AB68" s="65">
        <v>-215</v>
      </c>
      <c r="AC68" s="65">
        <v>-217</v>
      </c>
      <c r="AD68" s="65">
        <v>-192.7</v>
      </c>
      <c r="AE68" s="65">
        <v>-152.5</v>
      </c>
      <c r="AF68" s="65">
        <v>-130</v>
      </c>
      <c r="AG68" s="75"/>
      <c r="AH68" s="48">
        <f t="shared" si="2"/>
        <v>101.6</v>
      </c>
      <c r="AI68" s="49">
        <f t="shared" si="3"/>
        <v>-221.3</v>
      </c>
      <c r="AK68" s="50"/>
    </row>
    <row r="69" spans="1:37" x14ac:dyDescent="0.25">
      <c r="A69" s="54" t="s">
        <v>74</v>
      </c>
      <c r="B69" s="76">
        <v>0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/>
      <c r="AC69" s="76"/>
      <c r="AD69" s="76"/>
      <c r="AE69" s="76"/>
      <c r="AF69" s="76"/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0</v>
      </c>
      <c r="S70" s="45">
        <v>0</v>
      </c>
      <c r="T70" s="45">
        <v>0</v>
      </c>
      <c r="U70" s="45">
        <v>0</v>
      </c>
      <c r="V70" s="45">
        <v>0</v>
      </c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/>
      <c r="AC70" s="45"/>
      <c r="AD70" s="45"/>
      <c r="AE70" s="45"/>
      <c r="AF70" s="45"/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  <c r="Q71" s="77">
        <v>0</v>
      </c>
      <c r="R71" s="77">
        <v>0</v>
      </c>
      <c r="S71" s="77">
        <v>0</v>
      </c>
      <c r="T71" s="77">
        <v>0</v>
      </c>
      <c r="U71" s="77">
        <v>0</v>
      </c>
      <c r="V71" s="77">
        <v>0</v>
      </c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/>
      <c r="AC71" s="77"/>
      <c r="AD71" s="77"/>
      <c r="AE71" s="77"/>
      <c r="AF71" s="77"/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/>
      <c r="AC72" s="77"/>
      <c r="AD72" s="77"/>
      <c r="AE72" s="77"/>
      <c r="AF72" s="77"/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/>
      <c r="AC73" s="76"/>
      <c r="AD73" s="76"/>
      <c r="AE73" s="76"/>
      <c r="AF73" s="76"/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/>
      <c r="AC74" s="76"/>
      <c r="AD74" s="76"/>
      <c r="AE74" s="76"/>
      <c r="AF74" s="76"/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>
        <v>0</v>
      </c>
      <c r="C75" s="79">
        <v>0</v>
      </c>
      <c r="D75" s="79">
        <v>0</v>
      </c>
      <c r="E75" s="79">
        <v>0</v>
      </c>
      <c r="F75" s="79">
        <v>0</v>
      </c>
      <c r="G75" s="79">
        <v>0</v>
      </c>
      <c r="H75" s="79">
        <v>0</v>
      </c>
      <c r="I75" s="79">
        <v>0</v>
      </c>
      <c r="J75" s="79">
        <v>0</v>
      </c>
      <c r="K75" s="79">
        <v>0</v>
      </c>
      <c r="L75" s="79">
        <v>0</v>
      </c>
      <c r="M75" s="79">
        <v>0</v>
      </c>
      <c r="N75" s="79">
        <v>0</v>
      </c>
      <c r="O75" s="79">
        <v>0</v>
      </c>
      <c r="P75" s="79">
        <v>0</v>
      </c>
      <c r="Q75" s="79">
        <v>0</v>
      </c>
      <c r="R75" s="79">
        <v>0</v>
      </c>
      <c r="S75" s="79">
        <v>0</v>
      </c>
      <c r="T75" s="79">
        <v>0</v>
      </c>
      <c r="U75" s="79">
        <v>0</v>
      </c>
      <c r="V75" s="79">
        <v>0</v>
      </c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/>
      <c r="AC75" s="79"/>
      <c r="AD75" s="79"/>
      <c r="AE75" s="79"/>
      <c r="AF75" s="79"/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/>
      <c r="AC76" s="79"/>
      <c r="AD76" s="79"/>
      <c r="AE76" s="79"/>
      <c r="AF76" s="79"/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:AF77" si="9">SUMIF(B66:B76,"&gt;0")</f>
        <v>0</v>
      </c>
      <c r="C77" s="61">
        <f t="shared" si="9"/>
        <v>0</v>
      </c>
      <c r="D77" s="61">
        <f t="shared" si="9"/>
        <v>0</v>
      </c>
      <c r="E77" s="61">
        <f t="shared" si="9"/>
        <v>0</v>
      </c>
      <c r="F77" s="61">
        <f t="shared" si="9"/>
        <v>0</v>
      </c>
      <c r="G77" s="61">
        <f t="shared" si="9"/>
        <v>0</v>
      </c>
      <c r="H77" s="61">
        <f t="shared" si="9"/>
        <v>10</v>
      </c>
      <c r="I77" s="61">
        <f t="shared" si="9"/>
        <v>15</v>
      </c>
      <c r="J77" s="61">
        <f t="shared" si="9"/>
        <v>17.899999999999999</v>
      </c>
      <c r="K77" s="61">
        <f t="shared" si="9"/>
        <v>123.69999999999999</v>
      </c>
      <c r="L77" s="61">
        <f t="shared" si="9"/>
        <v>48</v>
      </c>
      <c r="M77" s="61">
        <f t="shared" si="9"/>
        <v>46.4</v>
      </c>
      <c r="N77" s="61">
        <f t="shared" si="9"/>
        <v>21.4</v>
      </c>
      <c r="O77" s="61">
        <f t="shared" si="9"/>
        <v>18.899999999999999</v>
      </c>
      <c r="P77" s="61">
        <f t="shared" si="9"/>
        <v>16.899999999999999</v>
      </c>
      <c r="Q77" s="61">
        <f t="shared" si="9"/>
        <v>17.2</v>
      </c>
      <c r="R77" s="61">
        <f t="shared" si="9"/>
        <v>37.200000000000003</v>
      </c>
      <c r="S77" s="61">
        <f t="shared" si="9"/>
        <v>59.800000000000004</v>
      </c>
      <c r="T77" s="61">
        <f t="shared" si="9"/>
        <v>42.8</v>
      </c>
      <c r="U77" s="61">
        <f t="shared" si="9"/>
        <v>47</v>
      </c>
      <c r="V77" s="61">
        <f t="shared" si="9"/>
        <v>42.4</v>
      </c>
      <c r="W77" s="61">
        <f t="shared" si="9"/>
        <v>25.1</v>
      </c>
      <c r="X77" s="61">
        <f t="shared" si="9"/>
        <v>33.700000000000003</v>
      </c>
      <c r="Y77" s="61">
        <f t="shared" si="9"/>
        <v>29.5</v>
      </c>
      <c r="Z77" s="61">
        <f t="shared" si="9"/>
        <v>26.5</v>
      </c>
      <c r="AA77" s="61">
        <f t="shared" si="9"/>
        <v>22.4</v>
      </c>
      <c r="AB77" s="61">
        <f t="shared" si="9"/>
        <v>16.600000000000001</v>
      </c>
      <c r="AC77" s="61">
        <f t="shared" si="9"/>
        <v>15</v>
      </c>
      <c r="AD77" s="61">
        <f t="shared" si="9"/>
        <v>28.9</v>
      </c>
      <c r="AE77" s="61">
        <f t="shared" si="9"/>
        <v>0</v>
      </c>
      <c r="AF77" s="61">
        <f t="shared" si="9"/>
        <v>0</v>
      </c>
      <c r="AG77" s="81">
        <f>SUM(AG66:AG76)</f>
        <v>0</v>
      </c>
      <c r="AH77" s="48">
        <f t="shared" si="2"/>
        <v>123.69999999999999</v>
      </c>
      <c r="AI77" s="49">
        <f t="shared" si="3"/>
        <v>0</v>
      </c>
      <c r="AK77" s="50"/>
    </row>
    <row r="78" spans="1:37" x14ac:dyDescent="0.25">
      <c r="A78" s="44" t="s">
        <v>83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>
        <v>14.4</v>
      </c>
      <c r="AH79" s="48">
        <f t="shared" ref="AH79:AH112" si="10">MAX(B79:AF79)</f>
        <v>0</v>
      </c>
      <c r="AI79" s="49">
        <f t="shared" ref="AI79:AI112" si="11">MIN(B79:AF79)</f>
        <v>0</v>
      </c>
      <c r="AK79" s="50"/>
    </row>
    <row r="80" spans="1:37" ht="15.75" thickBot="1" x14ac:dyDescent="0.3">
      <c r="A80" s="78" t="s">
        <v>85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80">
        <v>2</v>
      </c>
      <c r="AH80" s="48">
        <f t="shared" si="10"/>
        <v>0</v>
      </c>
      <c r="AI80" s="49">
        <f t="shared" si="11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87</v>
      </c>
      <c r="B82" s="83">
        <f t="shared" ref="B82:AG82" si="12">B43+B47+B65+B61+B77+B81</f>
        <v>1046.7400000000002</v>
      </c>
      <c r="C82" s="83">
        <f t="shared" si="12"/>
        <v>1002.74</v>
      </c>
      <c r="D82" s="83">
        <f t="shared" si="12"/>
        <v>980.84000000000015</v>
      </c>
      <c r="E82" s="83">
        <f t="shared" si="12"/>
        <v>945.04000000000008</v>
      </c>
      <c r="F82" s="83">
        <f t="shared" si="12"/>
        <v>971.34</v>
      </c>
      <c r="G82" s="83">
        <f t="shared" si="12"/>
        <v>1026.04</v>
      </c>
      <c r="H82" s="83">
        <f t="shared" si="12"/>
        <v>1126.6400000000001</v>
      </c>
      <c r="I82" s="83">
        <f t="shared" si="12"/>
        <v>1229.44</v>
      </c>
      <c r="J82" s="83">
        <f t="shared" si="12"/>
        <v>1323.94</v>
      </c>
      <c r="K82" s="83">
        <f t="shared" si="12"/>
        <v>1542.14</v>
      </c>
      <c r="L82" s="83">
        <f t="shared" si="12"/>
        <v>1581.4400000000003</v>
      </c>
      <c r="M82" s="83">
        <f t="shared" si="12"/>
        <v>1584.7400000000002</v>
      </c>
      <c r="N82" s="83">
        <f t="shared" si="12"/>
        <v>1488.8400000000004</v>
      </c>
      <c r="O82" s="83">
        <f t="shared" si="12"/>
        <v>1293.24</v>
      </c>
      <c r="P82" s="83">
        <f t="shared" si="12"/>
        <v>1215.94</v>
      </c>
      <c r="Q82" s="83">
        <f t="shared" si="12"/>
        <v>1175.3399999999999</v>
      </c>
      <c r="R82" s="83">
        <f t="shared" si="12"/>
        <v>1167.24</v>
      </c>
      <c r="S82" s="83">
        <f t="shared" si="12"/>
        <v>1162.8399999999999</v>
      </c>
      <c r="T82" s="83">
        <f t="shared" si="12"/>
        <v>1159.44</v>
      </c>
      <c r="U82" s="83">
        <f t="shared" si="12"/>
        <v>1208.6400000000001</v>
      </c>
      <c r="V82" s="83">
        <f t="shared" si="12"/>
        <v>1308.8400000000001</v>
      </c>
      <c r="W82" s="83">
        <f t="shared" si="12"/>
        <v>1563.8399999999997</v>
      </c>
      <c r="X82" s="83">
        <f t="shared" si="12"/>
        <v>1696.74</v>
      </c>
      <c r="Y82" s="83">
        <f t="shared" si="12"/>
        <v>1691.84</v>
      </c>
      <c r="Z82" s="83">
        <f t="shared" si="12"/>
        <v>1605.9399999999998</v>
      </c>
      <c r="AA82" s="83">
        <f t="shared" si="12"/>
        <v>1530.34</v>
      </c>
      <c r="AB82" s="83">
        <f t="shared" si="12"/>
        <v>1437.34</v>
      </c>
      <c r="AC82" s="83">
        <f t="shared" si="12"/>
        <v>1425.04</v>
      </c>
      <c r="AD82" s="83">
        <f t="shared" si="12"/>
        <v>1329.54</v>
      </c>
      <c r="AE82" s="83">
        <f t="shared" si="12"/>
        <v>1160.04</v>
      </c>
      <c r="AF82" s="83">
        <f t="shared" si="12"/>
        <v>1069.3399999999999</v>
      </c>
      <c r="AG82" s="62">
        <f t="shared" si="12"/>
        <v>1986.1900000000003</v>
      </c>
      <c r="AH82" s="48">
        <f t="shared" si="10"/>
        <v>1696.74</v>
      </c>
      <c r="AI82" s="49">
        <f t="shared" si="11"/>
        <v>945.04000000000008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1"/>
      <c r="AH83" s="48">
        <f t="shared" si="10"/>
        <v>0</v>
      </c>
      <c r="AI83" s="49">
        <f t="shared" si="11"/>
        <v>0</v>
      </c>
    </row>
    <row r="84" spans="1:37" ht="15.75" thickBot="1" x14ac:dyDescent="0.3">
      <c r="A84" s="74" t="s">
        <v>89</v>
      </c>
      <c r="B84" s="83">
        <f t="shared" ref="B84:AF84" si="13">B82+B83</f>
        <v>1046.7400000000002</v>
      </c>
      <c r="C84" s="83">
        <f t="shared" si="13"/>
        <v>1002.74</v>
      </c>
      <c r="D84" s="83">
        <f t="shared" si="13"/>
        <v>980.84000000000015</v>
      </c>
      <c r="E84" s="83">
        <f t="shared" si="13"/>
        <v>945.04000000000008</v>
      </c>
      <c r="F84" s="83">
        <f t="shared" si="13"/>
        <v>971.34</v>
      </c>
      <c r="G84" s="83">
        <f t="shared" si="13"/>
        <v>1026.04</v>
      </c>
      <c r="H84" s="83">
        <f t="shared" si="13"/>
        <v>1126.6400000000001</v>
      </c>
      <c r="I84" s="83">
        <f t="shared" si="13"/>
        <v>1229.44</v>
      </c>
      <c r="J84" s="83">
        <f t="shared" si="13"/>
        <v>1323.94</v>
      </c>
      <c r="K84" s="83">
        <f t="shared" si="13"/>
        <v>1542.14</v>
      </c>
      <c r="L84" s="83">
        <f t="shared" si="13"/>
        <v>1581.4400000000003</v>
      </c>
      <c r="M84" s="83">
        <f t="shared" si="13"/>
        <v>1584.7400000000002</v>
      </c>
      <c r="N84" s="83">
        <f t="shared" si="13"/>
        <v>1488.8400000000004</v>
      </c>
      <c r="O84" s="83">
        <f t="shared" si="13"/>
        <v>1293.24</v>
      </c>
      <c r="P84" s="83">
        <f t="shared" si="13"/>
        <v>1215.94</v>
      </c>
      <c r="Q84" s="83">
        <f t="shared" si="13"/>
        <v>1175.3399999999999</v>
      </c>
      <c r="R84" s="83">
        <f t="shared" si="13"/>
        <v>1167.24</v>
      </c>
      <c r="S84" s="83">
        <f t="shared" si="13"/>
        <v>1162.8399999999999</v>
      </c>
      <c r="T84" s="83">
        <f t="shared" si="13"/>
        <v>1159.44</v>
      </c>
      <c r="U84" s="83">
        <f t="shared" si="13"/>
        <v>1208.6400000000001</v>
      </c>
      <c r="V84" s="83">
        <f t="shared" si="13"/>
        <v>1308.8400000000001</v>
      </c>
      <c r="W84" s="83">
        <f t="shared" si="13"/>
        <v>1563.8399999999997</v>
      </c>
      <c r="X84" s="83">
        <f t="shared" si="13"/>
        <v>1696.74</v>
      </c>
      <c r="Y84" s="83">
        <f t="shared" si="13"/>
        <v>1691.84</v>
      </c>
      <c r="Z84" s="83">
        <f t="shared" si="13"/>
        <v>1605.9399999999998</v>
      </c>
      <c r="AA84" s="83">
        <f t="shared" si="13"/>
        <v>1530.34</v>
      </c>
      <c r="AB84" s="83">
        <f t="shared" si="13"/>
        <v>1437.34</v>
      </c>
      <c r="AC84" s="83">
        <f t="shared" si="13"/>
        <v>1425.04</v>
      </c>
      <c r="AD84" s="83">
        <f t="shared" si="13"/>
        <v>1329.54</v>
      </c>
      <c r="AE84" s="83">
        <f t="shared" si="13"/>
        <v>1160.04</v>
      </c>
      <c r="AF84" s="83">
        <f t="shared" si="13"/>
        <v>1069.3399999999999</v>
      </c>
      <c r="AG84" s="81">
        <f>AG81+AG77+AG65+AG61+AG43+AG83</f>
        <v>1448.0900000000001</v>
      </c>
      <c r="AH84" s="48">
        <f t="shared" si="10"/>
        <v>1696.74</v>
      </c>
      <c r="AI84" s="49">
        <f t="shared" si="11"/>
        <v>945.04000000000008</v>
      </c>
    </row>
    <row r="85" spans="1:37" ht="15.75" thickBot="1" x14ac:dyDescent="0.3">
      <c r="A85" s="74" t="s">
        <v>90</v>
      </c>
      <c r="B85" s="83">
        <f t="shared" ref="B85:AF85" si="14">B84-B92</f>
        <v>904.74000000000024</v>
      </c>
      <c r="C85" s="83">
        <f t="shared" si="14"/>
        <v>886.74</v>
      </c>
      <c r="D85" s="83">
        <f t="shared" si="14"/>
        <v>884.6400000000001</v>
      </c>
      <c r="E85" s="83">
        <f t="shared" si="14"/>
        <v>854.04000000000008</v>
      </c>
      <c r="F85" s="83">
        <f t="shared" si="14"/>
        <v>888.04000000000008</v>
      </c>
      <c r="G85" s="83">
        <f t="shared" si="14"/>
        <v>955.74</v>
      </c>
      <c r="H85" s="83">
        <f t="shared" si="14"/>
        <v>1025.1400000000001</v>
      </c>
      <c r="I85" s="83">
        <f t="shared" si="14"/>
        <v>1142.94</v>
      </c>
      <c r="J85" s="83">
        <f t="shared" si="14"/>
        <v>1243.94</v>
      </c>
      <c r="K85" s="83">
        <f t="shared" si="14"/>
        <v>1542.14</v>
      </c>
      <c r="L85" s="83">
        <f t="shared" si="14"/>
        <v>1456.4400000000003</v>
      </c>
      <c r="M85" s="83">
        <f t="shared" si="14"/>
        <v>1431.7400000000002</v>
      </c>
      <c r="N85" s="83">
        <f t="shared" si="14"/>
        <v>1336.8400000000004</v>
      </c>
      <c r="O85" s="83">
        <f t="shared" si="14"/>
        <v>1276.3399999999999</v>
      </c>
      <c r="P85" s="83">
        <f t="shared" si="14"/>
        <v>1203.04</v>
      </c>
      <c r="Q85" s="83">
        <f t="shared" si="14"/>
        <v>1175.3399999999999</v>
      </c>
      <c r="R85" s="83">
        <f t="shared" si="14"/>
        <v>1167.24</v>
      </c>
      <c r="S85" s="83">
        <f t="shared" si="14"/>
        <v>1162.8399999999999</v>
      </c>
      <c r="T85" s="83">
        <f t="shared" si="14"/>
        <v>1159.44</v>
      </c>
      <c r="U85" s="83">
        <f t="shared" si="14"/>
        <v>1208.6400000000001</v>
      </c>
      <c r="V85" s="83">
        <f t="shared" si="14"/>
        <v>1308.8400000000001</v>
      </c>
      <c r="W85" s="83">
        <f t="shared" si="14"/>
        <v>1442.9399999999996</v>
      </c>
      <c r="X85" s="83">
        <f t="shared" si="14"/>
        <v>1536.34</v>
      </c>
      <c r="Y85" s="83">
        <f t="shared" si="14"/>
        <v>1488.84</v>
      </c>
      <c r="Z85" s="83">
        <f t="shared" si="14"/>
        <v>1384.6399999999999</v>
      </c>
      <c r="AA85" s="83">
        <f t="shared" si="14"/>
        <v>1319.34</v>
      </c>
      <c r="AB85" s="83">
        <f t="shared" si="14"/>
        <v>1222.3399999999999</v>
      </c>
      <c r="AC85" s="83">
        <f t="shared" si="14"/>
        <v>1208.04</v>
      </c>
      <c r="AD85" s="83">
        <f t="shared" si="14"/>
        <v>1136.8399999999999</v>
      </c>
      <c r="AE85" s="83">
        <f t="shared" si="14"/>
        <v>1007.54</v>
      </c>
      <c r="AF85" s="83">
        <f t="shared" si="14"/>
        <v>939.33999999999992</v>
      </c>
      <c r="AG85" s="81"/>
      <c r="AH85" s="48">
        <f t="shared" si="10"/>
        <v>1542.14</v>
      </c>
      <c r="AI85" s="49">
        <f t="shared" si="11"/>
        <v>854.04000000000008</v>
      </c>
    </row>
    <row r="86" spans="1:37" x14ac:dyDescent="0.25">
      <c r="A86" s="44" t="s">
        <v>74</v>
      </c>
      <c r="B86" s="76">
        <f t="shared" ref="B86:AF86" si="15">IF(B69&lt;0,B69*-1,0)</f>
        <v>0</v>
      </c>
      <c r="C86" s="76">
        <f t="shared" si="15"/>
        <v>0</v>
      </c>
      <c r="D86" s="76">
        <f t="shared" si="15"/>
        <v>0</v>
      </c>
      <c r="E86" s="76">
        <f t="shared" si="15"/>
        <v>0</v>
      </c>
      <c r="F86" s="76">
        <f t="shared" si="15"/>
        <v>0</v>
      </c>
      <c r="G86" s="76">
        <f t="shared" si="15"/>
        <v>0</v>
      </c>
      <c r="H86" s="76">
        <f t="shared" si="15"/>
        <v>0</v>
      </c>
      <c r="I86" s="76">
        <f t="shared" si="15"/>
        <v>0</v>
      </c>
      <c r="J86" s="76">
        <f t="shared" si="15"/>
        <v>0</v>
      </c>
      <c r="K86" s="76">
        <f t="shared" si="15"/>
        <v>0</v>
      </c>
      <c r="L86" s="76">
        <f t="shared" si="15"/>
        <v>0</v>
      </c>
      <c r="M86" s="76">
        <f t="shared" si="15"/>
        <v>0</v>
      </c>
      <c r="N86" s="76">
        <f t="shared" si="15"/>
        <v>0</v>
      </c>
      <c r="O86" s="76">
        <f t="shared" si="15"/>
        <v>0</v>
      </c>
      <c r="P86" s="76">
        <f t="shared" si="15"/>
        <v>0</v>
      </c>
      <c r="Q86" s="76">
        <f t="shared" si="15"/>
        <v>0</v>
      </c>
      <c r="R86" s="76">
        <f t="shared" si="15"/>
        <v>0</v>
      </c>
      <c r="S86" s="76">
        <f t="shared" si="15"/>
        <v>0</v>
      </c>
      <c r="T86" s="76">
        <f t="shared" si="15"/>
        <v>0</v>
      </c>
      <c r="U86" s="76">
        <f t="shared" si="15"/>
        <v>0</v>
      </c>
      <c r="V86" s="76">
        <f t="shared" si="15"/>
        <v>0</v>
      </c>
      <c r="W86" s="76">
        <f t="shared" si="15"/>
        <v>0</v>
      </c>
      <c r="X86" s="76">
        <f t="shared" si="15"/>
        <v>0</v>
      </c>
      <c r="Y86" s="76">
        <f t="shared" si="15"/>
        <v>0</v>
      </c>
      <c r="Z86" s="76">
        <f t="shared" si="15"/>
        <v>0</v>
      </c>
      <c r="AA86" s="76">
        <f t="shared" si="15"/>
        <v>0</v>
      </c>
      <c r="AB86" s="76">
        <f t="shared" si="15"/>
        <v>0</v>
      </c>
      <c r="AC86" s="76">
        <f t="shared" si="15"/>
        <v>0</v>
      </c>
      <c r="AD86" s="76">
        <f t="shared" si="15"/>
        <v>0</v>
      </c>
      <c r="AE86" s="76">
        <f t="shared" si="15"/>
        <v>0</v>
      </c>
      <c r="AF86" s="76">
        <f t="shared" si="15"/>
        <v>0</v>
      </c>
      <c r="AG86" s="52"/>
      <c r="AH86" s="48">
        <f t="shared" si="10"/>
        <v>0</v>
      </c>
      <c r="AI86" s="49">
        <f t="shared" si="11"/>
        <v>0</v>
      </c>
    </row>
    <row r="87" spans="1:37" x14ac:dyDescent="0.25">
      <c r="A87" s="54" t="s">
        <v>72</v>
      </c>
      <c r="B87" s="76">
        <f t="shared" ref="B87:AF87" si="16">IF(B67&lt;0,B67*-1,0)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si="16"/>
        <v>0</v>
      </c>
      <c r="M87" s="76">
        <f t="shared" si="16"/>
        <v>0</v>
      </c>
      <c r="N87" s="76">
        <f t="shared" si="16"/>
        <v>0</v>
      </c>
      <c r="O87" s="76">
        <f t="shared" si="16"/>
        <v>0</v>
      </c>
      <c r="P87" s="76">
        <f t="shared" si="16"/>
        <v>0</v>
      </c>
      <c r="Q87" s="76">
        <f t="shared" si="16"/>
        <v>0</v>
      </c>
      <c r="R87" s="76">
        <f t="shared" si="16"/>
        <v>0</v>
      </c>
      <c r="S87" s="76">
        <f t="shared" si="16"/>
        <v>0</v>
      </c>
      <c r="T87" s="76">
        <f t="shared" si="16"/>
        <v>0</v>
      </c>
      <c r="U87" s="76">
        <f t="shared" si="16"/>
        <v>0</v>
      </c>
      <c r="V87" s="76">
        <f t="shared" si="16"/>
        <v>0</v>
      </c>
      <c r="W87" s="76">
        <f t="shared" si="16"/>
        <v>0</v>
      </c>
      <c r="X87" s="76">
        <f t="shared" si="16"/>
        <v>0</v>
      </c>
      <c r="Y87" s="76">
        <f t="shared" si="16"/>
        <v>0</v>
      </c>
      <c r="Z87" s="76">
        <f t="shared" si="16"/>
        <v>0</v>
      </c>
      <c r="AA87" s="76">
        <f t="shared" si="16"/>
        <v>0</v>
      </c>
      <c r="AB87" s="76">
        <f t="shared" si="16"/>
        <v>0</v>
      </c>
      <c r="AC87" s="76">
        <f t="shared" si="16"/>
        <v>0</v>
      </c>
      <c r="AD87" s="76">
        <f t="shared" si="16"/>
        <v>0</v>
      </c>
      <c r="AE87" s="76">
        <f t="shared" si="16"/>
        <v>0</v>
      </c>
      <c r="AF87" s="76">
        <f t="shared" si="16"/>
        <v>0</v>
      </c>
      <c r="AG87" s="55"/>
      <c r="AH87" s="48">
        <f t="shared" si="10"/>
        <v>0</v>
      </c>
      <c r="AI87" s="49">
        <f t="shared" si="11"/>
        <v>0</v>
      </c>
    </row>
    <row r="88" spans="1:37" x14ac:dyDescent="0.25">
      <c r="A88" s="78" t="s">
        <v>91</v>
      </c>
      <c r="B88" s="76">
        <f t="shared" ref="B88:AF88" si="17">IF(B70&lt;0,B70*-1,0)</f>
        <v>0</v>
      </c>
      <c r="C88" s="76">
        <f t="shared" si="17"/>
        <v>0</v>
      </c>
      <c r="D88" s="76">
        <f t="shared" si="17"/>
        <v>0</v>
      </c>
      <c r="E88" s="76">
        <f t="shared" si="17"/>
        <v>0</v>
      </c>
      <c r="F88" s="76">
        <f t="shared" si="17"/>
        <v>0</v>
      </c>
      <c r="G88" s="76">
        <f t="shared" si="17"/>
        <v>0</v>
      </c>
      <c r="H88" s="76">
        <f t="shared" si="17"/>
        <v>0</v>
      </c>
      <c r="I88" s="76">
        <f t="shared" si="17"/>
        <v>0</v>
      </c>
      <c r="J88" s="76">
        <f t="shared" si="17"/>
        <v>0</v>
      </c>
      <c r="K88" s="76">
        <f t="shared" si="17"/>
        <v>0</v>
      </c>
      <c r="L88" s="76">
        <f t="shared" si="17"/>
        <v>0</v>
      </c>
      <c r="M88" s="76">
        <f t="shared" si="17"/>
        <v>0</v>
      </c>
      <c r="N88" s="76">
        <f t="shared" si="17"/>
        <v>0</v>
      </c>
      <c r="O88" s="76">
        <f t="shared" si="17"/>
        <v>0</v>
      </c>
      <c r="P88" s="76">
        <f t="shared" si="17"/>
        <v>0</v>
      </c>
      <c r="Q88" s="76">
        <f t="shared" si="17"/>
        <v>0</v>
      </c>
      <c r="R88" s="76">
        <f t="shared" si="17"/>
        <v>0</v>
      </c>
      <c r="S88" s="76">
        <f t="shared" si="17"/>
        <v>0</v>
      </c>
      <c r="T88" s="76">
        <f t="shared" si="17"/>
        <v>0</v>
      </c>
      <c r="U88" s="76">
        <f t="shared" si="17"/>
        <v>0</v>
      </c>
      <c r="V88" s="76">
        <f t="shared" si="17"/>
        <v>0</v>
      </c>
      <c r="W88" s="76">
        <f t="shared" si="17"/>
        <v>0</v>
      </c>
      <c r="X88" s="76">
        <f t="shared" si="17"/>
        <v>0</v>
      </c>
      <c r="Y88" s="76">
        <f t="shared" si="17"/>
        <v>0</v>
      </c>
      <c r="Z88" s="76">
        <f t="shared" si="17"/>
        <v>0</v>
      </c>
      <c r="AA88" s="76">
        <f t="shared" si="17"/>
        <v>0</v>
      </c>
      <c r="AB88" s="76">
        <f t="shared" si="17"/>
        <v>0</v>
      </c>
      <c r="AC88" s="76">
        <f t="shared" si="17"/>
        <v>0</v>
      </c>
      <c r="AD88" s="76">
        <f t="shared" si="17"/>
        <v>0</v>
      </c>
      <c r="AE88" s="76">
        <f t="shared" si="17"/>
        <v>0</v>
      </c>
      <c r="AF88" s="76">
        <f t="shared" si="17"/>
        <v>0</v>
      </c>
      <c r="AG88" s="86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92</v>
      </c>
      <c r="B89" s="76">
        <f t="shared" ref="B89:AF89" si="18">IF(B68&lt;0,B68*-1,0)</f>
        <v>142</v>
      </c>
      <c r="C89" s="76">
        <f t="shared" si="18"/>
        <v>116</v>
      </c>
      <c r="D89" s="76">
        <f t="shared" si="18"/>
        <v>96.2</v>
      </c>
      <c r="E89" s="76">
        <f t="shared" si="18"/>
        <v>91</v>
      </c>
      <c r="F89" s="76">
        <f t="shared" si="18"/>
        <v>83.3</v>
      </c>
      <c r="G89" s="76">
        <f t="shared" si="18"/>
        <v>70.3</v>
      </c>
      <c r="H89" s="76">
        <f t="shared" si="18"/>
        <v>101.5</v>
      </c>
      <c r="I89" s="76">
        <f t="shared" si="18"/>
        <v>86.5</v>
      </c>
      <c r="J89" s="76">
        <f t="shared" si="18"/>
        <v>80</v>
      </c>
      <c r="K89" s="76">
        <f t="shared" si="18"/>
        <v>0</v>
      </c>
      <c r="L89" s="76">
        <f t="shared" si="18"/>
        <v>125</v>
      </c>
      <c r="M89" s="76">
        <f t="shared" si="18"/>
        <v>153</v>
      </c>
      <c r="N89" s="76">
        <f t="shared" si="18"/>
        <v>152</v>
      </c>
      <c r="O89" s="76">
        <f t="shared" si="18"/>
        <v>16.899999999999999</v>
      </c>
      <c r="P89" s="76">
        <f t="shared" si="18"/>
        <v>12.9</v>
      </c>
      <c r="Q89" s="76">
        <f t="shared" si="18"/>
        <v>0</v>
      </c>
      <c r="R89" s="76">
        <f t="shared" si="18"/>
        <v>0</v>
      </c>
      <c r="S89" s="76">
        <f t="shared" si="18"/>
        <v>0</v>
      </c>
      <c r="T89" s="76">
        <f t="shared" si="18"/>
        <v>0</v>
      </c>
      <c r="U89" s="76">
        <f t="shared" si="18"/>
        <v>0</v>
      </c>
      <c r="V89" s="76">
        <f t="shared" si="18"/>
        <v>0</v>
      </c>
      <c r="W89" s="76">
        <f t="shared" si="18"/>
        <v>120.9</v>
      </c>
      <c r="X89" s="76">
        <f t="shared" si="18"/>
        <v>160.4</v>
      </c>
      <c r="Y89" s="76">
        <f t="shared" si="18"/>
        <v>203</v>
      </c>
      <c r="Z89" s="76">
        <f t="shared" si="18"/>
        <v>221.3</v>
      </c>
      <c r="AA89" s="76">
        <f t="shared" si="18"/>
        <v>211</v>
      </c>
      <c r="AB89" s="76">
        <f t="shared" si="18"/>
        <v>215</v>
      </c>
      <c r="AC89" s="76">
        <f t="shared" si="18"/>
        <v>217</v>
      </c>
      <c r="AD89" s="76">
        <f t="shared" si="18"/>
        <v>192.7</v>
      </c>
      <c r="AE89" s="76">
        <f t="shared" si="18"/>
        <v>152.5</v>
      </c>
      <c r="AF89" s="76">
        <f t="shared" si="18"/>
        <v>130</v>
      </c>
      <c r="AG89" s="86"/>
      <c r="AH89" s="48">
        <f t="shared" si="10"/>
        <v>221.3</v>
      </c>
      <c r="AI89" s="49">
        <f t="shared" si="11"/>
        <v>0</v>
      </c>
    </row>
    <row r="90" spans="1:37" x14ac:dyDescent="0.25">
      <c r="A90" s="78" t="s">
        <v>71</v>
      </c>
      <c r="B90" s="76">
        <f t="shared" ref="B90:AF90" si="19">IF(B66&lt;0,B66*-1,0)</f>
        <v>0</v>
      </c>
      <c r="C90" s="76">
        <f t="shared" si="19"/>
        <v>0</v>
      </c>
      <c r="D90" s="76">
        <f t="shared" si="19"/>
        <v>0</v>
      </c>
      <c r="E90" s="76">
        <f t="shared" si="19"/>
        <v>0</v>
      </c>
      <c r="F90" s="76">
        <f t="shared" si="19"/>
        <v>0</v>
      </c>
      <c r="G90" s="76">
        <f t="shared" si="19"/>
        <v>0</v>
      </c>
      <c r="H90" s="76">
        <f t="shared" si="19"/>
        <v>0</v>
      </c>
      <c r="I90" s="76">
        <f t="shared" si="19"/>
        <v>0</v>
      </c>
      <c r="J90" s="76">
        <f t="shared" si="19"/>
        <v>0</v>
      </c>
      <c r="K90" s="76">
        <f t="shared" si="19"/>
        <v>0</v>
      </c>
      <c r="L90" s="76">
        <f t="shared" si="19"/>
        <v>0</v>
      </c>
      <c r="M90" s="76">
        <f t="shared" si="19"/>
        <v>0</v>
      </c>
      <c r="N90" s="76">
        <f t="shared" si="19"/>
        <v>0</v>
      </c>
      <c r="O90" s="76">
        <f t="shared" si="19"/>
        <v>0</v>
      </c>
      <c r="P90" s="76">
        <f t="shared" si="19"/>
        <v>0</v>
      </c>
      <c r="Q90" s="76">
        <f t="shared" si="19"/>
        <v>0</v>
      </c>
      <c r="R90" s="76">
        <f t="shared" si="19"/>
        <v>0</v>
      </c>
      <c r="S90" s="76">
        <f t="shared" si="19"/>
        <v>0</v>
      </c>
      <c r="T90" s="76">
        <f t="shared" si="19"/>
        <v>0</v>
      </c>
      <c r="U90" s="76">
        <f t="shared" si="19"/>
        <v>0</v>
      </c>
      <c r="V90" s="76">
        <f t="shared" si="19"/>
        <v>0</v>
      </c>
      <c r="W90" s="76">
        <f t="shared" si="19"/>
        <v>0</v>
      </c>
      <c r="X90" s="76">
        <f t="shared" si="19"/>
        <v>0</v>
      </c>
      <c r="Y90" s="76">
        <f t="shared" si="19"/>
        <v>0</v>
      </c>
      <c r="Z90" s="76">
        <f t="shared" si="19"/>
        <v>0</v>
      </c>
      <c r="AA90" s="76">
        <f t="shared" si="19"/>
        <v>0</v>
      </c>
      <c r="AB90" s="76">
        <f t="shared" si="19"/>
        <v>0</v>
      </c>
      <c r="AC90" s="76">
        <f t="shared" si="19"/>
        <v>0</v>
      </c>
      <c r="AD90" s="76">
        <f t="shared" si="19"/>
        <v>0</v>
      </c>
      <c r="AE90" s="76">
        <f t="shared" si="19"/>
        <v>0</v>
      </c>
      <c r="AF90" s="76">
        <f t="shared" si="19"/>
        <v>0</v>
      </c>
      <c r="AG90" s="86"/>
      <c r="AH90" s="48">
        <f t="shared" si="10"/>
        <v>0</v>
      </c>
      <c r="AI90" s="49">
        <f t="shared" si="11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87" t="s">
        <v>94</v>
      </c>
      <c r="B92" s="61">
        <f t="shared" ref="B92:AF92" si="20">SUM(B86:B91)</f>
        <v>142</v>
      </c>
      <c r="C92" s="61">
        <f t="shared" si="20"/>
        <v>116</v>
      </c>
      <c r="D92" s="61">
        <f t="shared" si="20"/>
        <v>96.2</v>
      </c>
      <c r="E92" s="61">
        <f t="shared" si="20"/>
        <v>91</v>
      </c>
      <c r="F92" s="61">
        <f t="shared" si="20"/>
        <v>83.3</v>
      </c>
      <c r="G92" s="61">
        <f t="shared" si="20"/>
        <v>70.3</v>
      </c>
      <c r="H92" s="61">
        <f t="shared" si="20"/>
        <v>101.5</v>
      </c>
      <c r="I92" s="61">
        <f t="shared" si="20"/>
        <v>86.5</v>
      </c>
      <c r="J92" s="61">
        <f t="shared" si="20"/>
        <v>80</v>
      </c>
      <c r="K92" s="61">
        <f t="shared" si="20"/>
        <v>0</v>
      </c>
      <c r="L92" s="61">
        <f t="shared" si="20"/>
        <v>125</v>
      </c>
      <c r="M92" s="61">
        <f t="shared" si="20"/>
        <v>153</v>
      </c>
      <c r="N92" s="61">
        <f t="shared" si="20"/>
        <v>152</v>
      </c>
      <c r="O92" s="61">
        <f t="shared" si="20"/>
        <v>16.899999999999999</v>
      </c>
      <c r="P92" s="61">
        <f t="shared" si="20"/>
        <v>12.9</v>
      </c>
      <c r="Q92" s="61">
        <f t="shared" si="20"/>
        <v>0</v>
      </c>
      <c r="R92" s="61">
        <f t="shared" si="20"/>
        <v>0</v>
      </c>
      <c r="S92" s="61">
        <f t="shared" si="20"/>
        <v>0</v>
      </c>
      <c r="T92" s="61">
        <f t="shared" si="20"/>
        <v>0</v>
      </c>
      <c r="U92" s="61">
        <f t="shared" si="20"/>
        <v>0</v>
      </c>
      <c r="V92" s="61">
        <f t="shared" si="20"/>
        <v>0</v>
      </c>
      <c r="W92" s="61">
        <f t="shared" si="20"/>
        <v>120.9</v>
      </c>
      <c r="X92" s="61">
        <f t="shared" si="20"/>
        <v>160.4</v>
      </c>
      <c r="Y92" s="61">
        <f t="shared" si="20"/>
        <v>203</v>
      </c>
      <c r="Z92" s="61">
        <f t="shared" si="20"/>
        <v>221.3</v>
      </c>
      <c r="AA92" s="61">
        <f t="shared" si="20"/>
        <v>211</v>
      </c>
      <c r="AB92" s="61">
        <f t="shared" si="20"/>
        <v>215</v>
      </c>
      <c r="AC92" s="61">
        <f t="shared" si="20"/>
        <v>217</v>
      </c>
      <c r="AD92" s="61">
        <f t="shared" si="20"/>
        <v>192.7</v>
      </c>
      <c r="AE92" s="61">
        <f t="shared" si="20"/>
        <v>152.5</v>
      </c>
      <c r="AF92" s="61">
        <f t="shared" si="20"/>
        <v>130</v>
      </c>
      <c r="AG92" s="81"/>
      <c r="AH92" s="48">
        <f t="shared" si="10"/>
        <v>221.3</v>
      </c>
      <c r="AI92" s="49">
        <f t="shared" si="11"/>
        <v>0</v>
      </c>
      <c r="AK92" s="50"/>
    </row>
    <row r="93" spans="1:37" ht="15.75" thickBot="1" x14ac:dyDescent="0.3">
      <c r="A93" s="74" t="s">
        <v>95</v>
      </c>
      <c r="B93" s="61">
        <f t="shared" ref="B93:AF93" si="21">B77-B92</f>
        <v>-142</v>
      </c>
      <c r="C93" s="61">
        <f t="shared" si="21"/>
        <v>-116</v>
      </c>
      <c r="D93" s="61">
        <f t="shared" si="21"/>
        <v>-96.2</v>
      </c>
      <c r="E93" s="61">
        <f t="shared" si="21"/>
        <v>-91</v>
      </c>
      <c r="F93" s="61">
        <f t="shared" si="21"/>
        <v>-83.3</v>
      </c>
      <c r="G93" s="61">
        <f t="shared" si="21"/>
        <v>-70.3</v>
      </c>
      <c r="H93" s="61">
        <f t="shared" si="21"/>
        <v>-91.5</v>
      </c>
      <c r="I93" s="61">
        <f t="shared" si="21"/>
        <v>-71.5</v>
      </c>
      <c r="J93" s="61">
        <f t="shared" si="21"/>
        <v>-62.1</v>
      </c>
      <c r="K93" s="61">
        <f t="shared" si="21"/>
        <v>123.69999999999999</v>
      </c>
      <c r="L93" s="61">
        <f t="shared" si="21"/>
        <v>-77</v>
      </c>
      <c r="M93" s="61">
        <f t="shared" si="21"/>
        <v>-106.6</v>
      </c>
      <c r="N93" s="61">
        <f t="shared" si="21"/>
        <v>-130.6</v>
      </c>
      <c r="O93" s="61">
        <f t="shared" si="21"/>
        <v>2</v>
      </c>
      <c r="P93" s="61">
        <f t="shared" si="21"/>
        <v>3.9999999999999982</v>
      </c>
      <c r="Q93" s="61">
        <f t="shared" si="21"/>
        <v>17.2</v>
      </c>
      <c r="R93" s="61">
        <f t="shared" si="21"/>
        <v>37.200000000000003</v>
      </c>
      <c r="S93" s="61">
        <f t="shared" si="21"/>
        <v>59.800000000000004</v>
      </c>
      <c r="T93" s="61">
        <f t="shared" si="21"/>
        <v>42.8</v>
      </c>
      <c r="U93" s="61">
        <f t="shared" si="21"/>
        <v>47</v>
      </c>
      <c r="V93" s="61">
        <f t="shared" si="21"/>
        <v>42.4</v>
      </c>
      <c r="W93" s="61">
        <f t="shared" si="21"/>
        <v>-95.800000000000011</v>
      </c>
      <c r="X93" s="61">
        <f t="shared" si="21"/>
        <v>-126.7</v>
      </c>
      <c r="Y93" s="61">
        <f t="shared" si="21"/>
        <v>-173.5</v>
      </c>
      <c r="Z93" s="61">
        <f t="shared" si="21"/>
        <v>-194.8</v>
      </c>
      <c r="AA93" s="61">
        <f t="shared" si="21"/>
        <v>-188.6</v>
      </c>
      <c r="AB93" s="61">
        <f t="shared" si="21"/>
        <v>-198.4</v>
      </c>
      <c r="AC93" s="61">
        <f t="shared" si="21"/>
        <v>-202</v>
      </c>
      <c r="AD93" s="61">
        <f t="shared" si="21"/>
        <v>-163.79999999999998</v>
      </c>
      <c r="AE93" s="61">
        <f t="shared" si="21"/>
        <v>-152.5</v>
      </c>
      <c r="AF93" s="61">
        <f t="shared" si="21"/>
        <v>-130</v>
      </c>
      <c r="AG93" s="81"/>
      <c r="AH93" s="48">
        <f t="shared" si="10"/>
        <v>123.69999999999999</v>
      </c>
      <c r="AI93" s="49">
        <f t="shared" si="11"/>
        <v>-202</v>
      </c>
    </row>
    <row r="94" spans="1:37" x14ac:dyDescent="0.25">
      <c r="A94" s="88" t="s">
        <v>96</v>
      </c>
      <c r="B94" s="89">
        <v>50.061999999999998</v>
      </c>
      <c r="C94" s="89">
        <v>49.966999999999999</v>
      </c>
      <c r="D94" s="89">
        <v>50.058</v>
      </c>
      <c r="E94" s="89">
        <v>50.048000000000002</v>
      </c>
      <c r="F94" s="89">
        <v>50.045999999999999</v>
      </c>
      <c r="G94" s="89">
        <v>50.052999999999997</v>
      </c>
      <c r="H94" s="89">
        <v>49.99</v>
      </c>
      <c r="I94" s="89">
        <v>50.094000000000001</v>
      </c>
      <c r="J94" s="89">
        <v>50.05</v>
      </c>
      <c r="K94" s="89">
        <v>49.99</v>
      </c>
      <c r="L94" s="89">
        <v>49.889000000000003</v>
      </c>
      <c r="M94" s="89">
        <v>49.945</v>
      </c>
      <c r="N94" s="89">
        <v>49.98</v>
      </c>
      <c r="O94" s="89">
        <v>49.99</v>
      </c>
      <c r="P94" s="89">
        <v>50.02</v>
      </c>
      <c r="Q94" s="89">
        <v>50.09</v>
      </c>
      <c r="R94" s="89">
        <v>50.064999999999998</v>
      </c>
      <c r="S94" s="89">
        <v>50.148000000000003</v>
      </c>
      <c r="T94" s="89">
        <v>49.999000000000002</v>
      </c>
      <c r="U94" s="89">
        <v>50.02</v>
      </c>
      <c r="V94" s="89">
        <v>49.98</v>
      </c>
      <c r="W94" s="89">
        <v>50.029000000000003</v>
      </c>
      <c r="X94" s="89">
        <v>50.036000000000001</v>
      </c>
      <c r="Y94" s="89">
        <v>49.976999999999997</v>
      </c>
      <c r="Z94" s="89">
        <v>49.941000000000003</v>
      </c>
      <c r="AA94" s="89">
        <v>49.89</v>
      </c>
      <c r="AB94" s="89">
        <v>50.015999999999998</v>
      </c>
      <c r="AC94" s="89">
        <v>50.030999999999999</v>
      </c>
      <c r="AD94" s="89">
        <v>50.067999999999998</v>
      </c>
      <c r="AE94" s="89">
        <v>49.944000000000003</v>
      </c>
      <c r="AF94" s="89">
        <v>49.997999999999998</v>
      </c>
      <c r="AG94" s="90"/>
      <c r="AH94" s="48">
        <f t="shared" si="10"/>
        <v>50.148000000000003</v>
      </c>
      <c r="AI94" s="49">
        <f t="shared" si="11"/>
        <v>49.889000000000003</v>
      </c>
    </row>
    <row r="95" spans="1:37" x14ac:dyDescent="0.25">
      <c r="A95" s="91" t="s">
        <v>97</v>
      </c>
      <c r="B95" s="65">
        <v>127.9</v>
      </c>
      <c r="C95" s="65">
        <v>28.3</v>
      </c>
      <c r="D95" s="65">
        <v>128</v>
      </c>
      <c r="E95" s="65">
        <v>128</v>
      </c>
      <c r="F95" s="65">
        <v>128</v>
      </c>
      <c r="G95" s="65">
        <v>128</v>
      </c>
      <c r="H95" s="65">
        <v>128</v>
      </c>
      <c r="I95" s="65">
        <v>126.4</v>
      </c>
      <c r="J95" s="65">
        <v>126.4</v>
      </c>
      <c r="K95" s="65">
        <v>124</v>
      </c>
      <c r="L95" s="65">
        <v>121</v>
      </c>
      <c r="M95" s="65">
        <v>124.5</v>
      </c>
      <c r="N95" s="65">
        <v>123.9</v>
      </c>
      <c r="O95" s="65">
        <v>123.8</v>
      </c>
      <c r="P95" s="65">
        <v>125.6</v>
      </c>
      <c r="Q95" s="65">
        <v>125.9</v>
      </c>
      <c r="R95" s="65">
        <v>125.5</v>
      </c>
      <c r="S95" s="65">
        <v>125</v>
      </c>
      <c r="T95" s="65">
        <v>124.5</v>
      </c>
      <c r="U95" s="65">
        <v>125.8</v>
      </c>
      <c r="V95" s="65">
        <v>125.7</v>
      </c>
      <c r="W95" s="65">
        <v>127</v>
      </c>
      <c r="X95" s="65">
        <v>127</v>
      </c>
      <c r="Y95" s="65">
        <v>126.4</v>
      </c>
      <c r="Z95" s="65">
        <v>128</v>
      </c>
      <c r="AA95" s="65">
        <v>130</v>
      </c>
      <c r="AB95" s="65">
        <v>129.4</v>
      </c>
      <c r="AC95" s="65">
        <v>129.4</v>
      </c>
      <c r="AD95" s="65">
        <v>128</v>
      </c>
      <c r="AE95" s="65">
        <v>128.30000000000001</v>
      </c>
      <c r="AF95" s="65">
        <v>128.80000000000001</v>
      </c>
      <c r="AG95" s="92"/>
      <c r="AH95" s="48">
        <f t="shared" si="10"/>
        <v>130</v>
      </c>
      <c r="AI95" s="49">
        <f t="shared" si="11"/>
        <v>28.3</v>
      </c>
    </row>
    <row r="96" spans="1:37" x14ac:dyDescent="0.25">
      <c r="A96" s="91" t="s">
        <v>98</v>
      </c>
      <c r="B96" s="65">
        <v>132</v>
      </c>
      <c r="C96" s="65">
        <v>132.30000000000001</v>
      </c>
      <c r="D96" s="65">
        <v>132</v>
      </c>
      <c r="E96" s="65">
        <v>132</v>
      </c>
      <c r="F96" s="65">
        <v>132</v>
      </c>
      <c r="G96" s="65">
        <v>132</v>
      </c>
      <c r="H96" s="65">
        <v>132</v>
      </c>
      <c r="I96" s="65">
        <v>130</v>
      </c>
      <c r="J96" s="65">
        <v>130</v>
      </c>
      <c r="K96" s="65">
        <v>127.8</v>
      </c>
      <c r="L96" s="65">
        <v>124</v>
      </c>
      <c r="M96" s="65">
        <v>127.2</v>
      </c>
      <c r="N96" s="65">
        <v>127.2</v>
      </c>
      <c r="O96" s="65">
        <v>126.8</v>
      </c>
      <c r="P96" s="65">
        <v>128.19999999999999</v>
      </c>
      <c r="Q96" s="65">
        <v>128.6</v>
      </c>
      <c r="R96" s="65">
        <v>128.30000000000001</v>
      </c>
      <c r="S96" s="65">
        <v>128</v>
      </c>
      <c r="T96" s="65">
        <v>127.6</v>
      </c>
      <c r="U96" s="65">
        <v>128</v>
      </c>
      <c r="V96" s="65">
        <v>128</v>
      </c>
      <c r="W96" s="65">
        <v>128.69999999999999</v>
      </c>
      <c r="X96" s="65">
        <v>128</v>
      </c>
      <c r="Y96" s="65">
        <v>128.30000000000001</v>
      </c>
      <c r="Z96" s="65">
        <v>129.9</v>
      </c>
      <c r="AA96" s="65">
        <v>131</v>
      </c>
      <c r="AB96" s="65">
        <v>131.1</v>
      </c>
      <c r="AC96" s="65">
        <v>131.1</v>
      </c>
      <c r="AD96" s="65">
        <v>130</v>
      </c>
      <c r="AE96" s="65">
        <v>131.1</v>
      </c>
      <c r="AF96" s="65">
        <v>131.9</v>
      </c>
      <c r="AG96" s="92"/>
      <c r="AH96" s="48">
        <f t="shared" si="10"/>
        <v>132.30000000000001</v>
      </c>
      <c r="AI96" s="49">
        <f t="shared" si="11"/>
        <v>124</v>
      </c>
    </row>
    <row r="97" spans="1:35" x14ac:dyDescent="0.25">
      <c r="A97" s="91" t="s">
        <v>99</v>
      </c>
      <c r="B97" s="65">
        <v>130.1</v>
      </c>
      <c r="C97" s="65">
        <v>131.1</v>
      </c>
      <c r="D97" s="65">
        <v>131.69999999999999</v>
      </c>
      <c r="E97" s="65">
        <v>131.69999999999999</v>
      </c>
      <c r="F97" s="65">
        <v>131.69999999999999</v>
      </c>
      <c r="G97" s="65">
        <v>130.6</v>
      </c>
      <c r="H97" s="65">
        <v>130.6</v>
      </c>
      <c r="I97" s="65">
        <v>127.7</v>
      </c>
      <c r="J97" s="65">
        <v>127.7</v>
      </c>
      <c r="K97" s="65">
        <v>127</v>
      </c>
      <c r="L97" s="65">
        <v>129.5</v>
      </c>
      <c r="M97" s="65">
        <v>130.4</v>
      </c>
      <c r="N97" s="65">
        <v>130.4</v>
      </c>
      <c r="O97" s="65">
        <v>129.1</v>
      </c>
      <c r="P97" s="65">
        <v>130.1</v>
      </c>
      <c r="Q97" s="65">
        <v>130.9</v>
      </c>
      <c r="R97" s="65">
        <v>132.1</v>
      </c>
      <c r="S97" s="65">
        <v>129</v>
      </c>
      <c r="T97" s="65">
        <v>129</v>
      </c>
      <c r="U97" s="65">
        <v>129</v>
      </c>
      <c r="V97" s="65">
        <v>130</v>
      </c>
      <c r="W97" s="65">
        <v>127</v>
      </c>
      <c r="X97" s="65">
        <v>126.6</v>
      </c>
      <c r="Y97" s="65">
        <v>130.9</v>
      </c>
      <c r="Z97" s="65">
        <v>131.80000000000001</v>
      </c>
      <c r="AA97" s="65">
        <v>132</v>
      </c>
      <c r="AB97" s="65">
        <v>131.1</v>
      </c>
      <c r="AC97" s="65">
        <v>131.1</v>
      </c>
      <c r="AD97" s="65">
        <v>132.6</v>
      </c>
      <c r="AE97" s="65">
        <v>131.5</v>
      </c>
      <c r="AF97" s="65">
        <v>131.69999999999999</v>
      </c>
      <c r="AG97" s="92"/>
      <c r="AH97" s="48">
        <f t="shared" si="10"/>
        <v>132.6</v>
      </c>
      <c r="AI97" s="49">
        <f t="shared" si="11"/>
        <v>126.6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0"/>
        <v>0</v>
      </c>
      <c r="AI98" s="49">
        <f t="shared" si="11"/>
        <v>0</v>
      </c>
    </row>
    <row r="99" spans="1:35" x14ac:dyDescent="0.25">
      <c r="A99" s="93" t="s">
        <v>101</v>
      </c>
      <c r="B99" s="94">
        <v>134.4</v>
      </c>
      <c r="C99" s="94">
        <v>134.5</v>
      </c>
      <c r="D99" s="94">
        <v>132</v>
      </c>
      <c r="E99" s="94">
        <v>132</v>
      </c>
      <c r="F99" s="94">
        <v>132</v>
      </c>
      <c r="G99" s="94">
        <v>133.80000000000001</v>
      </c>
      <c r="H99" s="94">
        <v>133.80000000000001</v>
      </c>
      <c r="I99" s="94">
        <v>132.9</v>
      </c>
      <c r="J99" s="94">
        <v>132.9</v>
      </c>
      <c r="K99" s="94">
        <v>133.80000000000001</v>
      </c>
      <c r="L99" s="94">
        <v>134.6</v>
      </c>
      <c r="M99" s="94">
        <v>136.6</v>
      </c>
      <c r="N99" s="94">
        <v>132.5</v>
      </c>
      <c r="O99" s="94">
        <v>134.5</v>
      </c>
      <c r="P99" s="94">
        <v>134.6</v>
      </c>
      <c r="Q99" s="94">
        <v>134.5</v>
      </c>
      <c r="R99" s="94">
        <v>135.19999999999999</v>
      </c>
      <c r="S99" s="94">
        <v>132</v>
      </c>
      <c r="T99" s="94">
        <v>135</v>
      </c>
      <c r="U99" s="94">
        <v>133</v>
      </c>
      <c r="V99" s="94">
        <v>133</v>
      </c>
      <c r="W99" s="94">
        <v>130.80000000000001</v>
      </c>
      <c r="X99" s="94">
        <v>132.6</v>
      </c>
      <c r="Y99" s="94">
        <v>134.6</v>
      </c>
      <c r="Z99" s="94">
        <v>133.80000000000001</v>
      </c>
      <c r="AA99" s="94">
        <v>135</v>
      </c>
      <c r="AB99" s="94">
        <v>136.4</v>
      </c>
      <c r="AC99" s="94">
        <v>136.4</v>
      </c>
      <c r="AD99" s="94">
        <v>134.19999999999999</v>
      </c>
      <c r="AE99" s="94">
        <v>134.1</v>
      </c>
      <c r="AF99" s="94">
        <v>134.19999999999999</v>
      </c>
      <c r="AG99" s="95"/>
      <c r="AH99" s="48">
        <f t="shared" si="10"/>
        <v>136.6</v>
      </c>
      <c r="AI99" s="49">
        <f t="shared" si="11"/>
        <v>130.80000000000001</v>
      </c>
    </row>
    <row r="100" spans="1:35" x14ac:dyDescent="0.25">
      <c r="A100" s="91" t="s">
        <v>102</v>
      </c>
      <c r="B100" s="65">
        <v>134.30000000000001</v>
      </c>
      <c r="C100" s="65">
        <v>134.69999999999999</v>
      </c>
      <c r="D100" s="65">
        <v>134</v>
      </c>
      <c r="E100" s="65">
        <v>134</v>
      </c>
      <c r="F100" s="65">
        <v>134</v>
      </c>
      <c r="G100" s="65">
        <v>133.6</v>
      </c>
      <c r="H100" s="65">
        <v>133.6</v>
      </c>
      <c r="I100" s="65">
        <v>131.9</v>
      </c>
      <c r="J100" s="65">
        <v>131.9</v>
      </c>
      <c r="K100" s="65">
        <v>131</v>
      </c>
      <c r="L100" s="65">
        <v>131.4</v>
      </c>
      <c r="M100" s="65">
        <v>129.4</v>
      </c>
      <c r="N100" s="65">
        <v>129.9</v>
      </c>
      <c r="O100" s="65">
        <v>127.8</v>
      </c>
      <c r="P100" s="65">
        <v>130.69999999999999</v>
      </c>
      <c r="Q100" s="65">
        <v>130</v>
      </c>
      <c r="R100" s="65">
        <v>132.80000000000001</v>
      </c>
      <c r="S100" s="65">
        <v>129.69999999999999</v>
      </c>
      <c r="T100" s="65">
        <v>132</v>
      </c>
      <c r="U100" s="65">
        <v>131</v>
      </c>
      <c r="V100" s="65">
        <v>128.80000000000001</v>
      </c>
      <c r="W100" s="65">
        <v>130.6</v>
      </c>
      <c r="X100" s="65">
        <v>132</v>
      </c>
      <c r="Y100" s="65">
        <v>134.5</v>
      </c>
      <c r="Z100" s="65">
        <v>135</v>
      </c>
      <c r="AA100" s="65">
        <v>134</v>
      </c>
      <c r="AB100" s="65">
        <v>136.1</v>
      </c>
      <c r="AC100" s="65">
        <v>136.1</v>
      </c>
      <c r="AD100" s="65">
        <v>133.6</v>
      </c>
      <c r="AE100" s="65">
        <v>133</v>
      </c>
      <c r="AF100" s="65">
        <v>133.30000000000001</v>
      </c>
      <c r="AG100" s="92"/>
      <c r="AH100" s="48">
        <f t="shared" si="10"/>
        <v>136.1</v>
      </c>
      <c r="AI100" s="49">
        <f t="shared" si="11"/>
        <v>127.8</v>
      </c>
    </row>
    <row r="101" spans="1:35" ht="15.75" thickBot="1" x14ac:dyDescent="0.3">
      <c r="A101" s="91" t="s">
        <v>104</v>
      </c>
      <c r="B101" s="96">
        <v>66.400000000000006</v>
      </c>
      <c r="C101" s="96">
        <v>66.599999999999994</v>
      </c>
      <c r="D101" s="96">
        <v>66.5</v>
      </c>
      <c r="E101" s="96">
        <v>66.5</v>
      </c>
      <c r="F101" s="96">
        <v>66.5</v>
      </c>
      <c r="G101" s="96">
        <v>66.400000000000006</v>
      </c>
      <c r="H101" s="96">
        <v>66</v>
      </c>
      <c r="I101" s="96">
        <v>65.3</v>
      </c>
      <c r="J101" s="96">
        <v>65.3</v>
      </c>
      <c r="K101" s="96">
        <v>64.2</v>
      </c>
      <c r="L101" s="96">
        <v>62.8</v>
      </c>
      <c r="M101" s="96">
        <v>63.4</v>
      </c>
      <c r="N101" s="96">
        <v>63.8</v>
      </c>
      <c r="O101" s="96">
        <v>63.2</v>
      </c>
      <c r="P101" s="96">
        <v>63.9</v>
      </c>
      <c r="Q101" s="96">
        <v>64.099999999999994</v>
      </c>
      <c r="R101" s="96">
        <v>64.099999999999994</v>
      </c>
      <c r="S101" s="96">
        <v>64.400000000000006</v>
      </c>
      <c r="T101" s="96">
        <v>63.9</v>
      </c>
      <c r="U101" s="96">
        <v>64.3</v>
      </c>
      <c r="V101" s="96">
        <v>64.5</v>
      </c>
      <c r="W101" s="96">
        <v>64.8</v>
      </c>
      <c r="X101" s="96">
        <v>64.5</v>
      </c>
      <c r="Y101" s="96">
        <v>64.599999999999994</v>
      </c>
      <c r="Z101" s="96">
        <v>65.400000000000006</v>
      </c>
      <c r="AA101" s="96">
        <v>66</v>
      </c>
      <c r="AB101" s="96">
        <v>66.099999999999994</v>
      </c>
      <c r="AC101" s="96">
        <v>66.099999999999994</v>
      </c>
      <c r="AD101" s="96">
        <v>65.5</v>
      </c>
      <c r="AE101" s="96">
        <v>66.099999999999994</v>
      </c>
      <c r="AF101" s="96">
        <v>66.3</v>
      </c>
      <c r="AG101" s="97"/>
      <c r="AH101" s="48">
        <f t="shared" si="10"/>
        <v>66.599999999999994</v>
      </c>
      <c r="AI101" s="49">
        <f t="shared" si="11"/>
        <v>62.8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0"/>
        <v>0</v>
      </c>
      <c r="AI102" s="49">
        <f t="shared" si="11"/>
        <v>0</v>
      </c>
    </row>
    <row r="103" spans="1:35" ht="15.75" thickBot="1" x14ac:dyDescent="0.3">
      <c r="A103" s="99" t="s">
        <v>105</v>
      </c>
      <c r="B103" s="100">
        <f t="shared" ref="B103:AF103" si="22">SUM(B16,B22,B25:B26,B51,B53:B54,B56,B58,B104:B108,B130,B136,B142,B151,B153,B165,B172,B175:B176,B183,B185,B187,B191:B193,B195:B197,B202,B208:B209,B211:B213,B221,B226)</f>
        <v>376.9</v>
      </c>
      <c r="C103" s="100">
        <f t="shared" si="22"/>
        <v>68.94</v>
      </c>
      <c r="D103" s="100">
        <f t="shared" si="22"/>
        <v>63.540000000000006</v>
      </c>
      <c r="E103" s="100">
        <f t="shared" si="22"/>
        <v>59.94</v>
      </c>
      <c r="F103" s="100">
        <f t="shared" si="22"/>
        <v>63.24</v>
      </c>
      <c r="G103" s="100">
        <f t="shared" si="22"/>
        <v>87.84</v>
      </c>
      <c r="H103" s="100">
        <f t="shared" si="22"/>
        <v>116.24</v>
      </c>
      <c r="I103" s="100">
        <f t="shared" si="22"/>
        <v>148.83999999999997</v>
      </c>
      <c r="J103" s="100">
        <f t="shared" si="22"/>
        <v>201.44</v>
      </c>
      <c r="K103" s="100">
        <f t="shared" si="22"/>
        <v>233.14</v>
      </c>
      <c r="L103" s="100">
        <f t="shared" si="22"/>
        <v>285.64</v>
      </c>
      <c r="M103" s="100">
        <f t="shared" si="22"/>
        <v>293.54000000000002</v>
      </c>
      <c r="N103" s="100">
        <f t="shared" si="22"/>
        <v>246.53999999999996</v>
      </c>
      <c r="O103" s="100">
        <f t="shared" si="22"/>
        <v>253.54000000000002</v>
      </c>
      <c r="P103" s="100">
        <f t="shared" si="22"/>
        <v>244.73999999999995</v>
      </c>
      <c r="Q103" s="100">
        <f t="shared" si="22"/>
        <v>230.19999999999996</v>
      </c>
      <c r="R103" s="100">
        <f t="shared" si="22"/>
        <v>214.39999999999998</v>
      </c>
      <c r="S103" s="100">
        <f t="shared" si="22"/>
        <v>214.4</v>
      </c>
      <c r="T103" s="100">
        <f t="shared" si="22"/>
        <v>216.2</v>
      </c>
      <c r="U103" s="100">
        <f t="shared" si="22"/>
        <v>234</v>
      </c>
      <c r="V103" s="100">
        <f t="shared" si="22"/>
        <v>263.28000000000003</v>
      </c>
      <c r="W103" s="100">
        <f t="shared" si="22"/>
        <v>281.5</v>
      </c>
      <c r="X103" s="100">
        <f>SUM(X16,X22,X25:X26,X51,X53:X54,X56,X58,X104:X108,X130,X136,X142,X151,X153,X165,X172,X175:X176,X183,X185,X187,X191:X193,X195:X197,X202,X208:X209,X211:X213,X221,X226)</f>
        <v>342.2</v>
      </c>
      <c r="Y103" s="100">
        <f t="shared" si="22"/>
        <v>295.39999999999998</v>
      </c>
      <c r="Z103" s="100">
        <f t="shared" si="22"/>
        <v>318.49999999999994</v>
      </c>
      <c r="AA103" s="100">
        <f t="shared" si="22"/>
        <v>303.79999999999995</v>
      </c>
      <c r="AB103" s="100">
        <f t="shared" si="22"/>
        <v>262.2</v>
      </c>
      <c r="AC103" s="100">
        <f t="shared" si="22"/>
        <v>253.60000000000002</v>
      </c>
      <c r="AD103" s="100">
        <f t="shared" si="22"/>
        <v>224.10000000000002</v>
      </c>
      <c r="AE103" s="100">
        <f t="shared" si="22"/>
        <v>160.49999999999997</v>
      </c>
      <c r="AF103" s="100">
        <f t="shared" si="22"/>
        <v>109.79999999999997</v>
      </c>
      <c r="AG103" s="101"/>
      <c r="AH103" s="48">
        <f t="shared" si="10"/>
        <v>376.9</v>
      </c>
      <c r="AI103" s="49">
        <f t="shared" si="11"/>
        <v>59.94</v>
      </c>
    </row>
    <row r="104" spans="1:35" x14ac:dyDescent="0.25">
      <c r="A104" s="88" t="s">
        <v>106</v>
      </c>
      <c r="B104" s="102">
        <v>36.299999999999997</v>
      </c>
      <c r="C104" s="102">
        <v>30.8</v>
      </c>
      <c r="D104" s="102">
        <v>31</v>
      </c>
      <c r="E104" s="102">
        <v>27</v>
      </c>
      <c r="F104" s="102">
        <v>31.3</v>
      </c>
      <c r="G104" s="102">
        <v>32.4</v>
      </c>
      <c r="H104" s="102">
        <v>37.200000000000003</v>
      </c>
      <c r="I104" s="102">
        <v>44.8</v>
      </c>
      <c r="J104" s="102">
        <v>45</v>
      </c>
      <c r="K104" s="102">
        <v>46.2</v>
      </c>
      <c r="L104" s="102">
        <v>48.2</v>
      </c>
      <c r="M104" s="102">
        <v>52</v>
      </c>
      <c r="N104" s="102">
        <v>55.4</v>
      </c>
      <c r="O104" s="102">
        <v>56.4</v>
      </c>
      <c r="P104" s="102">
        <v>52.7</v>
      </c>
      <c r="Q104" s="102">
        <v>52</v>
      </c>
      <c r="R104" s="102">
        <v>55.7</v>
      </c>
      <c r="S104" s="102">
        <v>58.6</v>
      </c>
      <c r="T104" s="102">
        <v>60.5</v>
      </c>
      <c r="U104" s="102">
        <v>54</v>
      </c>
      <c r="V104" s="102">
        <v>49.7</v>
      </c>
      <c r="W104" s="102">
        <v>44</v>
      </c>
      <c r="X104" s="102">
        <v>39.1</v>
      </c>
      <c r="Y104" s="102">
        <v>42.5</v>
      </c>
      <c r="Z104" s="102">
        <v>47.7</v>
      </c>
      <c r="AA104" s="102">
        <v>50.1</v>
      </c>
      <c r="AB104" s="102">
        <v>56.5</v>
      </c>
      <c r="AC104" s="102">
        <v>56.6</v>
      </c>
      <c r="AD104" s="102">
        <v>59.5</v>
      </c>
      <c r="AE104" s="102">
        <v>46.2</v>
      </c>
      <c r="AF104" s="102">
        <v>33.200000000000003</v>
      </c>
      <c r="AG104" s="103">
        <v>75</v>
      </c>
      <c r="AH104" s="48">
        <f t="shared" si="10"/>
        <v>60.5</v>
      </c>
      <c r="AI104" s="49">
        <f t="shared" si="11"/>
        <v>27</v>
      </c>
    </row>
    <row r="105" spans="1:35" x14ac:dyDescent="0.25">
      <c r="A105" s="91" t="s">
        <v>107</v>
      </c>
      <c r="B105" s="104">
        <v>59.4</v>
      </c>
      <c r="C105" s="104">
        <v>49.9</v>
      </c>
      <c r="D105" s="104">
        <v>52</v>
      </c>
      <c r="E105" s="104">
        <v>46.4</v>
      </c>
      <c r="F105" s="104">
        <v>50.1</v>
      </c>
      <c r="G105" s="104">
        <v>52.4</v>
      </c>
      <c r="H105" s="104">
        <v>60.3</v>
      </c>
      <c r="I105" s="104">
        <v>70.8</v>
      </c>
      <c r="J105" s="104">
        <v>70</v>
      </c>
      <c r="K105" s="104">
        <v>68.7</v>
      </c>
      <c r="L105" s="104">
        <v>69</v>
      </c>
      <c r="M105" s="104">
        <v>75.7</v>
      </c>
      <c r="N105" s="104">
        <v>82.1</v>
      </c>
      <c r="O105" s="104">
        <v>83.9</v>
      </c>
      <c r="P105" s="104">
        <v>78.400000000000006</v>
      </c>
      <c r="Q105" s="104">
        <v>78.099999999999994</v>
      </c>
      <c r="R105" s="104">
        <v>83.9</v>
      </c>
      <c r="S105" s="104">
        <v>88.9</v>
      </c>
      <c r="T105" s="104">
        <v>91.3</v>
      </c>
      <c r="U105" s="104">
        <v>81</v>
      </c>
      <c r="V105" s="104">
        <v>74.400000000000006</v>
      </c>
      <c r="W105" s="104">
        <v>65.8</v>
      </c>
      <c r="X105" s="104">
        <v>56.9</v>
      </c>
      <c r="Y105" s="104">
        <v>61.7</v>
      </c>
      <c r="Z105" s="104">
        <v>70.900000000000006</v>
      </c>
      <c r="AA105" s="104">
        <v>76.099999999999994</v>
      </c>
      <c r="AB105" s="104">
        <v>85</v>
      </c>
      <c r="AC105" s="104">
        <v>85.2</v>
      </c>
      <c r="AD105" s="104">
        <v>88.4</v>
      </c>
      <c r="AE105" s="104">
        <v>70.5</v>
      </c>
      <c r="AF105" s="104">
        <v>53.5</v>
      </c>
      <c r="AG105" s="103">
        <v>240</v>
      </c>
      <c r="AH105" s="48">
        <f t="shared" si="10"/>
        <v>91.3</v>
      </c>
      <c r="AI105" s="49">
        <f t="shared" si="11"/>
        <v>46.4</v>
      </c>
    </row>
    <row r="106" spans="1:35" x14ac:dyDescent="0.25">
      <c r="A106" s="91" t="s">
        <v>108</v>
      </c>
      <c r="B106" s="104">
        <v>150.30000000000001</v>
      </c>
      <c r="C106" s="104">
        <v>-146</v>
      </c>
      <c r="D106" s="104">
        <v>-151</v>
      </c>
      <c r="E106" s="104">
        <v>-145.4</v>
      </c>
      <c r="F106" s="104">
        <v>-149</v>
      </c>
      <c r="G106" s="104">
        <v>-133</v>
      </c>
      <c r="H106" s="104">
        <v>-120</v>
      </c>
      <c r="I106" s="104">
        <v>-108</v>
      </c>
      <c r="J106" s="104">
        <v>-62</v>
      </c>
      <c r="K106" s="104">
        <v>-38</v>
      </c>
      <c r="L106" s="104">
        <v>2.9</v>
      </c>
      <c r="M106" s="104">
        <f>-6.2-11.3</f>
        <v>-17.5</v>
      </c>
      <c r="N106" s="104">
        <f>-27.1-24.4</f>
        <v>-51.5</v>
      </c>
      <c r="O106" s="104">
        <f>-23.5-25.6</f>
        <v>-49.1</v>
      </c>
      <c r="P106" s="104">
        <f>-24.3-27</f>
        <v>-51.3</v>
      </c>
      <c r="Q106" s="104">
        <f>-30.2-31.7</f>
        <v>-61.9</v>
      </c>
      <c r="R106" s="104">
        <f>-40.7-43.6</f>
        <v>-84.300000000000011</v>
      </c>
      <c r="S106" s="104">
        <v>-89.4</v>
      </c>
      <c r="T106" s="104">
        <v>-90.8</v>
      </c>
      <c r="U106" s="104">
        <v>-61</v>
      </c>
      <c r="V106" s="104">
        <v>-27.8</v>
      </c>
      <c r="W106" s="104">
        <v>-28.8</v>
      </c>
      <c r="X106" s="104">
        <v>37</v>
      </c>
      <c r="Y106" s="104">
        <v>-16</v>
      </c>
      <c r="Z106" s="104">
        <v>2</v>
      </c>
      <c r="AA106" s="104">
        <v>-23</v>
      </c>
      <c r="AB106" s="104">
        <v>-68.099999999999994</v>
      </c>
      <c r="AC106" s="104">
        <v>-68.099999999999994</v>
      </c>
      <c r="AD106" s="104">
        <v>-74.5</v>
      </c>
      <c r="AE106" s="104">
        <v>-100.9</v>
      </c>
      <c r="AF106" s="104">
        <v>-116.2</v>
      </c>
      <c r="AG106" s="103">
        <v>240</v>
      </c>
      <c r="AH106" s="48">
        <f t="shared" si="10"/>
        <v>150.30000000000001</v>
      </c>
      <c r="AI106" s="49">
        <f t="shared" si="11"/>
        <v>-151</v>
      </c>
    </row>
    <row r="107" spans="1:35" x14ac:dyDescent="0.25">
      <c r="A107" s="91" t="s">
        <v>109</v>
      </c>
      <c r="B107" s="104">
        <v>-12.5</v>
      </c>
      <c r="C107" s="104">
        <v>-10.1</v>
      </c>
      <c r="D107" s="104">
        <v>-12.7</v>
      </c>
      <c r="E107" s="104">
        <v>-12.5</v>
      </c>
      <c r="F107" s="104">
        <v>-13.6</v>
      </c>
      <c r="G107" s="104">
        <v>-8.4</v>
      </c>
      <c r="H107" s="104">
        <v>-5.7</v>
      </c>
      <c r="I107" s="104">
        <v>-3</v>
      </c>
      <c r="J107" s="104">
        <v>4</v>
      </c>
      <c r="K107" s="104">
        <v>12</v>
      </c>
      <c r="L107" s="104">
        <v>21.3</v>
      </c>
      <c r="M107" s="104">
        <v>35.1</v>
      </c>
      <c r="N107" s="104">
        <v>12.3</v>
      </c>
      <c r="O107" s="104">
        <v>14.1</v>
      </c>
      <c r="P107" s="104">
        <v>15.2</v>
      </c>
      <c r="Q107" s="104">
        <v>13.2</v>
      </c>
      <c r="R107" s="104">
        <v>10.3</v>
      </c>
      <c r="S107" s="104">
        <v>6.3</v>
      </c>
      <c r="T107" s="104">
        <v>5.2</v>
      </c>
      <c r="U107" s="104">
        <v>10</v>
      </c>
      <c r="V107" s="104">
        <v>22.98</v>
      </c>
      <c r="W107" s="104">
        <v>56.5</v>
      </c>
      <c r="X107" s="104">
        <v>64.5</v>
      </c>
      <c r="Y107" s="104">
        <v>62.5</v>
      </c>
      <c r="Z107" s="104">
        <v>53.2</v>
      </c>
      <c r="AA107" s="104">
        <v>55.9</v>
      </c>
      <c r="AB107" s="104">
        <v>44.1</v>
      </c>
      <c r="AC107" s="104">
        <v>35.200000000000003</v>
      </c>
      <c r="AD107" s="104">
        <v>6</v>
      </c>
      <c r="AE107" s="104">
        <v>0</v>
      </c>
      <c r="AF107" s="104">
        <v>-5.6</v>
      </c>
      <c r="AG107" s="103">
        <v>60</v>
      </c>
      <c r="AH107" s="48">
        <f t="shared" si="10"/>
        <v>64.5</v>
      </c>
      <c r="AI107" s="49">
        <f t="shared" si="11"/>
        <v>-13.6</v>
      </c>
    </row>
    <row r="108" spans="1:35" x14ac:dyDescent="0.25">
      <c r="A108" s="105" t="s">
        <v>110</v>
      </c>
      <c r="B108" s="106">
        <v>0</v>
      </c>
      <c r="C108" s="106">
        <v>0</v>
      </c>
      <c r="D108" s="106">
        <v>0</v>
      </c>
      <c r="E108" s="106">
        <v>0</v>
      </c>
      <c r="F108" s="106">
        <v>0</v>
      </c>
      <c r="G108" s="106">
        <v>0</v>
      </c>
      <c r="H108" s="106">
        <v>0</v>
      </c>
      <c r="I108" s="106">
        <v>0</v>
      </c>
      <c r="J108" s="106">
        <v>0</v>
      </c>
      <c r="K108" s="106">
        <v>0</v>
      </c>
      <c r="L108" s="106">
        <v>0</v>
      </c>
      <c r="M108" s="106">
        <v>0</v>
      </c>
      <c r="N108" s="106">
        <v>0</v>
      </c>
      <c r="O108" s="106">
        <v>0</v>
      </c>
      <c r="P108" s="106">
        <v>0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/>
      <c r="AC108" s="106"/>
      <c r="AD108" s="106"/>
      <c r="AE108" s="106"/>
      <c r="AF108" s="106"/>
      <c r="AG108" s="107">
        <v>120</v>
      </c>
      <c r="AH108" s="48">
        <f t="shared" si="10"/>
        <v>0</v>
      </c>
      <c r="AI108" s="49">
        <f t="shared" si="11"/>
        <v>0</v>
      </c>
    </row>
    <row r="109" spans="1:35" x14ac:dyDescent="0.25">
      <c r="A109" s="105" t="s">
        <v>111</v>
      </c>
      <c r="B109" s="106">
        <v>-19.5</v>
      </c>
      <c r="C109" s="106">
        <v>-14.1</v>
      </c>
      <c r="D109" s="106">
        <v>-22.8</v>
      </c>
      <c r="E109" s="106">
        <v>-2.2999999999999998</v>
      </c>
      <c r="F109" s="106">
        <v>-3.7</v>
      </c>
      <c r="G109" s="106">
        <v>-5.4</v>
      </c>
      <c r="H109" s="106">
        <v>3.4</v>
      </c>
      <c r="I109" s="106">
        <v>18.7</v>
      </c>
      <c r="J109" s="106">
        <v>45</v>
      </c>
      <c r="K109" s="106">
        <v>74</v>
      </c>
      <c r="L109" s="106">
        <v>102.2</v>
      </c>
      <c r="M109" s="106">
        <v>78.099999999999994</v>
      </c>
      <c r="N109" s="106">
        <v>53</v>
      </c>
      <c r="O109" s="106">
        <v>54</v>
      </c>
      <c r="P109" s="106">
        <v>40.4</v>
      </c>
      <c r="Q109" s="106">
        <v>40.4</v>
      </c>
      <c r="R109" s="106">
        <v>30.5</v>
      </c>
      <c r="S109" s="106">
        <v>18.7</v>
      </c>
      <c r="T109" s="106">
        <v>15.9</v>
      </c>
      <c r="U109" s="106">
        <v>34</v>
      </c>
      <c r="V109" s="106">
        <v>56.3</v>
      </c>
      <c r="W109" s="106">
        <v>58.9</v>
      </c>
      <c r="X109" s="106">
        <v>84</v>
      </c>
      <c r="Y109" s="106">
        <v>71</v>
      </c>
      <c r="Z109" s="106">
        <v>43.3</v>
      </c>
      <c r="AA109" s="106">
        <v>12.9</v>
      </c>
      <c r="AB109" s="106">
        <v>-10.5</v>
      </c>
      <c r="AC109" s="106">
        <v>-10.5</v>
      </c>
      <c r="AD109" s="106">
        <v>-6.9</v>
      </c>
      <c r="AE109" s="106">
        <v>-8</v>
      </c>
      <c r="AF109" s="106">
        <v>-1.3</v>
      </c>
      <c r="AG109" s="107"/>
      <c r="AH109" s="48">
        <f t="shared" si="10"/>
        <v>102.2</v>
      </c>
      <c r="AI109" s="49">
        <f t="shared" si="11"/>
        <v>-22.8</v>
      </c>
    </row>
    <row r="110" spans="1:35" x14ac:dyDescent="0.25">
      <c r="A110" s="105" t="s">
        <v>112</v>
      </c>
      <c r="B110" s="106">
        <v>9.9</v>
      </c>
      <c r="C110" s="106">
        <v>12</v>
      </c>
      <c r="D110" s="106">
        <v>-5.9</v>
      </c>
      <c r="E110" s="106">
        <v>23.4</v>
      </c>
      <c r="F110" s="106">
        <v>19.899999999999999</v>
      </c>
      <c r="G110" s="106">
        <v>15.3</v>
      </c>
      <c r="H110" s="106">
        <v>21.6</v>
      </c>
      <c r="I110" s="106">
        <v>15.4</v>
      </c>
      <c r="J110" s="106">
        <v>16</v>
      </c>
      <c r="K110" s="106">
        <v>17.2</v>
      </c>
      <c r="L110" s="106">
        <v>10.199999999999999</v>
      </c>
      <c r="M110" s="106">
        <v>-2</v>
      </c>
      <c r="N110" s="106">
        <v>-1.8</v>
      </c>
      <c r="O110" s="106">
        <v>-8.9</v>
      </c>
      <c r="P110" s="106">
        <v>-5.3</v>
      </c>
      <c r="Q110" s="106">
        <v>0.3</v>
      </c>
      <c r="R110" s="106">
        <v>-11.6</v>
      </c>
      <c r="S110" s="106">
        <v>-17.7</v>
      </c>
      <c r="T110" s="106">
        <v>-23.4</v>
      </c>
      <c r="U110" s="106">
        <v>5</v>
      </c>
      <c r="V110" s="106">
        <v>6.5</v>
      </c>
      <c r="W110" s="106">
        <v>18.8</v>
      </c>
      <c r="X110" s="106">
        <v>33.9</v>
      </c>
      <c r="Y110" s="106">
        <v>28</v>
      </c>
      <c r="Z110" s="106">
        <v>16.899999999999999</v>
      </c>
      <c r="AA110" s="106">
        <v>6.8</v>
      </c>
      <c r="AB110" s="106">
        <v>-5.4</v>
      </c>
      <c r="AC110" s="106">
        <v>-5.4</v>
      </c>
      <c r="AD110" s="106">
        <v>-13.3</v>
      </c>
      <c r="AE110" s="106">
        <v>-4.8</v>
      </c>
      <c r="AF110" s="106">
        <v>17.8</v>
      </c>
      <c r="AG110" s="108"/>
      <c r="AH110" s="48">
        <f t="shared" si="10"/>
        <v>33.9</v>
      </c>
      <c r="AI110" s="49">
        <f t="shared" si="11"/>
        <v>-23.4</v>
      </c>
    </row>
    <row r="111" spans="1:35" x14ac:dyDescent="0.25">
      <c r="A111" s="109" t="s">
        <v>113</v>
      </c>
      <c r="B111" s="94">
        <v>38.299999999999997</v>
      </c>
      <c r="C111" s="94">
        <v>39.299999999999997</v>
      </c>
      <c r="D111" s="94">
        <v>39.4</v>
      </c>
      <c r="E111" s="94">
        <v>44</v>
      </c>
      <c r="F111" s="94">
        <v>44.4</v>
      </c>
      <c r="G111" s="94">
        <v>41.2</v>
      </c>
      <c r="H111" s="94">
        <v>37</v>
      </c>
      <c r="I111" s="94">
        <v>30.5</v>
      </c>
      <c r="J111" s="94">
        <v>25</v>
      </c>
      <c r="K111" s="94">
        <v>19.600000000000001</v>
      </c>
      <c r="L111" s="94">
        <v>18.3</v>
      </c>
      <c r="M111" s="94">
        <v>15.9</v>
      </c>
      <c r="N111" s="94">
        <v>19.399999999999999</v>
      </c>
      <c r="O111" s="94">
        <v>22.2</v>
      </c>
      <c r="P111" s="94">
        <v>21.8</v>
      </c>
      <c r="Q111" s="94">
        <v>24.6</v>
      </c>
      <c r="R111" s="94">
        <v>30.5</v>
      </c>
      <c r="S111" s="94">
        <v>26.3</v>
      </c>
      <c r="T111" s="94">
        <v>25.6</v>
      </c>
      <c r="U111" s="94">
        <v>21.6</v>
      </c>
      <c r="V111" s="94">
        <v>6.5</v>
      </c>
      <c r="W111" s="94">
        <v>-6.7</v>
      </c>
      <c r="X111" s="94">
        <v>75.900000000000006</v>
      </c>
      <c r="Y111" s="94">
        <v>2.2999999999999998</v>
      </c>
      <c r="Z111" s="94">
        <v>10.1</v>
      </c>
      <c r="AA111" s="94">
        <v>16.7</v>
      </c>
      <c r="AB111" s="94">
        <v>28.4</v>
      </c>
      <c r="AC111" s="94">
        <v>28.4</v>
      </c>
      <c r="AD111" s="94">
        <v>31.8</v>
      </c>
      <c r="AE111" s="94">
        <v>47.2</v>
      </c>
      <c r="AF111" s="94">
        <v>43.4</v>
      </c>
      <c r="AG111" s="108"/>
      <c r="AH111" s="48">
        <f t="shared" si="10"/>
        <v>75.900000000000006</v>
      </c>
      <c r="AI111" s="49">
        <f t="shared" si="11"/>
        <v>-6.7</v>
      </c>
    </row>
    <row r="112" spans="1:35" ht="15.75" thickBot="1" x14ac:dyDescent="0.3">
      <c r="A112" s="109" t="s">
        <v>114</v>
      </c>
      <c r="B112" s="94">
        <v>108</v>
      </c>
      <c r="C112" s="94">
        <v>105.3</v>
      </c>
      <c r="D112" s="94">
        <v>112</v>
      </c>
      <c r="E112" s="94">
        <v>105.3</v>
      </c>
      <c r="F112" s="94">
        <v>105.6</v>
      </c>
      <c r="G112" s="94">
        <v>95.1</v>
      </c>
      <c r="H112" s="94">
        <v>83.6</v>
      </c>
      <c r="I112" s="94">
        <v>78</v>
      </c>
      <c r="J112" s="94">
        <v>50</v>
      </c>
      <c r="K112" s="94">
        <v>33</v>
      </c>
      <c r="L112" s="94">
        <v>11</v>
      </c>
      <c r="M112" s="94">
        <v>34.4</v>
      </c>
      <c r="N112" s="94">
        <v>49.4</v>
      </c>
      <c r="O112" s="94">
        <v>46.1</v>
      </c>
      <c r="P112" s="94">
        <v>47.5</v>
      </c>
      <c r="Q112" s="94">
        <v>51.5</v>
      </c>
      <c r="R112" s="94">
        <v>69.400000000000006</v>
      </c>
      <c r="S112" s="94">
        <v>77.5</v>
      </c>
      <c r="T112" s="94">
        <v>77.8</v>
      </c>
      <c r="U112" s="94">
        <v>53</v>
      </c>
      <c r="V112" s="94">
        <v>29.2</v>
      </c>
      <c r="W112" s="94">
        <v>26.2</v>
      </c>
      <c r="X112" s="94">
        <v>4.9000000000000004</v>
      </c>
      <c r="Y112" s="94">
        <v>16</v>
      </c>
      <c r="Z112" s="94">
        <v>32.9</v>
      </c>
      <c r="AA112" s="94">
        <v>55.5</v>
      </c>
      <c r="AB112" s="94">
        <v>82.9</v>
      </c>
      <c r="AC112" s="94">
        <v>82.9</v>
      </c>
      <c r="AD112" s="94">
        <v>73.7</v>
      </c>
      <c r="AE112" s="94">
        <v>79.599999999999994</v>
      </c>
      <c r="AF112" s="94">
        <v>85</v>
      </c>
      <c r="AG112" s="108"/>
      <c r="AH112" s="48">
        <f t="shared" si="10"/>
        <v>112</v>
      </c>
      <c r="AI112" s="49">
        <f t="shared" si="11"/>
        <v>4.9000000000000004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23">SUM(B114:B218)</f>
        <v>0</v>
      </c>
      <c r="C219" s="125">
        <f t="shared" si="23"/>
        <v>0</v>
      </c>
      <c r="D219" s="125">
        <f t="shared" si="23"/>
        <v>0</v>
      </c>
      <c r="E219" s="125">
        <f t="shared" si="23"/>
        <v>0</v>
      </c>
      <c r="F219" s="125">
        <f t="shared" si="23"/>
        <v>0</v>
      </c>
      <c r="G219" s="125">
        <f t="shared" si="23"/>
        <v>0</v>
      </c>
      <c r="H219" s="125">
        <f t="shared" si="23"/>
        <v>0</v>
      </c>
      <c r="I219" s="125">
        <f t="shared" si="23"/>
        <v>0</v>
      </c>
      <c r="J219" s="125">
        <f t="shared" si="23"/>
        <v>0</v>
      </c>
      <c r="K219" s="125">
        <f t="shared" si="23"/>
        <v>0</v>
      </c>
      <c r="L219" s="125">
        <f t="shared" si="23"/>
        <v>0</v>
      </c>
      <c r="M219" s="125">
        <f t="shared" si="23"/>
        <v>0</v>
      </c>
      <c r="N219" s="125">
        <f t="shared" si="23"/>
        <v>0</v>
      </c>
      <c r="O219" s="125">
        <f t="shared" si="23"/>
        <v>0</v>
      </c>
      <c r="P219" s="125">
        <f t="shared" si="23"/>
        <v>0</v>
      </c>
      <c r="Q219" s="125">
        <f t="shared" si="23"/>
        <v>0</v>
      </c>
      <c r="R219" s="125">
        <f t="shared" si="23"/>
        <v>0</v>
      </c>
      <c r="S219" s="125">
        <f t="shared" si="23"/>
        <v>0</v>
      </c>
      <c r="T219" s="125">
        <f t="shared" si="23"/>
        <v>0</v>
      </c>
      <c r="U219" s="125">
        <f t="shared" si="23"/>
        <v>0</v>
      </c>
      <c r="V219" s="125">
        <f t="shared" si="23"/>
        <v>0</v>
      </c>
      <c r="W219" s="125">
        <f t="shared" si="23"/>
        <v>0</v>
      </c>
      <c r="X219" s="125">
        <f t="shared" si="23"/>
        <v>0</v>
      </c>
      <c r="Y219" s="125">
        <f t="shared" si="23"/>
        <v>0</v>
      </c>
      <c r="Z219" s="125">
        <f t="shared" si="23"/>
        <v>0</v>
      </c>
      <c r="AA219" s="125">
        <f t="shared" si="23"/>
        <v>0</v>
      </c>
      <c r="AB219" s="125">
        <f t="shared" si="23"/>
        <v>0</v>
      </c>
      <c r="AC219" s="125">
        <f t="shared" si="23"/>
        <v>0</v>
      </c>
      <c r="AD219" s="125">
        <f t="shared" si="23"/>
        <v>0</v>
      </c>
      <c r="AE219" s="125">
        <f t="shared" si="23"/>
        <v>0</v>
      </c>
      <c r="AF219" s="126">
        <f t="shared" si="23"/>
        <v>0</v>
      </c>
      <c r="AG219" s="127">
        <f t="shared" si="23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24">AF221</f>
        <v>0</v>
      </c>
      <c r="C221" s="129">
        <v>0.3</v>
      </c>
      <c r="D221" s="129">
        <f t="shared" ref="D221:P226" si="25">C221</f>
        <v>0.3</v>
      </c>
      <c r="E221" s="129">
        <f t="shared" si="25"/>
        <v>0.3</v>
      </c>
      <c r="F221" s="129">
        <f t="shared" si="25"/>
        <v>0.3</v>
      </c>
      <c r="G221" s="129">
        <f t="shared" si="25"/>
        <v>0.3</v>
      </c>
      <c r="H221" s="129">
        <f t="shared" si="25"/>
        <v>0.3</v>
      </c>
      <c r="I221" s="129">
        <f t="shared" si="25"/>
        <v>0.3</v>
      </c>
      <c r="J221" s="129">
        <f t="shared" si="25"/>
        <v>0.3</v>
      </c>
      <c r="K221" s="129">
        <f t="shared" si="25"/>
        <v>0.3</v>
      </c>
      <c r="L221" s="129">
        <f t="shared" si="25"/>
        <v>0.3</v>
      </c>
      <c r="M221" s="129">
        <f t="shared" si="25"/>
        <v>0.3</v>
      </c>
      <c r="N221" s="129">
        <f t="shared" si="25"/>
        <v>0.3</v>
      </c>
      <c r="O221" s="129">
        <f t="shared" si="25"/>
        <v>0.3</v>
      </c>
      <c r="P221" s="129">
        <f t="shared" si="25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24"/>
        <v>0</v>
      </c>
      <c r="C222" s="117">
        <v>0.4</v>
      </c>
      <c r="D222" s="117">
        <f t="shared" si="25"/>
        <v>0.4</v>
      </c>
      <c r="E222" s="117">
        <f t="shared" si="25"/>
        <v>0.4</v>
      </c>
      <c r="F222" s="117">
        <f t="shared" si="25"/>
        <v>0.4</v>
      </c>
      <c r="G222" s="117">
        <f t="shared" si="25"/>
        <v>0.4</v>
      </c>
      <c r="H222" s="117">
        <f t="shared" si="25"/>
        <v>0.4</v>
      </c>
      <c r="I222" s="117">
        <f t="shared" si="25"/>
        <v>0.4</v>
      </c>
      <c r="J222" s="117">
        <f t="shared" si="25"/>
        <v>0.4</v>
      </c>
      <c r="K222" s="117">
        <f t="shared" si="25"/>
        <v>0.4</v>
      </c>
      <c r="L222" s="117">
        <f t="shared" si="25"/>
        <v>0.4</v>
      </c>
      <c r="M222" s="117">
        <f t="shared" si="25"/>
        <v>0.4</v>
      </c>
      <c r="N222" s="117">
        <f t="shared" si="25"/>
        <v>0.4</v>
      </c>
      <c r="O222" s="117">
        <f t="shared" si="25"/>
        <v>0.4</v>
      </c>
      <c r="P222" s="117">
        <f t="shared" si="25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24"/>
        <v>0</v>
      </c>
      <c r="C223" s="117">
        <v>1.5</v>
      </c>
      <c r="D223" s="117">
        <f t="shared" si="25"/>
        <v>1.5</v>
      </c>
      <c r="E223" s="117">
        <f t="shared" si="25"/>
        <v>1.5</v>
      </c>
      <c r="F223" s="117">
        <f t="shared" si="25"/>
        <v>1.5</v>
      </c>
      <c r="G223" s="117">
        <f t="shared" si="25"/>
        <v>1.5</v>
      </c>
      <c r="H223" s="117">
        <f t="shared" si="25"/>
        <v>1.5</v>
      </c>
      <c r="I223" s="117">
        <f t="shared" si="25"/>
        <v>1.5</v>
      </c>
      <c r="J223" s="117">
        <f t="shared" si="25"/>
        <v>1.5</v>
      </c>
      <c r="K223" s="117">
        <f t="shared" si="25"/>
        <v>1.5</v>
      </c>
      <c r="L223" s="117">
        <f t="shared" si="25"/>
        <v>1.5</v>
      </c>
      <c r="M223" s="117">
        <f t="shared" si="25"/>
        <v>1.5</v>
      </c>
      <c r="N223" s="117">
        <f t="shared" si="25"/>
        <v>1.5</v>
      </c>
      <c r="O223" s="117">
        <f t="shared" si="25"/>
        <v>1.5</v>
      </c>
      <c r="P223" s="117">
        <f t="shared" si="25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24"/>
        <v>0</v>
      </c>
      <c r="C224" s="117">
        <v>0.3</v>
      </c>
      <c r="D224" s="117">
        <f t="shared" si="25"/>
        <v>0.3</v>
      </c>
      <c r="E224" s="117">
        <f t="shared" si="25"/>
        <v>0.3</v>
      </c>
      <c r="F224" s="117">
        <f t="shared" si="25"/>
        <v>0.3</v>
      </c>
      <c r="G224" s="117">
        <f t="shared" si="25"/>
        <v>0.3</v>
      </c>
      <c r="H224" s="117">
        <f t="shared" si="25"/>
        <v>0.3</v>
      </c>
      <c r="I224" s="117">
        <f t="shared" si="25"/>
        <v>0.3</v>
      </c>
      <c r="J224" s="117">
        <f t="shared" si="25"/>
        <v>0.3</v>
      </c>
      <c r="K224" s="117">
        <f t="shared" si="25"/>
        <v>0.3</v>
      </c>
      <c r="L224" s="117">
        <f t="shared" si="25"/>
        <v>0.3</v>
      </c>
      <c r="M224" s="117">
        <f t="shared" si="25"/>
        <v>0.3</v>
      </c>
      <c r="N224" s="117">
        <f t="shared" si="25"/>
        <v>0.3</v>
      </c>
      <c r="O224" s="117">
        <f t="shared" si="25"/>
        <v>0.3</v>
      </c>
      <c r="P224" s="117">
        <f t="shared" si="25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24"/>
        <v>0</v>
      </c>
      <c r="C225" s="117">
        <v>0.4</v>
      </c>
      <c r="D225" s="117">
        <f t="shared" si="25"/>
        <v>0.4</v>
      </c>
      <c r="E225" s="117">
        <f t="shared" si="25"/>
        <v>0.4</v>
      </c>
      <c r="F225" s="117">
        <f t="shared" si="25"/>
        <v>0.4</v>
      </c>
      <c r="G225" s="117">
        <f t="shared" si="25"/>
        <v>0.4</v>
      </c>
      <c r="H225" s="117">
        <f t="shared" si="25"/>
        <v>0.4</v>
      </c>
      <c r="I225" s="117">
        <f t="shared" si="25"/>
        <v>0.4</v>
      </c>
      <c r="J225" s="117">
        <f t="shared" si="25"/>
        <v>0.4</v>
      </c>
      <c r="K225" s="117">
        <f t="shared" si="25"/>
        <v>0.4</v>
      </c>
      <c r="L225" s="117">
        <f t="shared" si="25"/>
        <v>0.4</v>
      </c>
      <c r="M225" s="117">
        <f t="shared" si="25"/>
        <v>0.4</v>
      </c>
      <c r="N225" s="117">
        <f t="shared" si="25"/>
        <v>0.4</v>
      </c>
      <c r="O225" s="117">
        <f t="shared" si="25"/>
        <v>0.4</v>
      </c>
      <c r="P225" s="117">
        <f t="shared" si="25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24"/>
        <v>0</v>
      </c>
      <c r="C226" s="121">
        <v>0.64</v>
      </c>
      <c r="D226" s="121">
        <f t="shared" si="25"/>
        <v>0.64</v>
      </c>
      <c r="E226" s="121">
        <f t="shared" si="25"/>
        <v>0.64</v>
      </c>
      <c r="F226" s="121">
        <f t="shared" si="25"/>
        <v>0.64</v>
      </c>
      <c r="G226" s="121">
        <f t="shared" si="25"/>
        <v>0.64</v>
      </c>
      <c r="H226" s="121">
        <f t="shared" si="25"/>
        <v>0.64</v>
      </c>
      <c r="I226" s="121">
        <f t="shared" si="25"/>
        <v>0.64</v>
      </c>
      <c r="J226" s="121">
        <f t="shared" si="25"/>
        <v>0.64</v>
      </c>
      <c r="K226" s="121">
        <f t="shared" si="25"/>
        <v>0.64</v>
      </c>
      <c r="L226" s="121">
        <f t="shared" si="25"/>
        <v>0.64</v>
      </c>
      <c r="M226" s="121">
        <f t="shared" si="25"/>
        <v>0.64</v>
      </c>
      <c r="N226" s="121">
        <f t="shared" si="25"/>
        <v>0.64</v>
      </c>
      <c r="O226" s="121">
        <f t="shared" si="25"/>
        <v>0.64</v>
      </c>
      <c r="P226" s="121">
        <f t="shared" si="25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26">SUM(B221:B226)</f>
        <v>0</v>
      </c>
      <c r="C227" s="125">
        <f t="shared" si="26"/>
        <v>3.54</v>
      </c>
      <c r="D227" s="125">
        <f t="shared" si="26"/>
        <v>3.54</v>
      </c>
      <c r="E227" s="125">
        <f t="shared" si="26"/>
        <v>3.54</v>
      </c>
      <c r="F227" s="125">
        <f t="shared" si="26"/>
        <v>3.54</v>
      </c>
      <c r="G227" s="125">
        <f t="shared" si="26"/>
        <v>3.54</v>
      </c>
      <c r="H227" s="125">
        <f t="shared" si="26"/>
        <v>3.54</v>
      </c>
      <c r="I227" s="125">
        <f t="shared" si="26"/>
        <v>3.54</v>
      </c>
      <c r="J227" s="125">
        <f t="shared" si="26"/>
        <v>3.54</v>
      </c>
      <c r="K227" s="125">
        <f t="shared" si="26"/>
        <v>3.54</v>
      </c>
      <c r="L227" s="125">
        <f t="shared" si="26"/>
        <v>3.54</v>
      </c>
      <c r="M227" s="125">
        <f t="shared" si="26"/>
        <v>3.54</v>
      </c>
      <c r="N227" s="125">
        <f t="shared" si="26"/>
        <v>3.54</v>
      </c>
      <c r="O227" s="125">
        <f t="shared" si="26"/>
        <v>3.54</v>
      </c>
      <c r="P227" s="125">
        <f t="shared" si="26"/>
        <v>3.54</v>
      </c>
      <c r="Q227" s="125">
        <f t="shared" si="26"/>
        <v>0</v>
      </c>
      <c r="R227" s="125">
        <f t="shared" si="26"/>
        <v>0</v>
      </c>
      <c r="S227" s="125">
        <f t="shared" si="26"/>
        <v>0</v>
      </c>
      <c r="T227" s="125">
        <f t="shared" si="26"/>
        <v>0</v>
      </c>
      <c r="U227" s="125">
        <f t="shared" si="26"/>
        <v>0</v>
      </c>
      <c r="V227" s="125">
        <f t="shared" si="26"/>
        <v>0</v>
      </c>
      <c r="W227" s="125">
        <f t="shared" si="26"/>
        <v>0</v>
      </c>
      <c r="X227" s="125">
        <f t="shared" si="26"/>
        <v>0</v>
      </c>
      <c r="Y227" s="125">
        <f t="shared" si="26"/>
        <v>0</v>
      </c>
      <c r="Z227" s="125">
        <f t="shared" si="26"/>
        <v>0</v>
      </c>
      <c r="AA227" s="125">
        <f t="shared" si="26"/>
        <v>0</v>
      </c>
      <c r="AB227" s="125">
        <f t="shared" si="26"/>
        <v>0</v>
      </c>
      <c r="AC227" s="125">
        <f t="shared" si="26"/>
        <v>0</v>
      </c>
      <c r="AD227" s="125">
        <f t="shared" si="26"/>
        <v>0</v>
      </c>
      <c r="AE227" s="125">
        <f t="shared" si="26"/>
        <v>0</v>
      </c>
      <c r="AF227" s="125">
        <f t="shared" si="26"/>
        <v>0</v>
      </c>
      <c r="AG227" s="134">
        <f t="shared" si="26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1584.7400000000002</v>
      </c>
      <c r="C236" s="150">
        <f>INDEX(G9:N9,1,MATCH(MAX(G84:N84),G84:N84,0))</f>
        <v>0.33333333333333331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18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2079/08/18)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2079/08/18)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27">B84</f>
        <v>1046.7400000000002</v>
      </c>
      <c r="U241" s="159">
        <f t="shared" si="27"/>
        <v>1002.74</v>
      </c>
      <c r="V241" s="159">
        <f t="shared" si="27"/>
        <v>980.84000000000015</v>
      </c>
      <c r="W241" s="159">
        <f t="shared" si="27"/>
        <v>945.04000000000008</v>
      </c>
      <c r="X241" s="159">
        <f t="shared" si="27"/>
        <v>971.34</v>
      </c>
      <c r="Y241" s="159">
        <f t="shared" si="27"/>
        <v>1026.04</v>
      </c>
      <c r="Z241" s="159">
        <f t="shared" si="27"/>
        <v>1126.6400000000001</v>
      </c>
      <c r="AA241" s="159">
        <f t="shared" si="27"/>
        <v>1229.44</v>
      </c>
      <c r="AB241" s="159">
        <f t="shared" si="27"/>
        <v>1323.94</v>
      </c>
      <c r="AC241" s="159">
        <f t="shared" si="27"/>
        <v>1542.14</v>
      </c>
      <c r="AD241" s="159">
        <f t="shared" si="27"/>
        <v>1581.4400000000003</v>
      </c>
      <c r="AE241" s="159">
        <f t="shared" si="27"/>
        <v>1584.7400000000002</v>
      </c>
      <c r="AF241" s="159">
        <f t="shared" si="27"/>
        <v>1488.8400000000004</v>
      </c>
      <c r="AG241" s="159">
        <f t="shared" si="27"/>
        <v>1293.24</v>
      </c>
      <c r="AH241" s="159">
        <f t="shared" si="27"/>
        <v>1215.94</v>
      </c>
      <c r="AI241" s="159">
        <f t="shared" si="27"/>
        <v>1175.3399999999999</v>
      </c>
      <c r="AJ241" s="159">
        <f t="shared" si="27"/>
        <v>1167.24</v>
      </c>
      <c r="AK241" s="159">
        <f t="shared" si="27"/>
        <v>1162.8399999999999</v>
      </c>
      <c r="AL241" s="159">
        <f t="shared" si="27"/>
        <v>1159.44</v>
      </c>
      <c r="AM241" s="159">
        <f t="shared" si="27"/>
        <v>1208.6400000000001</v>
      </c>
      <c r="AN241" s="159">
        <f t="shared" si="27"/>
        <v>1308.8400000000001</v>
      </c>
      <c r="AO241" s="159">
        <f t="shared" si="27"/>
        <v>1563.8399999999997</v>
      </c>
      <c r="AP241" s="159">
        <f t="shared" si="27"/>
        <v>1696.74</v>
      </c>
      <c r="AQ241" s="159">
        <f t="shared" si="27"/>
        <v>1691.84</v>
      </c>
      <c r="AR241" s="159">
        <f t="shared" si="27"/>
        <v>1605.9399999999998</v>
      </c>
      <c r="AS241" s="159">
        <f t="shared" si="27"/>
        <v>1530.34</v>
      </c>
      <c r="AT241" s="159">
        <f t="shared" si="27"/>
        <v>1437.34</v>
      </c>
      <c r="AU241" s="159">
        <f t="shared" si="27"/>
        <v>1425.04</v>
      </c>
      <c r="AV241" s="159">
        <f t="shared" si="27"/>
        <v>1329.54</v>
      </c>
      <c r="AW241" s="159">
        <f t="shared" si="27"/>
        <v>1160.04</v>
      </c>
      <c r="AX241" s="159">
        <f t="shared" si="27"/>
        <v>1069.3399999999999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28">C226</f>
        <v>0.64</v>
      </c>
      <c r="C262" s="162">
        <f t="shared" si="28"/>
        <v>0.64</v>
      </c>
      <c r="D262" s="162">
        <f t="shared" si="28"/>
        <v>0.64</v>
      </c>
      <c r="E262" s="162">
        <f t="shared" si="28"/>
        <v>0.64</v>
      </c>
      <c r="F262" s="162">
        <f t="shared" si="28"/>
        <v>0.64</v>
      </c>
      <c r="G262" s="162">
        <f t="shared" si="28"/>
        <v>0.64</v>
      </c>
      <c r="H262" s="162">
        <f t="shared" si="28"/>
        <v>0.64</v>
      </c>
      <c r="I262" s="162">
        <f t="shared" si="28"/>
        <v>0.64</v>
      </c>
      <c r="J262" s="162">
        <f t="shared" si="28"/>
        <v>0.64</v>
      </c>
      <c r="K262" s="162">
        <f t="shared" si="28"/>
        <v>0.64</v>
      </c>
      <c r="L262" s="162">
        <f t="shared" si="28"/>
        <v>0.64</v>
      </c>
      <c r="M262" s="162">
        <f t="shared" si="28"/>
        <v>0.64</v>
      </c>
      <c r="N262" s="162">
        <f t="shared" si="28"/>
        <v>0.64</v>
      </c>
      <c r="O262" s="162">
        <f t="shared" si="28"/>
        <v>0.64</v>
      </c>
      <c r="P262" s="162">
        <f t="shared" si="28"/>
        <v>0</v>
      </c>
      <c r="Q262" s="162">
        <f t="shared" si="28"/>
        <v>0</v>
      </c>
      <c r="R262" s="162">
        <f t="shared" si="28"/>
        <v>0</v>
      </c>
      <c r="S262" s="162">
        <f t="shared" si="28"/>
        <v>0</v>
      </c>
      <c r="T262" s="162">
        <f t="shared" si="28"/>
        <v>0</v>
      </c>
      <c r="U262" s="162">
        <f t="shared" si="28"/>
        <v>0</v>
      </c>
      <c r="V262" s="162">
        <f t="shared" si="28"/>
        <v>0</v>
      </c>
      <c r="W262" s="162">
        <f t="shared" si="28"/>
        <v>0</v>
      </c>
      <c r="X262" s="162">
        <f t="shared" si="28"/>
        <v>0</v>
      </c>
      <c r="Y262" s="162">
        <f t="shared" si="28"/>
        <v>0</v>
      </c>
      <c r="Z262" s="162">
        <f t="shared" si="28"/>
        <v>0</v>
      </c>
      <c r="AA262" s="162">
        <f t="shared" si="28"/>
        <v>0</v>
      </c>
      <c r="AB262" s="162">
        <f t="shared" si="28"/>
        <v>0</v>
      </c>
      <c r="AC262" s="162">
        <f t="shared" si="28"/>
        <v>0</v>
      </c>
      <c r="AD262" s="162">
        <f t="shared" si="28"/>
        <v>0</v>
      </c>
      <c r="AE262" s="162">
        <f t="shared" si="28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29">IF(B230&lt;100,"",B230-520)</f>
        <v/>
      </c>
      <c r="C263" s="163" t="str">
        <f t="shared" si="29"/>
        <v/>
      </c>
      <c r="D263" s="163" t="str">
        <f t="shared" si="29"/>
        <v/>
      </c>
      <c r="E263" s="163" t="str">
        <f t="shared" si="29"/>
        <v/>
      </c>
      <c r="F263" s="163" t="str">
        <f t="shared" si="29"/>
        <v/>
      </c>
      <c r="G263" s="163" t="str">
        <f t="shared" si="29"/>
        <v/>
      </c>
      <c r="H263" s="163" t="str">
        <f t="shared" si="29"/>
        <v/>
      </c>
      <c r="I263" s="163" t="str">
        <f t="shared" si="29"/>
        <v/>
      </c>
      <c r="J263" s="163" t="str">
        <f t="shared" si="29"/>
        <v/>
      </c>
      <c r="K263" s="163" t="str">
        <f t="shared" si="29"/>
        <v/>
      </c>
      <c r="L263" s="163" t="str">
        <f t="shared" si="29"/>
        <v/>
      </c>
      <c r="M263" s="163" t="str">
        <f t="shared" si="29"/>
        <v/>
      </c>
      <c r="N263" s="163" t="str">
        <f t="shared" si="29"/>
        <v/>
      </c>
      <c r="O263" s="163" t="str">
        <f t="shared" si="29"/>
        <v/>
      </c>
      <c r="P263" s="163" t="str">
        <f t="shared" si="29"/>
        <v/>
      </c>
      <c r="Q263" s="163" t="str">
        <f t="shared" si="29"/>
        <v/>
      </c>
      <c r="R263" s="163" t="str">
        <f t="shared" si="29"/>
        <v/>
      </c>
      <c r="S263" s="163" t="str">
        <f t="shared" si="29"/>
        <v/>
      </c>
      <c r="T263" s="163" t="str">
        <f t="shared" si="29"/>
        <v/>
      </c>
      <c r="U263" s="163" t="str">
        <f t="shared" si="29"/>
        <v/>
      </c>
      <c r="V263" s="163" t="str">
        <f t="shared" si="29"/>
        <v/>
      </c>
      <c r="W263" s="163" t="str">
        <f t="shared" si="29"/>
        <v/>
      </c>
      <c r="X263" s="163" t="str">
        <f t="shared" si="29"/>
        <v/>
      </c>
      <c r="Y263" s="163" t="str">
        <f t="shared" si="29"/>
        <v/>
      </c>
      <c r="Z263" s="163" t="str">
        <f t="shared" si="29"/>
        <v/>
      </c>
      <c r="AA263" s="163" t="str">
        <f t="shared" si="29"/>
        <v/>
      </c>
      <c r="AB263" s="163" t="str">
        <f t="shared" si="29"/>
        <v/>
      </c>
      <c r="AC263" s="163" t="str">
        <f t="shared" si="29"/>
        <v/>
      </c>
      <c r="AD263" s="163" t="str">
        <f t="shared" si="29"/>
        <v/>
      </c>
      <c r="AE263" s="163" t="str">
        <f t="shared" si="29"/>
        <v/>
      </c>
      <c r="AF263" s="163" t="str">
        <f t="shared" si="29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30">IF(B231&lt;100,"",B231-620)</f>
        <v/>
      </c>
      <c r="C264" s="163" t="str">
        <f t="shared" si="30"/>
        <v/>
      </c>
      <c r="D264" s="163" t="str">
        <f t="shared" si="30"/>
        <v/>
      </c>
      <c r="E264" s="163" t="str">
        <f t="shared" si="30"/>
        <v/>
      </c>
      <c r="F264" s="163" t="str">
        <f t="shared" si="30"/>
        <v/>
      </c>
      <c r="G264" s="163" t="str">
        <f t="shared" si="30"/>
        <v/>
      </c>
      <c r="H264" s="163" t="str">
        <f t="shared" si="30"/>
        <v/>
      </c>
      <c r="I264" s="163" t="str">
        <f t="shared" si="30"/>
        <v/>
      </c>
      <c r="J264" s="163" t="str">
        <f t="shared" si="30"/>
        <v/>
      </c>
      <c r="K264" s="163" t="str">
        <f t="shared" si="30"/>
        <v/>
      </c>
      <c r="L264" s="163" t="str">
        <f t="shared" si="30"/>
        <v/>
      </c>
      <c r="M264" s="163" t="str">
        <f t="shared" si="30"/>
        <v/>
      </c>
      <c r="N264" s="163" t="str">
        <f t="shared" si="30"/>
        <v/>
      </c>
      <c r="O264" s="163" t="str">
        <f t="shared" si="30"/>
        <v/>
      </c>
      <c r="P264" s="163" t="str">
        <f t="shared" si="30"/>
        <v/>
      </c>
      <c r="Q264" s="163" t="str">
        <f t="shared" si="30"/>
        <v/>
      </c>
      <c r="R264" s="163" t="str">
        <f t="shared" si="30"/>
        <v/>
      </c>
      <c r="S264" s="163" t="str">
        <f t="shared" si="30"/>
        <v/>
      </c>
      <c r="T264" s="163" t="str">
        <f t="shared" si="30"/>
        <v/>
      </c>
      <c r="U264" s="163" t="str">
        <f t="shared" si="30"/>
        <v/>
      </c>
      <c r="V264" s="163" t="str">
        <f t="shared" si="30"/>
        <v/>
      </c>
      <c r="W264" s="163" t="str">
        <f t="shared" si="30"/>
        <v/>
      </c>
      <c r="X264" s="163" t="str">
        <f t="shared" si="30"/>
        <v/>
      </c>
      <c r="Y264" s="163" t="str">
        <f t="shared" si="30"/>
        <v/>
      </c>
      <c r="Z264" s="163" t="str">
        <f t="shared" si="30"/>
        <v/>
      </c>
      <c r="AA264" s="163" t="str">
        <f t="shared" si="30"/>
        <v/>
      </c>
      <c r="AB264" s="163" t="str">
        <f t="shared" si="30"/>
        <v/>
      </c>
      <c r="AC264" s="163" t="str">
        <f t="shared" si="30"/>
        <v/>
      </c>
      <c r="AD264" s="163" t="str">
        <f t="shared" si="30"/>
        <v/>
      </c>
      <c r="AE264" s="163" t="str">
        <f t="shared" si="30"/>
        <v/>
      </c>
      <c r="AF264" s="163" t="str">
        <f t="shared" si="30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31">IF(B232&lt;100,"",B232-330)</f>
        <v/>
      </c>
      <c r="C265" s="163" t="str">
        <f t="shared" si="31"/>
        <v/>
      </c>
      <c r="D265" s="163" t="str">
        <f t="shared" si="31"/>
        <v/>
      </c>
      <c r="E265" s="163" t="str">
        <f t="shared" si="31"/>
        <v/>
      </c>
      <c r="F265" s="163" t="str">
        <f t="shared" si="31"/>
        <v/>
      </c>
      <c r="G265" s="163" t="str">
        <f t="shared" si="31"/>
        <v/>
      </c>
      <c r="H265" s="163" t="str">
        <f t="shared" si="31"/>
        <v/>
      </c>
      <c r="I265" s="163" t="str">
        <f t="shared" si="31"/>
        <v/>
      </c>
      <c r="J265" s="163" t="str">
        <f t="shared" si="31"/>
        <v/>
      </c>
      <c r="K265" s="163" t="str">
        <f t="shared" si="31"/>
        <v/>
      </c>
      <c r="L265" s="163" t="str">
        <f t="shared" si="31"/>
        <v/>
      </c>
      <c r="M265" s="163" t="str">
        <f t="shared" si="31"/>
        <v/>
      </c>
      <c r="N265" s="163" t="str">
        <f t="shared" si="31"/>
        <v/>
      </c>
      <c r="O265" s="163" t="str">
        <f t="shared" si="31"/>
        <v/>
      </c>
      <c r="P265" s="163" t="str">
        <f t="shared" si="31"/>
        <v/>
      </c>
      <c r="Q265" s="163" t="str">
        <f t="shared" si="31"/>
        <v/>
      </c>
      <c r="R265" s="163" t="str">
        <f t="shared" si="31"/>
        <v/>
      </c>
      <c r="S265" s="163" t="str">
        <f t="shared" si="31"/>
        <v/>
      </c>
      <c r="T265" s="163" t="str">
        <f t="shared" si="31"/>
        <v/>
      </c>
      <c r="U265" s="163" t="str">
        <f t="shared" si="31"/>
        <v/>
      </c>
      <c r="V265" s="163" t="str">
        <f t="shared" si="31"/>
        <v/>
      </c>
      <c r="W265" s="163" t="str">
        <f t="shared" si="31"/>
        <v/>
      </c>
      <c r="X265" s="163" t="str">
        <f t="shared" si="31"/>
        <v/>
      </c>
      <c r="Y265" s="163" t="str">
        <f t="shared" si="31"/>
        <v/>
      </c>
      <c r="Z265" s="163" t="str">
        <f t="shared" si="31"/>
        <v/>
      </c>
      <c r="AA265" s="163" t="str">
        <f t="shared" si="31"/>
        <v/>
      </c>
      <c r="AB265" s="163" t="str">
        <f t="shared" si="31"/>
        <v/>
      </c>
      <c r="AC265" s="163" t="str">
        <f t="shared" si="31"/>
        <v/>
      </c>
      <c r="AD265" s="163" t="str">
        <f t="shared" si="31"/>
        <v/>
      </c>
      <c r="AE265" s="163" t="str">
        <f t="shared" si="31"/>
        <v/>
      </c>
      <c r="AF265" s="163" t="str">
        <f t="shared" si="31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32">IF(B233&lt;100,"",B233-1500)</f>
        <v/>
      </c>
      <c r="C266" s="163" t="str">
        <f t="shared" si="32"/>
        <v/>
      </c>
      <c r="D266" s="163" t="str">
        <f t="shared" si="32"/>
        <v/>
      </c>
      <c r="E266" s="163" t="str">
        <f t="shared" si="32"/>
        <v/>
      </c>
      <c r="F266" s="163" t="str">
        <f t="shared" si="32"/>
        <v/>
      </c>
      <c r="G266" s="163" t="str">
        <f t="shared" si="32"/>
        <v/>
      </c>
      <c r="H266" s="163" t="str">
        <f t="shared" si="32"/>
        <v/>
      </c>
      <c r="I266" s="163" t="str">
        <f t="shared" si="32"/>
        <v/>
      </c>
      <c r="J266" s="163" t="str">
        <f t="shared" si="32"/>
        <v/>
      </c>
      <c r="K266" s="163" t="str">
        <f t="shared" si="32"/>
        <v/>
      </c>
      <c r="L266" s="163" t="str">
        <f t="shared" si="32"/>
        <v/>
      </c>
      <c r="M266" s="163" t="str">
        <f t="shared" si="32"/>
        <v/>
      </c>
      <c r="N266" s="163" t="str">
        <f t="shared" si="32"/>
        <v/>
      </c>
      <c r="O266" s="163" t="str">
        <f t="shared" si="32"/>
        <v/>
      </c>
      <c r="P266" s="163" t="str">
        <f t="shared" si="32"/>
        <v/>
      </c>
      <c r="Q266" s="163" t="str">
        <f t="shared" si="32"/>
        <v/>
      </c>
      <c r="R266" s="163" t="str">
        <f t="shared" si="32"/>
        <v/>
      </c>
      <c r="S266" s="163" t="str">
        <f t="shared" si="32"/>
        <v/>
      </c>
      <c r="T266" s="163" t="str">
        <f t="shared" si="32"/>
        <v/>
      </c>
      <c r="U266" s="163" t="str">
        <f t="shared" si="32"/>
        <v/>
      </c>
      <c r="V266" s="163" t="str">
        <f t="shared" si="32"/>
        <v/>
      </c>
      <c r="W266" s="163" t="str">
        <f t="shared" si="32"/>
        <v/>
      </c>
      <c r="X266" s="163" t="str">
        <f t="shared" si="32"/>
        <v/>
      </c>
      <c r="Y266" s="163" t="str">
        <f t="shared" si="32"/>
        <v/>
      </c>
      <c r="Z266" s="163" t="str">
        <f t="shared" si="32"/>
        <v/>
      </c>
      <c r="AA266" s="163" t="str">
        <f t="shared" si="32"/>
        <v/>
      </c>
      <c r="AB266" s="163" t="str">
        <f t="shared" si="32"/>
        <v/>
      </c>
      <c r="AC266" s="163" t="str">
        <f t="shared" si="32"/>
        <v/>
      </c>
      <c r="AD266" s="163" t="str">
        <f t="shared" si="32"/>
        <v/>
      </c>
      <c r="AE266" s="163" t="str">
        <f t="shared" si="32"/>
        <v/>
      </c>
      <c r="AF266" s="163" t="str">
        <f t="shared" si="32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 X11:AF11 B22:AF26 B17:AF18 B15:AF15">
    <cfRule type="expression" dxfId="4782" priority="239">
      <formula>B$9&gt;=20/24</formula>
    </cfRule>
    <cfRule type="expression" dxfId="4781" priority="240">
      <formula>AND(B$9&gt;=14/24,B$9&lt;20/24)</formula>
    </cfRule>
    <cfRule type="expression" dxfId="4780" priority="241">
      <formula>AND(B$9&gt;=8/24,B$9&lt;14/24)</formula>
    </cfRule>
    <cfRule type="expression" dxfId="4779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2:AF42">
    <cfRule type="expression" dxfId="4778" priority="234">
      <formula>S$9&gt;=20/24</formula>
    </cfRule>
    <cfRule type="expression" dxfId="4777" priority="235">
      <formula>AND(S$9&gt;=14/24,S$9&lt;20/24)</formula>
    </cfRule>
    <cfRule type="expression" dxfId="4776" priority="236">
      <formula>AND(S$9&gt;=8/24,S$9&lt;14/24)</formula>
    </cfRule>
    <cfRule type="expression" dxfId="4775" priority="237">
      <formula>S$9&lt;8/24</formula>
    </cfRule>
  </conditionalFormatting>
  <conditionalFormatting sqref="AG60 B12:R18 S42:AF42 S11:AF18 B40:AF40 B20:AF20 B22:AF26">
    <cfRule type="expression" dxfId="4774" priority="233">
      <formula>B11&gt;$AG11</formula>
    </cfRule>
  </conditionalFormatting>
  <conditionalFormatting sqref="A94:A104 A54:A81 A90:A92 A197:A227 A41:A52 A113:A184 A37:A38 A86:A88 A83:A84 A106:A108 A34:A35 A20:A32 A17:A18 A11:A15">
    <cfRule type="expression" dxfId="4773" priority="232">
      <formula>$AH11=0</formula>
    </cfRule>
  </conditionalFormatting>
  <conditionalFormatting sqref="A109">
    <cfRule type="expression" dxfId="4772" priority="231">
      <formula>$AH109=0</formula>
    </cfRule>
  </conditionalFormatting>
  <conditionalFormatting sqref="AL38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771" priority="229">
      <formula>$AH40=0</formula>
    </cfRule>
  </conditionalFormatting>
  <conditionalFormatting sqref="A93">
    <cfRule type="expression" dxfId="4770" priority="228">
      <formula>$AH93=0</formula>
    </cfRule>
  </conditionalFormatting>
  <conditionalFormatting sqref="A16">
    <cfRule type="expression" dxfId="4769" priority="227">
      <formula>$AH16=0</formula>
    </cfRule>
  </conditionalFormatting>
  <conditionalFormatting sqref="A191:A196">
    <cfRule type="expression" dxfId="4768" priority="226">
      <formula>$AH191=0</formula>
    </cfRule>
  </conditionalFormatting>
  <conditionalFormatting sqref="A185:A190">
    <cfRule type="expression" dxfId="4767" priority="225">
      <formula>$AH185=0</formula>
    </cfRule>
  </conditionalFormatting>
  <conditionalFormatting sqref="A53">
    <cfRule type="expression" dxfId="4766" priority="224">
      <formula>$AH53=0</formula>
    </cfRule>
  </conditionalFormatting>
  <conditionalFormatting sqref="A89">
    <cfRule type="expression" dxfId="4765" priority="223">
      <formula>$AH89=0</formula>
    </cfRule>
  </conditionalFormatting>
  <conditionalFormatting sqref="C94:AF94">
    <cfRule type="expression" dxfId="4764" priority="219">
      <formula>C$9&gt;=20/24</formula>
    </cfRule>
    <cfRule type="expression" dxfId="4763" priority="220">
      <formula>AND(C$9&gt;=14/24,C$9&lt;20/24)</formula>
    </cfRule>
    <cfRule type="expression" dxfId="4762" priority="221">
      <formula>AND(C$9&gt;=8/24,C$9&lt;14/24)</formula>
    </cfRule>
    <cfRule type="expression" dxfId="4761" priority="222">
      <formula>C$9&lt;8/24</formula>
    </cfRule>
  </conditionalFormatting>
  <conditionalFormatting sqref="AL39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60" priority="245">
      <formula>C$9&gt;=20/24</formula>
    </cfRule>
    <cfRule type="expression" dxfId="4759" priority="246">
      <formula>AND(C$9&gt;=14/24,C$9&lt;20/24)</formula>
    </cfRule>
    <cfRule type="expression" dxfId="4758" priority="247">
      <formula>AND(C$9&gt;=8/24,C$9&lt;14/24)</formula>
    </cfRule>
    <cfRule type="expression" dxfId="4757" priority="248">
      <formula>C$9&lt;8/24</formula>
    </cfRule>
  </conditionalFormatting>
  <conditionalFormatting sqref="A228">
    <cfRule type="expression" dxfId="4756" priority="249">
      <formula>$AH228=0</formula>
    </cfRule>
  </conditionalFormatting>
  <conditionalFormatting sqref="AG240">
    <cfRule type="expression" dxfId="4755" priority="250">
      <formula>B$9&gt;=20/24</formula>
    </cfRule>
    <cfRule type="expression" dxfId="4754" priority="251">
      <formula>AND(B$9&gt;=14/24,B$9&lt;20/24)</formula>
    </cfRule>
    <cfRule type="expression" dxfId="4753" priority="252">
      <formula>AND(B$9&gt;=8/24,B$9&lt;14/24)</formula>
    </cfRule>
    <cfRule type="expression" dxfId="4752" priority="253">
      <formula>B$9&lt;8/24</formula>
    </cfRule>
  </conditionalFormatting>
  <conditionalFormatting sqref="S8">
    <cfRule type="expression" dxfId="4751" priority="214">
      <formula>U$9&gt;=20/24</formula>
    </cfRule>
    <cfRule type="expression" dxfId="4750" priority="215">
      <formula>AND(U$9&gt;=14/24,U$9&lt;20/24)</formula>
    </cfRule>
    <cfRule type="expression" dxfId="4749" priority="216">
      <formula>AND(U$9&gt;=8/24,U$9&lt;14/24)</formula>
    </cfRule>
    <cfRule type="expression" dxfId="4748" priority="217">
      <formula>U$9&lt;8/24</formula>
    </cfRule>
  </conditionalFormatting>
  <conditionalFormatting sqref="AB8">
    <cfRule type="expression" dxfId="4747" priority="210">
      <formula>AD$9&gt;=20/24</formula>
    </cfRule>
    <cfRule type="expression" dxfId="4746" priority="211">
      <formula>AND(AD$9&gt;=14/24,AD$9&lt;20/24)</formula>
    </cfRule>
    <cfRule type="expression" dxfId="4745" priority="212">
      <formula>AND(AD$9&gt;=8/24,AD$9&lt;14/24)</formula>
    </cfRule>
    <cfRule type="expression" dxfId="4744" priority="213">
      <formula>AD$9&lt;8/24</formula>
    </cfRule>
  </conditionalFormatting>
  <conditionalFormatting sqref="AH240:AX240">
    <cfRule type="expression" dxfId="4743" priority="254">
      <formula>AG$9&gt;=20/24</formula>
    </cfRule>
    <cfRule type="expression" dxfId="4742" priority="255">
      <formula>AND(AG$9&gt;=14/24,AG$9&lt;20/24)</formula>
    </cfRule>
    <cfRule type="expression" dxfId="4741" priority="256">
      <formula>AND(AG$9&gt;=8/24,AG$9&lt;14/24)</formula>
    </cfRule>
    <cfRule type="expression" dxfId="4740" priority="257">
      <formula>AG$9&lt;8/24</formula>
    </cfRule>
  </conditionalFormatting>
  <conditionalFormatting sqref="T240">
    <cfRule type="expression" dxfId="4739" priority="258">
      <formula>AX$9&gt;=20/24</formula>
    </cfRule>
    <cfRule type="expression" dxfId="4738" priority="259">
      <formula>AND(AX$9&gt;=14/24,AX$9&lt;20/24)</formula>
    </cfRule>
    <cfRule type="expression" dxfId="4737" priority="260">
      <formula>AND(AX$9&gt;=8/24,AX$9&lt;14/24)</formula>
    </cfRule>
    <cfRule type="expression" dxfId="4736" priority="261">
      <formula>AX$9&lt;8/24</formula>
    </cfRule>
  </conditionalFormatting>
  <conditionalFormatting sqref="A110:A111">
    <cfRule type="expression" dxfId="4735" priority="209">
      <formula>$AH110=0</formula>
    </cfRule>
  </conditionalFormatting>
  <conditionalFormatting sqref="E49:O50 E66:AF66 S49:W50 AB49:AF50">
    <cfRule type="expression" dxfId="4734" priority="205">
      <formula>E$9&gt;=20/24</formula>
    </cfRule>
    <cfRule type="expression" dxfId="4733" priority="206">
      <formula>AND(E$9&gt;=14/24,E$9&lt;20/24)</formula>
    </cfRule>
    <cfRule type="expression" dxfId="4732" priority="207">
      <formula>AND(E$9&gt;=8/24,E$9&lt;14/24)</formula>
    </cfRule>
    <cfRule type="expression" dxfId="4731" priority="208">
      <formula>E$9&lt;8/24</formula>
    </cfRule>
  </conditionalFormatting>
  <conditionalFormatting sqref="E48:O48 S48:W48 AB48:AF48">
    <cfRule type="expression" dxfId="4730" priority="201">
      <formula>E$9&gt;=20/24</formula>
    </cfRule>
    <cfRule type="expression" dxfId="4729" priority="202">
      <formula>AND(E$9&gt;=14/24,E$9&lt;20/24)</formula>
    </cfRule>
    <cfRule type="expression" dxfId="4728" priority="203">
      <formula>AND(E$9&gt;=8/24,E$9&lt;14/24)</formula>
    </cfRule>
    <cfRule type="expression" dxfId="4727" priority="204">
      <formula>E$9&lt;8/24</formula>
    </cfRule>
  </conditionalFormatting>
  <conditionalFormatting sqref="E48:O50 S48:W50 AB48:AF50">
    <cfRule type="expression" dxfId="4726" priority="200">
      <formula>E48&gt;$AG48</formula>
    </cfRule>
  </conditionalFormatting>
  <conditionalFormatting sqref="C91:AF91 C78:AF81 E68:N68 O67:AF68 M42:R42 AB69:AF76 S11:W14 S62:AF64 D95:AF101 X28:AF30 X32:AF32 X12:AF14 X34:AF37 S20:AF20">
    <cfRule type="expression" dxfId="4725" priority="196">
      <formula>C$9&gt;=20/24</formula>
    </cfRule>
    <cfRule type="expression" dxfId="4724" priority="197">
      <formula>AND(C$9&gt;=14/24,C$9&lt;20/24)</formula>
    </cfRule>
    <cfRule type="expression" dxfId="4723" priority="198">
      <formula>AND(C$9&gt;=8/24,C$9&lt;14/24)</formula>
    </cfRule>
    <cfRule type="expression" dxfId="4722" priority="199">
      <formula>C$9&lt;8/24</formula>
    </cfRule>
  </conditionalFormatting>
  <conditionalFormatting sqref="X38:AF38">
    <cfRule type="expression" dxfId="4721" priority="192">
      <formula>X$9&gt;=20/24</formula>
    </cfRule>
    <cfRule type="expression" dxfId="4720" priority="193">
      <formula>AND(X$9&gt;=14/24,X$9&lt;20/24)</formula>
    </cfRule>
    <cfRule type="expression" dxfId="4719" priority="194">
      <formula>AND(X$9&gt;=8/24,X$9&lt;14/24)</formula>
    </cfRule>
    <cfRule type="expression" dxfId="4718" priority="195">
      <formula>X$9&lt;8/24</formula>
    </cfRule>
  </conditionalFormatting>
  <conditionalFormatting sqref="AF51:AF52 C60:AF60 E51:O51 M42:R42 S11:W11 S62:AF64 X28:AF32 X34:AF38">
    <cfRule type="expression" dxfId="4717" priority="191">
      <formula>C11&gt;$AG11</formula>
    </cfRule>
  </conditionalFormatting>
  <conditionalFormatting sqref="X40:AF40">
    <cfRule type="expression" dxfId="4716" priority="187">
      <formula>X$9&gt;=20/24</formula>
    </cfRule>
    <cfRule type="expression" dxfId="4715" priority="188">
      <formula>AND(X$9&gt;=14/24,X$9&lt;20/24)</formula>
    </cfRule>
    <cfRule type="expression" dxfId="4714" priority="189">
      <formula>AND(X$9&gt;=8/24,X$9&lt;14/24)</formula>
    </cfRule>
    <cfRule type="expression" dxfId="4713" priority="190">
      <formula>X$9&lt;8/24</formula>
    </cfRule>
  </conditionalFormatting>
  <conditionalFormatting sqref="S16:AF16">
    <cfRule type="expression" dxfId="4712" priority="183">
      <formula>S$9&gt;=20/24</formula>
    </cfRule>
    <cfRule type="expression" dxfId="4711" priority="184">
      <formula>AND(S$9&gt;=14/24,S$9&lt;20/24)</formula>
    </cfRule>
    <cfRule type="expression" dxfId="4710" priority="185">
      <formula>AND(S$9&gt;=8/24,S$9&lt;14/24)</formula>
    </cfRule>
    <cfRule type="expression" dxfId="4709" priority="186">
      <formula>S$9&lt;8/24</formula>
    </cfRule>
  </conditionalFormatting>
  <conditionalFormatting sqref="X39:AF39">
    <cfRule type="expression" dxfId="4708" priority="179">
      <formula>X$9&gt;=20/24</formula>
    </cfRule>
    <cfRule type="expression" dxfId="4707" priority="180">
      <formula>AND(X$9&gt;=14/24,X$9&lt;20/24)</formula>
    </cfRule>
    <cfRule type="expression" dxfId="4706" priority="181">
      <formula>AND(X$9&gt;=8/24,X$9&lt;14/24)</formula>
    </cfRule>
    <cfRule type="expression" dxfId="4705" priority="182">
      <formula>X$9&lt;8/24</formula>
    </cfRule>
  </conditionalFormatting>
  <conditionalFormatting sqref="X39:AF39">
    <cfRule type="expression" dxfId="4704" priority="178">
      <formula>X39&gt;$AG39</formula>
    </cfRule>
  </conditionalFormatting>
  <conditionalFormatting sqref="V51:AE52">
    <cfRule type="expression" dxfId="4703" priority="174">
      <formula>V$9&gt;=20/24</formula>
    </cfRule>
    <cfRule type="expression" dxfId="4702" priority="175">
      <formula>AND(V$9&gt;=14/24,V$9&lt;20/24)</formula>
    </cfRule>
    <cfRule type="expression" dxfId="4701" priority="176">
      <formula>AND(V$9&gt;=8/24,V$9&lt;14/24)</formula>
    </cfRule>
    <cfRule type="expression" dxfId="4700" priority="177">
      <formula>V$9&lt;8/24</formula>
    </cfRule>
  </conditionalFormatting>
  <conditionalFormatting sqref="V51:AE52">
    <cfRule type="expression" dxfId="4699" priority="173">
      <formula>V51&gt;$AG51</formula>
    </cfRule>
  </conditionalFormatting>
  <conditionalFormatting sqref="P48:R50 S53:S54 P51:T51 P52:S52 T52:T54 U51:U54 V53:AF54">
    <cfRule type="expression" dxfId="4698" priority="169">
      <formula>P$9&gt;=20/24</formula>
    </cfRule>
    <cfRule type="expression" dxfId="4697" priority="170">
      <formula>AND(P$9&gt;=14/24,P$9&lt;20/24)</formula>
    </cfRule>
    <cfRule type="expression" dxfId="4696" priority="171">
      <formula>AND(P$9&gt;=8/24,P$9&lt;14/24)</formula>
    </cfRule>
    <cfRule type="expression" dxfId="4695" priority="172">
      <formula>P$9&lt;8/24</formula>
    </cfRule>
  </conditionalFormatting>
  <conditionalFormatting sqref="P48:R50 S53:S54 P51:T51 P52:S52 T52:T54 U51:U54 V53:AF54">
    <cfRule type="expression" dxfId="4694" priority="168">
      <formula>P48&gt;$AG48</formula>
    </cfRule>
  </conditionalFormatting>
  <conditionalFormatting sqref="X31:AF31">
    <cfRule type="expression" dxfId="4693" priority="164">
      <formula>X$9&gt;=20/24</formula>
    </cfRule>
    <cfRule type="expression" dxfId="4692" priority="165">
      <formula>AND(X$9&gt;=14/24,X$9&lt;20/24)</formula>
    </cfRule>
    <cfRule type="expression" dxfId="4691" priority="166">
      <formula>AND(X$9&gt;=8/24,X$9&lt;14/24)</formula>
    </cfRule>
    <cfRule type="expression" dxfId="4690" priority="167">
      <formula>X$9&lt;8/24</formula>
    </cfRule>
  </conditionalFormatting>
  <conditionalFormatting sqref="S34:W34 X21:AF21 X27:AF27">
    <cfRule type="expression" dxfId="4689" priority="160">
      <formula>S$9&gt;=20/24</formula>
    </cfRule>
    <cfRule type="expression" dxfId="4688" priority="161">
      <formula>AND(S$9&gt;=14/24,S$9&lt;20/24)</formula>
    </cfRule>
    <cfRule type="expression" dxfId="4687" priority="162">
      <formula>AND(S$9&gt;=8/24,S$9&lt;14/24)</formula>
    </cfRule>
    <cfRule type="expression" dxfId="4686" priority="163">
      <formula>S$9&lt;8/24</formula>
    </cfRule>
  </conditionalFormatting>
  <conditionalFormatting sqref="S34:W34 X21:AF21 X27:AF27">
    <cfRule type="expression" dxfId="4685" priority="159">
      <formula>S21&gt;$AG21</formula>
    </cfRule>
  </conditionalFormatting>
  <conditionalFormatting sqref="D48">
    <cfRule type="expression" dxfId="4684" priority="155">
      <formula>D$9&gt;=20/24</formula>
    </cfRule>
    <cfRule type="expression" dxfId="4683" priority="156">
      <formula>AND(D$9&gt;=14/24,D$9&lt;20/24)</formula>
    </cfRule>
    <cfRule type="expression" dxfId="4682" priority="157">
      <formula>AND(D$9&gt;=8/24,D$9&lt;14/24)</formula>
    </cfRule>
    <cfRule type="expression" dxfId="4681" priority="158">
      <formula>D$9&lt;8/24</formula>
    </cfRule>
  </conditionalFormatting>
  <conditionalFormatting sqref="D48">
    <cfRule type="expression" dxfId="4680" priority="154">
      <formula>D48&gt;$AG48</formula>
    </cfRule>
  </conditionalFormatting>
  <conditionalFormatting sqref="X49:AA50">
    <cfRule type="expression" dxfId="4679" priority="150">
      <formula>X$9&gt;=20/24</formula>
    </cfRule>
    <cfRule type="expression" dxfId="4678" priority="151">
      <formula>AND(X$9&gt;=14/24,X$9&lt;20/24)</formula>
    </cfRule>
    <cfRule type="expression" dxfId="4677" priority="152">
      <formula>AND(X$9&gt;=8/24,X$9&lt;14/24)</formula>
    </cfRule>
    <cfRule type="expression" dxfId="4676" priority="153">
      <formula>X$9&lt;8/24</formula>
    </cfRule>
  </conditionalFormatting>
  <conditionalFormatting sqref="X48:AA48">
    <cfRule type="expression" dxfId="4675" priority="146">
      <formula>X$9&gt;=20/24</formula>
    </cfRule>
    <cfRule type="expression" dxfId="4674" priority="147">
      <formula>AND(X$9&gt;=14/24,X$9&lt;20/24)</formula>
    </cfRule>
    <cfRule type="expression" dxfId="4673" priority="148">
      <formula>AND(X$9&gt;=8/24,X$9&lt;14/24)</formula>
    </cfRule>
    <cfRule type="expression" dxfId="4672" priority="149">
      <formula>X$9&lt;8/24</formula>
    </cfRule>
  </conditionalFormatting>
  <conditionalFormatting sqref="X48:AA50">
    <cfRule type="expression" dxfId="4671" priority="145">
      <formula>X48&gt;$AG48</formula>
    </cfRule>
  </conditionalFormatting>
  <conditionalFormatting sqref="B104 B83:AF83 B92:AF92 B106:B111 B11:R11">
    <cfRule type="expression" dxfId="4670" priority="141">
      <formula>B$9&gt;=20/24</formula>
    </cfRule>
    <cfRule type="expression" dxfId="4669" priority="142">
      <formula>AND(B$9&gt;=14/24,B$9&lt;20/24)</formula>
    </cfRule>
    <cfRule type="expression" dxfId="4668" priority="143">
      <formula>AND(B$9&gt;=8/24,B$9&lt;14/24)</formula>
    </cfRule>
    <cfRule type="expression" dxfId="4667" priority="144">
      <formula>B$9&lt;8/24</formula>
    </cfRule>
  </conditionalFormatting>
  <conditionalFormatting sqref="B42:L42">
    <cfRule type="expression" dxfId="4666" priority="137">
      <formula>B$9&gt;=20/24</formula>
    </cfRule>
    <cfRule type="expression" dxfId="4665" priority="138">
      <formula>AND(B$9&gt;=14/24,B$9&lt;20/24)</formula>
    </cfRule>
    <cfRule type="expression" dxfId="4664" priority="139">
      <formula>AND(B$9&gt;=8/24,B$9&lt;14/24)</formula>
    </cfRule>
    <cfRule type="expression" dxfId="4663" priority="140">
      <formula>B$9&lt;8/24</formula>
    </cfRule>
  </conditionalFormatting>
  <conditionalFormatting sqref="B42:L42 B11:R11">
    <cfRule type="expression" dxfId="4662" priority="136">
      <formula>B11&gt;$AG11</formula>
    </cfRule>
  </conditionalFormatting>
  <conditionalFormatting sqref="B94">
    <cfRule type="expression" dxfId="4661" priority="132">
      <formula>B$9&gt;=20/24</formula>
    </cfRule>
    <cfRule type="expression" dxfId="4660" priority="133">
      <formula>AND(B$9&gt;=14/24,B$9&lt;20/24)</formula>
    </cfRule>
    <cfRule type="expression" dxfId="4659" priority="134">
      <formula>AND(B$9&gt;=8/24,B$9&lt;14/24)</formula>
    </cfRule>
    <cfRule type="expression" dxfId="4658" priority="135">
      <formula>B$9&lt;8/24</formula>
    </cfRule>
  </conditionalFormatting>
  <conditionalFormatting sqref="B49:D50 B66:D66 B41:AF41">
    <cfRule type="expression" dxfId="4657" priority="128">
      <formula>B$9&gt;=20/24</formula>
    </cfRule>
    <cfRule type="expression" dxfId="4656" priority="129">
      <formula>AND(B$9&gt;=14/24,B$9&lt;20/24)</formula>
    </cfRule>
    <cfRule type="expression" dxfId="4655" priority="130">
      <formula>AND(B$9&gt;=8/24,B$9&lt;14/24)</formula>
    </cfRule>
    <cfRule type="expression" dxfId="4654" priority="131">
      <formula>B$9&lt;8/24</formula>
    </cfRule>
  </conditionalFormatting>
  <conditionalFormatting sqref="B48:C48">
    <cfRule type="expression" dxfId="4653" priority="124">
      <formula>B$9&gt;=20/24</formula>
    </cfRule>
    <cfRule type="expression" dxfId="4652" priority="125">
      <formula>AND(B$9&gt;=14/24,B$9&lt;20/24)</formula>
    </cfRule>
    <cfRule type="expression" dxfId="4651" priority="126">
      <formula>AND(B$9&gt;=8/24,B$9&lt;14/24)</formula>
    </cfRule>
    <cfRule type="expression" dxfId="4650" priority="127">
      <formula>B$9&lt;8/24</formula>
    </cfRule>
  </conditionalFormatting>
  <conditionalFormatting sqref="B48:C50 D49:D50 B41:AF41">
    <cfRule type="expression" dxfId="4649" priority="123">
      <formula>B41&gt;$AG41</formula>
    </cfRule>
  </conditionalFormatting>
  <conditionalFormatting sqref="B62:B65 B78:B82 B84:AF84 B91 C65:AG65 C82:AG82 B93:AF93 B95:C101 B68:D68 B67:N67 C62:R64 B20:R20 B34:R37 B12:R14 B69:AA76 S35:W37 B28:W30 B32:W32">
    <cfRule type="expression" dxfId="4648" priority="119">
      <formula>B$9&gt;=20/24</formula>
    </cfRule>
    <cfRule type="expression" dxfId="4647" priority="120">
      <formula>AND(B$9&gt;=14/24,B$9&lt;20/24)</formula>
    </cfRule>
    <cfRule type="expression" dxfId="4646" priority="121">
      <formula>AND(B$9&gt;=8/24,B$9&lt;14/24)</formula>
    </cfRule>
    <cfRule type="expression" dxfId="4645" priority="122">
      <formula>B$9&lt;8/24</formula>
    </cfRule>
  </conditionalFormatting>
  <conditionalFormatting sqref="B38:W38">
    <cfRule type="expression" dxfId="4644" priority="115">
      <formula>B$9&gt;=20/24</formula>
    </cfRule>
    <cfRule type="expression" dxfId="4643" priority="116">
      <formula>AND(B$9&gt;=14/24,B$9&lt;20/24)</formula>
    </cfRule>
    <cfRule type="expression" dxfId="4642" priority="117">
      <formula>AND(B$9&gt;=8/24,B$9&lt;14/24)</formula>
    </cfRule>
    <cfRule type="expression" dxfId="4641" priority="118">
      <formula>B$9&lt;8/24</formula>
    </cfRule>
  </conditionalFormatting>
  <conditionalFormatting sqref="B60:B65 B43:AG43 C61:AG61 C65:AG65 B51:D51 B52:O52 C62:R64 B34:R38 S35:W38 B28:W32">
    <cfRule type="expression" dxfId="4640" priority="114">
      <formula>B28&gt;$AG28</formula>
    </cfRule>
  </conditionalFormatting>
  <conditionalFormatting sqref="B40:W40">
    <cfRule type="expression" dxfId="4639" priority="110">
      <formula>B$9&gt;=20/24</formula>
    </cfRule>
    <cfRule type="expression" dxfId="4638" priority="111">
      <formula>AND(B$9&gt;=14/24,B$9&lt;20/24)</formula>
    </cfRule>
    <cfRule type="expression" dxfId="4637" priority="112">
      <formula>AND(B$9&gt;=8/24,B$9&lt;14/24)</formula>
    </cfRule>
    <cfRule type="expression" dxfId="4636" priority="113">
      <formula>B$9&lt;8/24</formula>
    </cfRule>
  </conditionalFormatting>
  <conditionalFormatting sqref="B16:R16">
    <cfRule type="expression" dxfId="4635" priority="106">
      <formula>B$9&gt;=20/24</formula>
    </cfRule>
    <cfRule type="expression" dxfId="4634" priority="107">
      <formula>AND(B$9&gt;=14/24,B$9&lt;20/24)</formula>
    </cfRule>
    <cfRule type="expression" dxfId="4633" priority="108">
      <formula>AND(B$9&gt;=8/24,B$9&lt;14/24)</formula>
    </cfRule>
    <cfRule type="expression" dxfId="4632" priority="109">
      <formula>B$9&lt;8/24</formula>
    </cfRule>
  </conditionalFormatting>
  <conditionalFormatting sqref="B39:W39">
    <cfRule type="expression" dxfId="4631" priority="102">
      <formula>B$9&gt;=20/24</formula>
    </cfRule>
    <cfRule type="expression" dxfId="4630" priority="103">
      <formula>AND(B$9&gt;=14/24,B$9&lt;20/24)</formula>
    </cfRule>
    <cfRule type="expression" dxfId="4629" priority="104">
      <formula>AND(B$9&gt;=8/24,B$9&lt;14/24)</formula>
    </cfRule>
    <cfRule type="expression" dxfId="4628" priority="105">
      <formula>B$9&lt;8/24</formula>
    </cfRule>
  </conditionalFormatting>
  <conditionalFormatting sqref="B39:W39">
    <cfRule type="expression" dxfId="4627" priority="101">
      <formula>B39&gt;$AG39</formula>
    </cfRule>
  </conditionalFormatting>
  <conditionalFormatting sqref="B53:R59 S55:AF59">
    <cfRule type="expression" dxfId="4626" priority="97">
      <formula>B$9&gt;=20/24</formula>
    </cfRule>
    <cfRule type="expression" dxfId="4625" priority="98">
      <formula>AND(B$9&gt;=14/24,B$9&lt;20/24)</formula>
    </cfRule>
    <cfRule type="expression" dxfId="4624" priority="99">
      <formula>AND(B$9&gt;=8/24,B$9&lt;14/24)</formula>
    </cfRule>
    <cfRule type="expression" dxfId="4623" priority="100">
      <formula>B$9&lt;8/24</formula>
    </cfRule>
  </conditionalFormatting>
  <conditionalFormatting sqref="B53:R59 S55:AF59">
    <cfRule type="expression" dxfId="4622" priority="96">
      <formula>B53&gt;$AG53</formula>
    </cfRule>
  </conditionalFormatting>
  <conditionalFormatting sqref="B31:W31">
    <cfRule type="expression" dxfId="4621" priority="92">
      <formula>B$9&gt;=20/24</formula>
    </cfRule>
    <cfRule type="expression" dxfId="4620" priority="93">
      <formula>AND(B$9&gt;=14/24,B$9&lt;20/24)</formula>
    </cfRule>
    <cfRule type="expression" dxfId="4619" priority="94">
      <formula>AND(B$9&gt;=8/24,B$9&lt;14/24)</formula>
    </cfRule>
    <cfRule type="expression" dxfId="4618" priority="95">
      <formula>B$9&lt;8/24</formula>
    </cfRule>
  </conditionalFormatting>
  <conditionalFormatting sqref="B21:W21 B27:W27">
    <cfRule type="expression" dxfId="4617" priority="88">
      <formula>B$9&gt;=20/24</formula>
    </cfRule>
    <cfRule type="expression" dxfId="4616" priority="89">
      <formula>AND(B$9&gt;=14/24,B$9&lt;20/24)</formula>
    </cfRule>
    <cfRule type="expression" dxfId="4615" priority="90">
      <formula>AND(B$9&gt;=8/24,B$9&lt;14/24)</formula>
    </cfRule>
    <cfRule type="expression" dxfId="4614" priority="91">
      <formula>B$9&lt;8/24</formula>
    </cfRule>
  </conditionalFormatting>
  <conditionalFormatting sqref="B21:W21 B27:W27">
    <cfRule type="expression" dxfId="4613" priority="87">
      <formula>B21&gt;$AG21</formula>
    </cfRule>
  </conditionalFormatting>
  <conditionalFormatting sqref="A39">
    <cfRule type="expression" dxfId="4612" priority="86">
      <formula>$AH39=0</formula>
    </cfRule>
  </conditionalFormatting>
  <conditionalFormatting sqref="B77:AF77">
    <cfRule type="expression" dxfId="4611" priority="82">
      <formula>B$9&gt;=20/24</formula>
    </cfRule>
    <cfRule type="expression" dxfId="4610" priority="83">
      <formula>AND(B$9&gt;=14/24,B$9&lt;20/24)</formula>
    </cfRule>
    <cfRule type="expression" dxfId="4609" priority="84">
      <formula>AND(B$9&gt;=8/24,B$9&lt;14/24)</formula>
    </cfRule>
    <cfRule type="expression" dxfId="4608" priority="85">
      <formula>B$9&lt;8/24</formula>
    </cfRule>
  </conditionalFormatting>
  <conditionalFormatting sqref="B86:AF90">
    <cfRule type="expression" dxfId="4607" priority="78">
      <formula>B$9&gt;=20/24</formula>
    </cfRule>
    <cfRule type="expression" dxfId="4606" priority="79">
      <formula>AND(B$9&gt;=14/24,B$9&lt;20/24)</formula>
    </cfRule>
    <cfRule type="expression" dxfId="4605" priority="80">
      <formula>AND(B$9&gt;=8/24,B$9&lt;14/24)</formula>
    </cfRule>
    <cfRule type="expression" dxfId="4604" priority="81">
      <formula>B$9&lt;8/24</formula>
    </cfRule>
  </conditionalFormatting>
  <conditionalFormatting sqref="AL40 AL37 AL20:AL32 AL34:AL35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4:AF46">
    <cfRule type="expression" dxfId="4603" priority="74">
      <formula>C$9&gt;=20/24</formula>
    </cfRule>
    <cfRule type="expression" dxfId="4602" priority="75">
      <formula>AND(C$9&gt;=14/24,C$9&lt;20/24)</formula>
    </cfRule>
    <cfRule type="expression" dxfId="4601" priority="76">
      <formula>AND(C$9&gt;=8/24,C$9&lt;14/24)</formula>
    </cfRule>
    <cfRule type="expression" dxfId="4600" priority="77">
      <formula>C$9&lt;8/24</formula>
    </cfRule>
  </conditionalFormatting>
  <conditionalFormatting sqref="C44:AF46">
    <cfRule type="expression" dxfId="4599" priority="73">
      <formula>C44&gt;$AG44</formula>
    </cfRule>
  </conditionalFormatting>
  <conditionalFormatting sqref="B44:B47 C47:AG47">
    <cfRule type="expression" dxfId="4598" priority="69">
      <formula>B$9&gt;=20/24</formula>
    </cfRule>
    <cfRule type="expression" dxfId="4597" priority="70">
      <formula>AND(B$9&gt;=14/24,B$9&lt;20/24)</formula>
    </cfRule>
    <cfRule type="expression" dxfId="4596" priority="71">
      <formula>AND(B$9&gt;=8/24,B$9&lt;14/24)</formula>
    </cfRule>
    <cfRule type="expression" dxfId="4595" priority="72">
      <formula>B$9&lt;8/24</formula>
    </cfRule>
  </conditionalFormatting>
  <conditionalFormatting sqref="B44:B47 C47:AG47">
    <cfRule type="expression" dxfId="4594" priority="68">
      <formula>B44&gt;$AG44</formula>
    </cfRule>
  </conditionalFormatting>
  <conditionalFormatting sqref="C102:AF102">
    <cfRule type="expression" dxfId="4593" priority="64">
      <formula>C$9&gt;=20/24</formula>
    </cfRule>
    <cfRule type="expression" dxfId="4592" priority="65">
      <formula>AND(C$9&gt;=14/24,C$9&lt;20/24)</formula>
    </cfRule>
    <cfRule type="expression" dxfId="4591" priority="66">
      <formula>AND(C$9&gt;=8/24,C$9&lt;14/24)</formula>
    </cfRule>
    <cfRule type="expression" dxfId="4590" priority="67">
      <formula>C$9&lt;8/24</formula>
    </cfRule>
  </conditionalFormatting>
  <conditionalFormatting sqref="B102">
    <cfRule type="expression" dxfId="4589" priority="60">
      <formula>B$9&gt;=20/24</formula>
    </cfRule>
    <cfRule type="expression" dxfId="4588" priority="61">
      <formula>AND(B$9&gt;=14/24,B$9&lt;20/24)</formula>
    </cfRule>
    <cfRule type="expression" dxfId="4587" priority="62">
      <formula>AND(B$9&gt;=8/24,B$9&lt;14/24)</formula>
    </cfRule>
    <cfRule type="expression" dxfId="4586" priority="63">
      <formula>B$9&lt;8/24</formula>
    </cfRule>
  </conditionalFormatting>
  <conditionalFormatting sqref="AL36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4585" priority="54">
      <formula>$AH36=0</formula>
    </cfRule>
  </conditionalFormatting>
  <conditionalFormatting sqref="A85">
    <cfRule type="expression" dxfId="4584" priority="52">
      <formula>$AH85=0</formula>
    </cfRule>
  </conditionalFormatting>
  <conditionalFormatting sqref="A82">
    <cfRule type="expression" dxfId="4583" priority="53">
      <formula>$AH82=0</formula>
    </cfRule>
  </conditionalFormatting>
  <conditionalFormatting sqref="A112">
    <cfRule type="expression" dxfId="4582" priority="43">
      <formula>$AH112=0</formula>
    </cfRule>
  </conditionalFormatting>
  <conditionalFormatting sqref="C105:AF105">
    <cfRule type="expression" dxfId="4581" priority="39">
      <formula>C$9&gt;=20/24</formula>
    </cfRule>
    <cfRule type="expression" dxfId="4580" priority="40">
      <formula>AND(C$9&gt;=14/24,C$9&lt;20/24)</formula>
    </cfRule>
    <cfRule type="expression" dxfId="4579" priority="41">
      <formula>AND(C$9&gt;=8/24,C$9&lt;14/24)</formula>
    </cfRule>
    <cfRule type="expression" dxfId="4578" priority="42">
      <formula>C$9&lt;8/24</formula>
    </cfRule>
  </conditionalFormatting>
  <conditionalFormatting sqref="A105">
    <cfRule type="expression" dxfId="4577" priority="38">
      <formula>$AH105=0</formula>
    </cfRule>
  </conditionalFormatting>
  <conditionalFormatting sqref="B105">
    <cfRule type="expression" dxfId="4576" priority="34">
      <formula>B$9&gt;=20/24</formula>
    </cfRule>
    <cfRule type="expression" dxfId="4575" priority="35">
      <formula>AND(B$9&gt;=14/24,B$9&lt;20/24)</formula>
    </cfRule>
    <cfRule type="expression" dxfId="4574" priority="36">
      <formula>AND(B$9&gt;=8/24,B$9&lt;14/24)</formula>
    </cfRule>
    <cfRule type="expression" dxfId="4573" priority="37">
      <formula>B$9&lt;8/24</formula>
    </cfRule>
  </conditionalFormatting>
  <conditionalFormatting sqref="B19:AF19">
    <cfRule type="expression" dxfId="4572" priority="27">
      <formula>B19&gt;$AG19</formula>
    </cfRule>
  </conditionalFormatting>
  <conditionalFormatting sqref="A19">
    <cfRule type="expression" dxfId="4571" priority="26">
      <formula>$AH19=0</formula>
    </cfRule>
  </conditionalFormatting>
  <conditionalFormatting sqref="S19:AF19">
    <cfRule type="expression" dxfId="4570" priority="22">
      <formula>S$9&gt;=20/24</formula>
    </cfRule>
    <cfRule type="expression" dxfId="4569" priority="23">
      <formula>AND(S$9&gt;=14/24,S$9&lt;20/24)</formula>
    </cfRule>
    <cfRule type="expression" dxfId="4568" priority="24">
      <formula>AND(S$9&gt;=8/24,S$9&lt;14/24)</formula>
    </cfRule>
    <cfRule type="expression" dxfId="4567" priority="25">
      <formula>S$9&lt;8/24</formula>
    </cfRule>
  </conditionalFormatting>
  <conditionalFormatting sqref="B19:R19">
    <cfRule type="expression" dxfId="4566" priority="18">
      <formula>B$9&gt;=20/24</formula>
    </cfRule>
    <cfRule type="expression" dxfId="4565" priority="19">
      <formula>AND(B$9&gt;=14/24,B$9&lt;20/24)</formula>
    </cfRule>
    <cfRule type="expression" dxfId="4564" priority="20">
      <formula>AND(B$9&gt;=8/24,B$9&lt;14/24)</formula>
    </cfRule>
    <cfRule type="expression" dxfId="4563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562" priority="16">
      <formula>$AH33=0</formula>
    </cfRule>
  </conditionalFormatting>
  <conditionalFormatting sqref="X33:AF33">
    <cfRule type="expression" dxfId="4561" priority="12">
      <formula>X$9&gt;=20/24</formula>
    </cfRule>
    <cfRule type="expression" dxfId="4560" priority="13">
      <formula>AND(X$9&gt;=14/24,X$9&lt;20/24)</formula>
    </cfRule>
    <cfRule type="expression" dxfId="4559" priority="14">
      <formula>AND(X$9&gt;=8/24,X$9&lt;14/24)</formula>
    </cfRule>
    <cfRule type="expression" dxfId="4558" priority="15">
      <formula>X$9&lt;8/24</formula>
    </cfRule>
  </conditionalFormatting>
  <conditionalFormatting sqref="X33:AF33">
    <cfRule type="expression" dxfId="4557" priority="11">
      <formula>X33&gt;$AG33</formula>
    </cfRule>
  </conditionalFormatting>
  <conditionalFormatting sqref="S33:W33">
    <cfRule type="expression" dxfId="4556" priority="7">
      <formula>S$9&gt;=20/24</formula>
    </cfRule>
    <cfRule type="expression" dxfId="4555" priority="8">
      <formula>AND(S$9&gt;=14/24,S$9&lt;20/24)</formula>
    </cfRule>
    <cfRule type="expression" dxfId="4554" priority="9">
      <formula>AND(S$9&gt;=8/24,S$9&lt;14/24)</formula>
    </cfRule>
    <cfRule type="expression" dxfId="4553" priority="10">
      <formula>S$9&lt;8/24</formula>
    </cfRule>
  </conditionalFormatting>
  <conditionalFormatting sqref="S33:W33">
    <cfRule type="expression" dxfId="4552" priority="6">
      <formula>S33&gt;$AG33</formula>
    </cfRule>
  </conditionalFormatting>
  <conditionalFormatting sqref="B33:R33">
    <cfRule type="expression" dxfId="4551" priority="2">
      <formula>B$9&gt;=20/24</formula>
    </cfRule>
    <cfRule type="expression" dxfId="4550" priority="3">
      <formula>AND(B$9&gt;=14/24,B$9&lt;20/24)</formula>
    </cfRule>
    <cfRule type="expression" dxfId="4549" priority="4">
      <formula>AND(B$9&gt;=8/24,B$9&lt;14/24)</formula>
    </cfRule>
    <cfRule type="expression" dxfId="4548" priority="5">
      <formula>B$9&lt;8/24</formula>
    </cfRule>
  </conditionalFormatting>
  <conditionalFormatting sqref="B33:R33">
    <cfRule type="expression" dxfId="4547" priority="1">
      <formula>B33&gt;$AG33</formula>
    </cfRule>
  </conditionalFormatting>
  <conditionalFormatting sqref="AL33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E7760978-C205-47C7-8C87-8627F3E6FAB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9D6C7386-91D7-4971-8F26-84C5338B82A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6518C947-C07F-4FA9-BF8A-466039B7AF4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DE91B1E8-89EA-48AE-8AE3-569183E6C2F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B85:AF85</xm:sqref>
        </x14:conditionalFormatting>
        <x14:conditionalFormatting xmlns:xm="http://schemas.microsoft.com/office/excel/2006/main">
          <x14:cfRule type="expression" priority="48" id="{30963BBB-B1FE-4F31-9308-63655198B6D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95E86DC3-1E7D-457C-ABF9-DE1FD85337D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460676BA-7579-4735-B2E2-650F5D9982E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7F3842D5-7676-4DA6-8B6A-759EE57C180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44" id="{08F2308F-AC9E-4B91-810E-38EC91EDB7A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0A785A9D-1FD5-48A0-9D3A-6019B2E20CE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DEF6ECA8-2C52-4314-986C-5A4ED4919B3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079E1D1B-805E-45EF-99CF-31538581C13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273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X116" sqref="X11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AG43</f>
        <v>796.78000000000009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AG61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2079/08/19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("&amp;ROUND(B244,0)&amp;" MW)"&amp;"    IPP   = "&amp;ROUND(B239,0)&amp;" MW     NEA RoR = "&amp;ROUND(B240,0)&amp;" MWImport   = "&amp;ROUND(B242,0)&amp;" MW      KL1+KL2+K3 = "&amp;ROUND(B241,0) &amp;" MW    EXPORT = "&amp;ROUND(B243,0)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AG65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C77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15</v>
      </c>
      <c r="I5" s="30">
        <f t="shared" si="0"/>
        <v>21</v>
      </c>
      <c r="J5" s="30">
        <f t="shared" si="0"/>
        <v>22</v>
      </c>
      <c r="K5" s="30">
        <f t="shared" si="0"/>
        <v>51.9</v>
      </c>
      <c r="L5" s="30">
        <f t="shared" si="0"/>
        <v>26</v>
      </c>
      <c r="M5" s="30">
        <f t="shared" si="0"/>
        <v>21</v>
      </c>
      <c r="N5" s="30">
        <f t="shared" si="0"/>
        <v>34.1</v>
      </c>
      <c r="O5" s="30">
        <f t="shared" si="0"/>
        <v>16</v>
      </c>
      <c r="P5" s="30">
        <f t="shared" si="0"/>
        <v>16.3</v>
      </c>
      <c r="Q5" s="30">
        <f t="shared" si="0"/>
        <v>23.5</v>
      </c>
      <c r="R5" s="30">
        <f t="shared" si="0"/>
        <v>30</v>
      </c>
      <c r="S5" s="30">
        <f t="shared" si="0"/>
        <v>19</v>
      </c>
      <c r="T5" s="30">
        <f t="shared" si="0"/>
        <v>14.4</v>
      </c>
      <c r="U5" s="30">
        <f t="shared" si="0"/>
        <v>26</v>
      </c>
      <c r="V5" s="30">
        <f t="shared" si="0"/>
        <v>142</v>
      </c>
      <c r="W5" s="30">
        <f t="shared" si="0"/>
        <v>19.5</v>
      </c>
      <c r="X5" s="30">
        <f t="shared" si="0"/>
        <v>16</v>
      </c>
      <c r="Y5" s="30">
        <f t="shared" si="0"/>
        <v>25.2</v>
      </c>
      <c r="Z5" s="30">
        <f t="shared" si="0"/>
        <v>20.8</v>
      </c>
      <c r="AA5" s="30">
        <f t="shared" si="0"/>
        <v>16.5</v>
      </c>
      <c r="AB5" s="30">
        <f t="shared" si="0"/>
        <v>13</v>
      </c>
      <c r="AC5" s="30">
        <f t="shared" si="0"/>
        <v>13</v>
      </c>
      <c r="AD5" s="30">
        <f t="shared" si="0"/>
        <v>0</v>
      </c>
      <c r="AE5" s="30">
        <f t="shared" si="0"/>
        <v>0</v>
      </c>
      <c r="AF5" s="30">
        <f>B77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"&amp;ROUND(B244,0)&amp;"MW at "&amp;TRUNC(B245*24,0)&amp;":"&amp;ROUND((B245*24-TRUNC(B245*24,0))*60,0)&amp;"hr at "&amp;ROUND(B246,1)&amp;"Hz     "&amp;A236&amp;" "&amp;ROUND(B236,0)&amp;"MW at "&amp;TRUNC(C236*24,0)&amp;":"&amp;ROUND((C236*24-TRUNC(C236*24,0))*6,0)&amp;"0hr"</f>
        <v>Evening Peak 0MW at 0:0hr at 0Hz     Morning Peak 1622MW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1392.69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Load=982</v>
      </c>
      <c r="B7" s="35">
        <f t="shared" ref="B7:AF7" si="1">B84</f>
        <v>1054.6399999999999</v>
      </c>
      <c r="C7" s="35">
        <f t="shared" si="1"/>
        <v>1054.6399999999999</v>
      </c>
      <c r="D7" s="35">
        <f t="shared" si="1"/>
        <v>1016.6400000000001</v>
      </c>
      <c r="E7" s="35">
        <f t="shared" si="1"/>
        <v>1011.24</v>
      </c>
      <c r="F7" s="35">
        <f t="shared" si="1"/>
        <v>981.94</v>
      </c>
      <c r="G7" s="35">
        <f t="shared" si="1"/>
        <v>1077.04</v>
      </c>
      <c r="H7" s="35">
        <f t="shared" si="1"/>
        <v>1156.94</v>
      </c>
      <c r="I7" s="35">
        <f t="shared" si="1"/>
        <v>1220.94</v>
      </c>
      <c r="J7" s="35">
        <f t="shared" si="1"/>
        <v>1336.94</v>
      </c>
      <c r="K7" s="35">
        <f t="shared" si="1"/>
        <v>1523.1400000000003</v>
      </c>
      <c r="L7" s="35">
        <f t="shared" si="1"/>
        <v>1621.7400000000002</v>
      </c>
      <c r="M7" s="35">
        <f t="shared" si="1"/>
        <v>1621.24</v>
      </c>
      <c r="N7" s="35">
        <f t="shared" si="1"/>
        <v>1576.24</v>
      </c>
      <c r="O7" s="35">
        <f t="shared" si="1"/>
        <v>1313.54</v>
      </c>
      <c r="P7" s="35">
        <f t="shared" si="1"/>
        <v>1259.94</v>
      </c>
      <c r="Q7" s="35">
        <f t="shared" si="1"/>
        <v>1211.94</v>
      </c>
      <c r="R7" s="35">
        <f t="shared" si="1"/>
        <v>1170.44</v>
      </c>
      <c r="S7" s="35">
        <f t="shared" si="1"/>
        <v>1184.2400000000002</v>
      </c>
      <c r="T7" s="35">
        <f t="shared" si="1"/>
        <v>1203.94</v>
      </c>
      <c r="U7" s="35">
        <f t="shared" si="1"/>
        <v>1238.5400000000002</v>
      </c>
      <c r="V7" s="35">
        <f t="shared" si="1"/>
        <v>1282.539</v>
      </c>
      <c r="W7" s="35">
        <f t="shared" si="1"/>
        <v>1685.34</v>
      </c>
      <c r="X7" s="35">
        <f t="shared" si="1"/>
        <v>1679.44</v>
      </c>
      <c r="Y7" s="35">
        <f t="shared" si="1"/>
        <v>1705.6389999999999</v>
      </c>
      <c r="Z7" s="35">
        <f t="shared" si="1"/>
        <v>1604.8390000000002</v>
      </c>
      <c r="AA7" s="35">
        <f t="shared" si="1"/>
        <v>1534.04</v>
      </c>
      <c r="AB7" s="35">
        <f t="shared" si="1"/>
        <v>1493.3400000000001</v>
      </c>
      <c r="AC7" s="35">
        <f t="shared" si="1"/>
        <v>1326.94</v>
      </c>
      <c r="AD7" s="35">
        <f t="shared" si="1"/>
        <v>1318.44</v>
      </c>
      <c r="AE7" s="35">
        <f t="shared" si="1"/>
        <v>1164.94</v>
      </c>
      <c r="AF7" s="35">
        <f t="shared" si="1"/>
        <v>1102.1399999999999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28.8</v>
      </c>
      <c r="C11" s="46">
        <v>28.8</v>
      </c>
      <c r="D11" s="46">
        <v>28.8</v>
      </c>
      <c r="E11" s="46">
        <v>28.8</v>
      </c>
      <c r="F11" s="46">
        <v>28.8</v>
      </c>
      <c r="G11" s="46">
        <v>29.3</v>
      </c>
      <c r="H11" s="46">
        <v>29.3</v>
      </c>
      <c r="I11" s="46">
        <v>29.3</v>
      </c>
      <c r="J11" s="46">
        <v>29.3</v>
      </c>
      <c r="K11" s="46">
        <v>29.3</v>
      </c>
      <c r="L11" s="46">
        <v>29.3</v>
      </c>
      <c r="M11" s="45">
        <v>29.3</v>
      </c>
      <c r="N11" s="45">
        <v>29.3</v>
      </c>
      <c r="O11" s="45">
        <v>29.3</v>
      </c>
      <c r="P11" s="45">
        <v>29.3</v>
      </c>
      <c r="Q11" s="45">
        <v>29.3</v>
      </c>
      <c r="R11" s="45">
        <v>29.3</v>
      </c>
      <c r="S11" s="45">
        <v>29.3</v>
      </c>
      <c r="T11" s="45">
        <v>29.3</v>
      </c>
      <c r="U11" s="45">
        <v>29.3</v>
      </c>
      <c r="V11" s="46">
        <v>27.2</v>
      </c>
      <c r="W11" s="46">
        <v>27.2</v>
      </c>
      <c r="X11" s="46">
        <v>29.2</v>
      </c>
      <c r="Y11" s="46">
        <v>29.2</v>
      </c>
      <c r="Z11" s="46">
        <v>29</v>
      </c>
      <c r="AA11" s="46">
        <v>29.2</v>
      </c>
      <c r="AB11" s="46">
        <v>29.2</v>
      </c>
      <c r="AC11" s="46">
        <v>31.6</v>
      </c>
      <c r="AD11" s="46">
        <v>31.6</v>
      </c>
      <c r="AE11" s="46">
        <v>31.6</v>
      </c>
      <c r="AF11" s="46">
        <v>28.9</v>
      </c>
      <c r="AG11" s="47">
        <v>52.4</v>
      </c>
      <c r="AH11" s="48">
        <f>MAX(B11:AF11)</f>
        <v>31.6</v>
      </c>
      <c r="AI11" s="49">
        <f>MIN(B11:AF11)</f>
        <v>27.2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50.6</v>
      </c>
      <c r="G12" s="45">
        <v>50.2</v>
      </c>
      <c r="H12" s="45">
        <v>50.2</v>
      </c>
      <c r="I12" s="45">
        <v>50.2</v>
      </c>
      <c r="J12" s="45">
        <v>50.2</v>
      </c>
      <c r="K12" s="45">
        <v>50.2</v>
      </c>
      <c r="L12" s="45">
        <v>50.2</v>
      </c>
      <c r="M12" s="45">
        <v>50.2</v>
      </c>
      <c r="N12" s="45">
        <v>50.2</v>
      </c>
      <c r="O12" s="45">
        <v>50.2</v>
      </c>
      <c r="P12" s="45">
        <v>50.2</v>
      </c>
      <c r="Q12" s="45">
        <v>50.2</v>
      </c>
      <c r="R12" s="45">
        <v>50.2</v>
      </c>
      <c r="S12" s="45">
        <v>50.2</v>
      </c>
      <c r="T12" s="45">
        <v>50.2</v>
      </c>
      <c r="U12" s="45">
        <v>50.2</v>
      </c>
      <c r="V12" s="45">
        <v>50.4</v>
      </c>
      <c r="W12" s="45">
        <v>50.4</v>
      </c>
      <c r="X12" s="45">
        <v>50.4</v>
      </c>
      <c r="Y12" s="45">
        <v>50.4</v>
      </c>
      <c r="Z12" s="45">
        <v>50.3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50.4</v>
      </c>
      <c r="AG12" s="51">
        <v>50</v>
      </c>
      <c r="AH12" s="48">
        <f t="shared" ref="AH12:AH78" si="2">MAX(B12:AF12)</f>
        <v>50.6</v>
      </c>
      <c r="AI12" s="49">
        <f t="shared" ref="AI12:AI78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29.2</v>
      </c>
      <c r="C13" s="45">
        <v>29.2</v>
      </c>
      <c r="D13" s="45">
        <v>29.2</v>
      </c>
      <c r="E13" s="45">
        <v>29.2</v>
      </c>
      <c r="F13" s="45">
        <v>29.2</v>
      </c>
      <c r="G13" s="45">
        <v>26.3</v>
      </c>
      <c r="H13" s="45">
        <v>26.3</v>
      </c>
      <c r="I13" s="45">
        <v>26.3</v>
      </c>
      <c r="J13" s="45">
        <v>26.3</v>
      </c>
      <c r="K13" s="45">
        <v>26.3</v>
      </c>
      <c r="L13" s="45">
        <v>26.3</v>
      </c>
      <c r="M13" s="45">
        <v>26.3</v>
      </c>
      <c r="N13" s="45">
        <v>26.3</v>
      </c>
      <c r="O13" s="45">
        <v>26.3</v>
      </c>
      <c r="P13" s="45">
        <v>26.3</v>
      </c>
      <c r="Q13" s="45">
        <v>26.3</v>
      </c>
      <c r="R13" s="45">
        <v>26.3</v>
      </c>
      <c r="S13" s="45">
        <v>26.3</v>
      </c>
      <c r="T13" s="45">
        <v>26.3</v>
      </c>
      <c r="U13" s="45">
        <v>26.3</v>
      </c>
      <c r="V13" s="45">
        <v>27.9</v>
      </c>
      <c r="W13" s="45">
        <v>27.9</v>
      </c>
      <c r="X13" s="45">
        <v>27.9</v>
      </c>
      <c r="Y13" s="45">
        <v>27.9</v>
      </c>
      <c r="Z13" s="45">
        <v>28.9</v>
      </c>
      <c r="AA13" s="45">
        <v>28.9</v>
      </c>
      <c r="AB13" s="45">
        <v>28.9</v>
      </c>
      <c r="AC13" s="45">
        <v>28.9</v>
      </c>
      <c r="AD13" s="45">
        <v>28.9</v>
      </c>
      <c r="AE13" s="45">
        <v>28.9</v>
      </c>
      <c r="AF13" s="45">
        <v>28.9</v>
      </c>
      <c r="AG13" s="51">
        <v>45</v>
      </c>
      <c r="AH13" s="48">
        <f t="shared" si="2"/>
        <v>29.2</v>
      </c>
      <c r="AI13" s="49">
        <f t="shared" si="3"/>
        <v>26.3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14.5</v>
      </c>
      <c r="C14" s="45">
        <v>14.5</v>
      </c>
      <c r="D14" s="45">
        <v>14.5</v>
      </c>
      <c r="E14" s="45">
        <v>14.5</v>
      </c>
      <c r="F14" s="45">
        <v>14.5</v>
      </c>
      <c r="G14" s="45">
        <v>14.5</v>
      </c>
      <c r="H14" s="45">
        <v>14.5</v>
      </c>
      <c r="I14" s="45">
        <v>14.5</v>
      </c>
      <c r="J14" s="45">
        <v>14.5</v>
      </c>
      <c r="K14" s="45">
        <v>14.5</v>
      </c>
      <c r="L14" s="45">
        <v>14.5</v>
      </c>
      <c r="M14" s="45">
        <v>14.5</v>
      </c>
      <c r="N14" s="45">
        <v>14.5</v>
      </c>
      <c r="O14" s="45">
        <v>14.5</v>
      </c>
      <c r="P14" s="45">
        <v>14.5</v>
      </c>
      <c r="Q14" s="45">
        <v>14.5</v>
      </c>
      <c r="R14" s="45">
        <v>14.5</v>
      </c>
      <c r="S14" s="45">
        <v>14.5</v>
      </c>
      <c r="T14" s="45">
        <v>14.5</v>
      </c>
      <c r="U14" s="45">
        <v>14.5</v>
      </c>
      <c r="V14" s="45">
        <v>14.6</v>
      </c>
      <c r="W14" s="45">
        <v>14.6</v>
      </c>
      <c r="X14" s="45">
        <v>14.6</v>
      </c>
      <c r="Y14" s="45">
        <v>14.6</v>
      </c>
      <c r="Z14" s="45">
        <v>14.6</v>
      </c>
      <c r="AA14" s="45">
        <v>14.6</v>
      </c>
      <c r="AB14" s="45">
        <v>14.6</v>
      </c>
      <c r="AC14" s="45">
        <v>14.6</v>
      </c>
      <c r="AD14" s="45">
        <v>14.6</v>
      </c>
      <c r="AE14" s="45">
        <v>14.6</v>
      </c>
      <c r="AF14" s="45">
        <v>14.6</v>
      </c>
      <c r="AG14" s="51">
        <v>42</v>
      </c>
      <c r="AH14" s="48">
        <f t="shared" si="2"/>
        <v>14.6</v>
      </c>
      <c r="AI14" s="49">
        <f t="shared" si="3"/>
        <v>14.5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24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15.9</v>
      </c>
      <c r="C16" s="45">
        <v>15.9</v>
      </c>
      <c r="D16" s="45">
        <v>15.9</v>
      </c>
      <c r="E16" s="45">
        <v>15.9</v>
      </c>
      <c r="F16" s="45">
        <v>15.9</v>
      </c>
      <c r="G16" s="45">
        <v>15.9</v>
      </c>
      <c r="H16" s="45">
        <v>15.9</v>
      </c>
      <c r="I16" s="45">
        <v>15.9</v>
      </c>
      <c r="J16" s="45">
        <v>15.9</v>
      </c>
      <c r="K16" s="45">
        <v>15.9</v>
      </c>
      <c r="L16" s="45">
        <v>15.9</v>
      </c>
      <c r="M16" s="45">
        <v>15.9</v>
      </c>
      <c r="N16" s="45">
        <v>15.9</v>
      </c>
      <c r="O16" s="45">
        <v>15.9</v>
      </c>
      <c r="P16" s="45">
        <v>15.9</v>
      </c>
      <c r="Q16" s="45">
        <v>15.9</v>
      </c>
      <c r="R16" s="45">
        <v>15.9</v>
      </c>
      <c r="S16" s="45">
        <v>15.9</v>
      </c>
      <c r="T16" s="45">
        <v>15.9</v>
      </c>
      <c r="U16" s="45">
        <v>15.9</v>
      </c>
      <c r="V16" s="45">
        <v>15.7</v>
      </c>
      <c r="W16" s="45">
        <v>15.7</v>
      </c>
      <c r="X16" s="45">
        <v>15.7</v>
      </c>
      <c r="Y16" s="45">
        <v>15.7</v>
      </c>
      <c r="Z16" s="45">
        <v>15.7</v>
      </c>
      <c r="AA16" s="45">
        <v>15.7</v>
      </c>
      <c r="AB16" s="45">
        <v>15.7</v>
      </c>
      <c r="AC16" s="45">
        <v>15.7</v>
      </c>
      <c r="AD16" s="45">
        <v>15.7</v>
      </c>
      <c r="AE16" s="45">
        <v>15.7</v>
      </c>
      <c r="AF16" s="45">
        <v>15.7</v>
      </c>
      <c r="AG16" s="52">
        <v>30</v>
      </c>
      <c r="AH16" s="48">
        <f t="shared" si="2"/>
        <v>15.9</v>
      </c>
      <c r="AI16" s="49">
        <f t="shared" si="3"/>
        <v>15.7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</v>
      </c>
      <c r="C17" s="45">
        <v>14</v>
      </c>
      <c r="D17" s="45">
        <v>14</v>
      </c>
      <c r="E17" s="45">
        <v>14</v>
      </c>
      <c r="F17" s="45">
        <v>14</v>
      </c>
      <c r="G17" s="45">
        <v>14</v>
      </c>
      <c r="H17" s="45">
        <v>14</v>
      </c>
      <c r="I17" s="45">
        <v>14</v>
      </c>
      <c r="J17" s="45">
        <v>14</v>
      </c>
      <c r="K17" s="45">
        <v>14</v>
      </c>
      <c r="L17" s="45">
        <v>14</v>
      </c>
      <c r="M17" s="45">
        <v>14</v>
      </c>
      <c r="N17" s="45">
        <v>14</v>
      </c>
      <c r="O17" s="45">
        <v>14</v>
      </c>
      <c r="P17" s="45">
        <v>14</v>
      </c>
      <c r="Q17" s="45">
        <v>14</v>
      </c>
      <c r="R17" s="45">
        <v>14</v>
      </c>
      <c r="S17" s="45">
        <v>14</v>
      </c>
      <c r="T17" s="45">
        <v>14</v>
      </c>
      <c r="U17" s="45">
        <v>14</v>
      </c>
      <c r="V17" s="45">
        <v>13.6</v>
      </c>
      <c r="W17" s="45">
        <v>13.6</v>
      </c>
      <c r="X17" s="45">
        <v>13.6</v>
      </c>
      <c r="Y17" s="45">
        <v>13.6</v>
      </c>
      <c r="Z17" s="45">
        <v>13.6</v>
      </c>
      <c r="AA17" s="45">
        <v>13.6</v>
      </c>
      <c r="AB17" s="45">
        <v>13.6</v>
      </c>
      <c r="AC17" s="45">
        <v>13.6</v>
      </c>
      <c r="AD17" s="45">
        <v>13.6</v>
      </c>
      <c r="AE17" s="45">
        <v>13.6</v>
      </c>
      <c r="AF17" s="45">
        <v>13.6</v>
      </c>
      <c r="AG17" s="51">
        <v>24.2</v>
      </c>
      <c r="AH17" s="48">
        <f t="shared" si="2"/>
        <v>14</v>
      </c>
      <c r="AI17" s="49">
        <f t="shared" si="3"/>
        <v>13.6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15.5</v>
      </c>
      <c r="O18" s="45">
        <v>15.5</v>
      </c>
      <c r="P18" s="45">
        <v>15.5</v>
      </c>
      <c r="Q18" s="45">
        <v>15.5</v>
      </c>
      <c r="R18" s="45">
        <v>15.5</v>
      </c>
      <c r="S18" s="45">
        <v>15.5</v>
      </c>
      <c r="T18" s="45">
        <v>15.5</v>
      </c>
      <c r="U18" s="45">
        <v>15.5</v>
      </c>
      <c r="V18" s="45">
        <v>15.5</v>
      </c>
      <c r="W18" s="45">
        <v>15.5</v>
      </c>
      <c r="X18" s="45">
        <v>15.5</v>
      </c>
      <c r="Y18" s="45">
        <v>15.5</v>
      </c>
      <c r="Z18" s="45">
        <v>15.5</v>
      </c>
      <c r="AA18" s="45">
        <v>15.5</v>
      </c>
      <c r="AB18" s="45">
        <v>15.5</v>
      </c>
      <c r="AC18" s="45">
        <v>15.5</v>
      </c>
      <c r="AD18" s="45">
        <v>15.5</v>
      </c>
      <c r="AE18" s="45">
        <v>15.5</v>
      </c>
      <c r="AF18" s="45">
        <v>15.5</v>
      </c>
      <c r="AG18" s="51">
        <v>28</v>
      </c>
      <c r="AH18" s="48">
        <f t="shared" si="2"/>
        <v>15.5</v>
      </c>
      <c r="AI18" s="49">
        <f t="shared" si="3"/>
        <v>15.5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17</v>
      </c>
      <c r="H19" s="45">
        <v>17</v>
      </c>
      <c r="I19" s="45">
        <v>17</v>
      </c>
      <c r="J19" s="45">
        <v>17</v>
      </c>
      <c r="K19" s="45">
        <v>17</v>
      </c>
      <c r="L19" s="45">
        <v>17</v>
      </c>
      <c r="M19" s="45">
        <v>17</v>
      </c>
      <c r="N19" s="45">
        <v>17</v>
      </c>
      <c r="O19" s="45">
        <v>17</v>
      </c>
      <c r="P19" s="45">
        <v>17</v>
      </c>
      <c r="Q19" s="45">
        <v>17</v>
      </c>
      <c r="R19" s="45">
        <v>17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17</v>
      </c>
      <c r="AE19" s="45">
        <v>17</v>
      </c>
      <c r="AF19" s="45">
        <v>17</v>
      </c>
      <c r="AG19" s="52">
        <v>30</v>
      </c>
      <c r="AH19" s="48">
        <f t="shared" si="2"/>
        <v>17</v>
      </c>
      <c r="AI19" s="49">
        <f t="shared" si="3"/>
        <v>17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</v>
      </c>
      <c r="C20" s="45">
        <v>14</v>
      </c>
      <c r="D20" s="45">
        <v>14</v>
      </c>
      <c r="E20" s="45">
        <v>14</v>
      </c>
      <c r="F20" s="45">
        <v>14</v>
      </c>
      <c r="G20" s="45">
        <v>14</v>
      </c>
      <c r="H20" s="45">
        <v>14</v>
      </c>
      <c r="I20" s="45">
        <v>14</v>
      </c>
      <c r="J20" s="45">
        <v>14</v>
      </c>
      <c r="K20" s="45">
        <v>14</v>
      </c>
      <c r="L20" s="45">
        <v>14</v>
      </c>
      <c r="M20" s="45">
        <v>14</v>
      </c>
      <c r="N20" s="45">
        <v>14</v>
      </c>
      <c r="O20" s="45">
        <v>14</v>
      </c>
      <c r="P20" s="45">
        <v>14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14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13.9</v>
      </c>
      <c r="C24" s="45">
        <v>13.9</v>
      </c>
      <c r="D24" s="45">
        <v>13.9</v>
      </c>
      <c r="E24" s="45">
        <v>13.9</v>
      </c>
      <c r="F24" s="45">
        <v>13.9</v>
      </c>
      <c r="G24" s="45">
        <v>13.9</v>
      </c>
      <c r="H24" s="45">
        <v>13.9</v>
      </c>
      <c r="I24" s="45">
        <v>13.9</v>
      </c>
      <c r="J24" s="45">
        <v>13.9</v>
      </c>
      <c r="K24" s="45">
        <v>13.9</v>
      </c>
      <c r="L24" s="45">
        <v>13.9</v>
      </c>
      <c r="M24" s="45">
        <v>13.9</v>
      </c>
      <c r="N24" s="45">
        <v>13.9</v>
      </c>
      <c r="O24" s="45">
        <v>13.9</v>
      </c>
      <c r="P24" s="45">
        <v>13.9</v>
      </c>
      <c r="Q24" s="45">
        <v>13.9</v>
      </c>
      <c r="R24" s="45">
        <v>13.9</v>
      </c>
      <c r="S24" s="45">
        <v>13.9</v>
      </c>
      <c r="T24" s="45">
        <v>13.9</v>
      </c>
      <c r="U24" s="45">
        <v>13.9</v>
      </c>
      <c r="V24" s="45">
        <v>13.9</v>
      </c>
      <c r="W24" s="45">
        <v>13.9</v>
      </c>
      <c r="X24" s="45">
        <v>13.9</v>
      </c>
      <c r="Y24" s="45">
        <v>13.9</v>
      </c>
      <c r="Z24" s="45">
        <v>13.9</v>
      </c>
      <c r="AA24" s="45">
        <v>13.9</v>
      </c>
      <c r="AB24" s="45">
        <v>13.9</v>
      </c>
      <c r="AC24" s="45">
        <v>13.9</v>
      </c>
      <c r="AD24" s="45">
        <v>13.9</v>
      </c>
      <c r="AE24" s="45">
        <v>13.9</v>
      </c>
      <c r="AF24" s="45">
        <v>13.9</v>
      </c>
      <c r="AG24" s="51">
        <v>23.5</v>
      </c>
      <c r="AH24" s="48">
        <f t="shared" si="2"/>
        <v>13.9</v>
      </c>
      <c r="AI24" s="49">
        <f t="shared" si="3"/>
        <v>13.9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35</v>
      </c>
      <c r="B30" s="45">
        <v>6.3</v>
      </c>
      <c r="C30" s="45">
        <v>6.3</v>
      </c>
      <c r="D30" s="45">
        <v>6.3</v>
      </c>
      <c r="E30" s="45">
        <v>6.3</v>
      </c>
      <c r="F30" s="45">
        <v>6.3</v>
      </c>
      <c r="G30" s="45">
        <v>6.3</v>
      </c>
      <c r="H30" s="45">
        <v>6.3</v>
      </c>
      <c r="I30" s="45">
        <v>6.3</v>
      </c>
      <c r="J30" s="45">
        <v>6.3</v>
      </c>
      <c r="K30" s="45">
        <v>6.3</v>
      </c>
      <c r="L30" s="45">
        <v>6.3</v>
      </c>
      <c r="M30" s="45">
        <v>6.3</v>
      </c>
      <c r="N30" s="45">
        <v>6.3</v>
      </c>
      <c r="O30" s="45">
        <v>6.3</v>
      </c>
      <c r="P30" s="45">
        <v>6.3</v>
      </c>
      <c r="Q30" s="45">
        <v>6.3</v>
      </c>
      <c r="R30" s="45">
        <v>6.3</v>
      </c>
      <c r="S30" s="45">
        <v>6.3</v>
      </c>
      <c r="T30" s="45">
        <v>6.3</v>
      </c>
      <c r="U30" s="45">
        <v>6.3</v>
      </c>
      <c r="V30" s="45">
        <v>6.3</v>
      </c>
      <c r="W30" s="45">
        <v>6.3</v>
      </c>
      <c r="X30" s="45">
        <v>6.3</v>
      </c>
      <c r="Y30" s="45">
        <v>6.3</v>
      </c>
      <c r="Z30" s="45">
        <v>6.3</v>
      </c>
      <c r="AA30" s="45">
        <v>6.3</v>
      </c>
      <c r="AB30" s="45">
        <v>6.3</v>
      </c>
      <c r="AC30" s="45">
        <v>6.3</v>
      </c>
      <c r="AD30" s="45">
        <v>6.3</v>
      </c>
      <c r="AE30" s="45">
        <v>6.3</v>
      </c>
      <c r="AF30" s="45">
        <v>6.3</v>
      </c>
      <c r="AG30" s="51">
        <v>14.9</v>
      </c>
      <c r="AH30" s="48">
        <f t="shared" si="2"/>
        <v>6.3</v>
      </c>
      <c r="AI30" s="49">
        <f t="shared" si="3"/>
        <v>6.3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36</v>
      </c>
      <c r="B31" s="45">
        <v>3.6</v>
      </c>
      <c r="C31" s="45">
        <v>3.6</v>
      </c>
      <c r="D31" s="45">
        <v>3.6</v>
      </c>
      <c r="E31" s="45">
        <v>3.6</v>
      </c>
      <c r="F31" s="45">
        <v>3.6</v>
      </c>
      <c r="G31" s="45">
        <v>3.6</v>
      </c>
      <c r="H31" s="45">
        <v>3.6</v>
      </c>
      <c r="I31" s="45">
        <v>3.6</v>
      </c>
      <c r="J31" s="45">
        <v>3.6</v>
      </c>
      <c r="K31" s="45">
        <v>3.6</v>
      </c>
      <c r="L31" s="45">
        <v>3.6</v>
      </c>
      <c r="M31" s="45">
        <v>3.6</v>
      </c>
      <c r="N31" s="45">
        <v>3.6</v>
      </c>
      <c r="O31" s="45">
        <v>3.6</v>
      </c>
      <c r="P31" s="45">
        <v>3.6</v>
      </c>
      <c r="Q31" s="45">
        <v>3.6</v>
      </c>
      <c r="R31" s="45">
        <v>3.6</v>
      </c>
      <c r="S31" s="45">
        <v>3.6</v>
      </c>
      <c r="T31" s="45">
        <v>3.6</v>
      </c>
      <c r="U31" s="45">
        <v>3.6</v>
      </c>
      <c r="V31" s="45">
        <v>3.6</v>
      </c>
      <c r="W31" s="45">
        <v>3.6</v>
      </c>
      <c r="X31" s="45">
        <v>3.6</v>
      </c>
      <c r="Y31" s="45">
        <v>3.6</v>
      </c>
      <c r="Z31" s="45">
        <v>3.6</v>
      </c>
      <c r="AA31" s="45">
        <v>3.6</v>
      </c>
      <c r="AB31" s="45">
        <v>3.6</v>
      </c>
      <c r="AC31" s="45">
        <v>3.6</v>
      </c>
      <c r="AD31" s="45">
        <v>3.6</v>
      </c>
      <c r="AE31" s="45">
        <v>3.6</v>
      </c>
      <c r="AF31" s="45">
        <v>3.6</v>
      </c>
      <c r="AG31" s="51">
        <v>13.6</v>
      </c>
      <c r="AH31" s="48">
        <f t="shared" si="2"/>
        <v>3.6</v>
      </c>
      <c r="AI31" s="49">
        <f t="shared" si="3"/>
        <v>3.6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37</v>
      </c>
      <c r="B32" s="45">
        <v>5</v>
      </c>
      <c r="C32" s="45">
        <v>5</v>
      </c>
      <c r="D32" s="45">
        <v>5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45">
        <v>5</v>
      </c>
      <c r="L32" s="45">
        <v>5</v>
      </c>
      <c r="M32" s="45">
        <v>5</v>
      </c>
      <c r="N32" s="45">
        <v>5</v>
      </c>
      <c r="O32" s="45">
        <v>5</v>
      </c>
      <c r="P32" s="45">
        <v>5</v>
      </c>
      <c r="Q32" s="45">
        <v>5</v>
      </c>
      <c r="R32" s="45">
        <v>5</v>
      </c>
      <c r="S32" s="45">
        <v>5</v>
      </c>
      <c r="T32" s="45">
        <v>5</v>
      </c>
      <c r="U32" s="45">
        <v>5</v>
      </c>
      <c r="V32" s="45">
        <v>5</v>
      </c>
      <c r="W32" s="45">
        <v>5</v>
      </c>
      <c r="X32" s="45">
        <v>5</v>
      </c>
      <c r="Y32" s="45">
        <v>5</v>
      </c>
      <c r="Z32" s="45">
        <v>5</v>
      </c>
      <c r="AA32" s="45">
        <v>5</v>
      </c>
      <c r="AB32" s="45">
        <v>5</v>
      </c>
      <c r="AC32" s="45">
        <v>5</v>
      </c>
      <c r="AD32" s="45">
        <v>5</v>
      </c>
      <c r="AE32" s="45">
        <v>5</v>
      </c>
      <c r="AF32" s="45">
        <v>5</v>
      </c>
      <c r="AG32" s="51">
        <v>13</v>
      </c>
      <c r="AH32" s="48">
        <f t="shared" si="2"/>
        <v>5</v>
      </c>
      <c r="AI32" s="49">
        <f t="shared" si="3"/>
        <v>5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38</v>
      </c>
      <c r="B33" s="45">
        <v>8</v>
      </c>
      <c r="C33" s="45">
        <v>8</v>
      </c>
      <c r="D33" s="45">
        <v>8</v>
      </c>
      <c r="E33" s="45">
        <v>8</v>
      </c>
      <c r="F33" s="45">
        <v>8</v>
      </c>
      <c r="G33" s="45">
        <v>8</v>
      </c>
      <c r="H33" s="45">
        <v>8</v>
      </c>
      <c r="I33" s="45">
        <v>8</v>
      </c>
      <c r="J33" s="45">
        <v>8</v>
      </c>
      <c r="K33" s="45">
        <v>8</v>
      </c>
      <c r="L33" s="45">
        <v>8</v>
      </c>
      <c r="M33" s="45">
        <v>8</v>
      </c>
      <c r="N33" s="45">
        <v>8</v>
      </c>
      <c r="O33" s="45">
        <v>8</v>
      </c>
      <c r="P33" s="45">
        <v>8</v>
      </c>
      <c r="Q33" s="45">
        <v>8</v>
      </c>
      <c r="R33" s="45">
        <v>8</v>
      </c>
      <c r="S33" s="45">
        <v>8</v>
      </c>
      <c r="T33" s="45">
        <v>8</v>
      </c>
      <c r="U33" s="45">
        <v>8</v>
      </c>
      <c r="V33" s="45">
        <v>8</v>
      </c>
      <c r="W33" s="45">
        <v>8</v>
      </c>
      <c r="X33" s="45">
        <v>8</v>
      </c>
      <c r="Y33" s="45">
        <v>8</v>
      </c>
      <c r="Z33" s="45">
        <v>8</v>
      </c>
      <c r="AA33" s="45">
        <v>8</v>
      </c>
      <c r="AB33" s="45">
        <v>8</v>
      </c>
      <c r="AC33" s="45">
        <v>8</v>
      </c>
      <c r="AD33" s="45">
        <v>8</v>
      </c>
      <c r="AE33" s="45">
        <v>8</v>
      </c>
      <c r="AF33" s="45">
        <v>8</v>
      </c>
      <c r="AG33" s="51">
        <v>12</v>
      </c>
      <c r="AH33" s="48">
        <f t="shared" si="2"/>
        <v>8</v>
      </c>
      <c r="AI33" s="49">
        <f t="shared" si="3"/>
        <v>8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39</v>
      </c>
      <c r="B34" s="45">
        <v>12</v>
      </c>
      <c r="C34" s="45">
        <v>12</v>
      </c>
      <c r="D34" s="45">
        <v>12</v>
      </c>
      <c r="E34" s="45">
        <v>12</v>
      </c>
      <c r="F34" s="45">
        <v>12</v>
      </c>
      <c r="G34" s="45">
        <v>12</v>
      </c>
      <c r="H34" s="45">
        <v>12</v>
      </c>
      <c r="I34" s="45">
        <v>12</v>
      </c>
      <c r="J34" s="45">
        <v>12</v>
      </c>
      <c r="K34" s="45">
        <v>12</v>
      </c>
      <c r="L34" s="45">
        <v>12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>
        <v>12</v>
      </c>
      <c r="T34" s="45">
        <v>12</v>
      </c>
      <c r="U34" s="45">
        <v>12</v>
      </c>
      <c r="V34" s="45">
        <v>12</v>
      </c>
      <c r="W34" s="45">
        <v>12</v>
      </c>
      <c r="X34" s="45">
        <v>12</v>
      </c>
      <c r="Y34" s="45">
        <v>12</v>
      </c>
      <c r="Z34" s="45">
        <v>12</v>
      </c>
      <c r="AA34" s="45">
        <v>12</v>
      </c>
      <c r="AB34" s="45">
        <v>12</v>
      </c>
      <c r="AC34" s="45">
        <v>12</v>
      </c>
      <c r="AD34" s="45">
        <v>12</v>
      </c>
      <c r="AE34" s="45">
        <v>12</v>
      </c>
      <c r="AF34" s="45">
        <v>12</v>
      </c>
      <c r="AG34" s="51">
        <v>12</v>
      </c>
      <c r="AH34" s="48">
        <f t="shared" si="2"/>
        <v>12</v>
      </c>
      <c r="AI34" s="49">
        <f t="shared" si="3"/>
        <v>12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40</v>
      </c>
      <c r="B35" s="45">
        <v>7</v>
      </c>
      <c r="C35" s="45">
        <v>7</v>
      </c>
      <c r="D35" s="45">
        <v>7</v>
      </c>
      <c r="E35" s="45">
        <v>7</v>
      </c>
      <c r="F35" s="45">
        <v>7</v>
      </c>
      <c r="G35" s="45">
        <v>7</v>
      </c>
      <c r="H35" s="45">
        <v>7</v>
      </c>
      <c r="I35" s="45">
        <v>7</v>
      </c>
      <c r="J35" s="45">
        <v>7</v>
      </c>
      <c r="K35" s="45">
        <v>7</v>
      </c>
      <c r="L35" s="45">
        <v>7</v>
      </c>
      <c r="M35" s="45">
        <v>7</v>
      </c>
      <c r="N35" s="45">
        <v>7</v>
      </c>
      <c r="O35" s="45">
        <v>7</v>
      </c>
      <c r="P35" s="45">
        <v>7</v>
      </c>
      <c r="Q35" s="45">
        <v>7</v>
      </c>
      <c r="R35" s="45">
        <v>7</v>
      </c>
      <c r="S35" s="45">
        <v>7</v>
      </c>
      <c r="T35" s="45">
        <v>7</v>
      </c>
      <c r="U35" s="45">
        <v>7</v>
      </c>
      <c r="V35" s="45">
        <v>7</v>
      </c>
      <c r="W35" s="45">
        <v>7</v>
      </c>
      <c r="X35" s="45">
        <v>7</v>
      </c>
      <c r="Y35" s="45">
        <v>7</v>
      </c>
      <c r="Z35" s="45">
        <v>7</v>
      </c>
      <c r="AA35" s="45">
        <v>7</v>
      </c>
      <c r="AB35" s="45">
        <v>7</v>
      </c>
      <c r="AC35" s="45">
        <v>7</v>
      </c>
      <c r="AD35" s="45">
        <v>7</v>
      </c>
      <c r="AE35" s="45">
        <v>7</v>
      </c>
      <c r="AF35" s="45">
        <v>7</v>
      </c>
      <c r="AG35" s="51">
        <v>12</v>
      </c>
      <c r="AH35" s="48">
        <f t="shared" si="2"/>
        <v>7</v>
      </c>
      <c r="AI35" s="49">
        <f t="shared" si="3"/>
        <v>7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4.25" customHeight="1" x14ac:dyDescent="0.25">
      <c r="A36" s="44" t="s">
        <v>41</v>
      </c>
      <c r="B36" s="45">
        <v>6</v>
      </c>
      <c r="C36" s="45">
        <v>6</v>
      </c>
      <c r="D36" s="45">
        <v>6</v>
      </c>
      <c r="E36" s="45">
        <v>6</v>
      </c>
      <c r="F36" s="45">
        <v>6</v>
      </c>
      <c r="G36" s="45">
        <v>6</v>
      </c>
      <c r="H36" s="45">
        <v>6</v>
      </c>
      <c r="I36" s="45">
        <v>6</v>
      </c>
      <c r="J36" s="45">
        <v>6</v>
      </c>
      <c r="K36" s="45">
        <v>6</v>
      </c>
      <c r="L36" s="45">
        <v>6</v>
      </c>
      <c r="M36" s="45">
        <v>6</v>
      </c>
      <c r="N36" s="45">
        <v>6</v>
      </c>
      <c r="O36" s="45">
        <v>6</v>
      </c>
      <c r="P36" s="45">
        <v>6</v>
      </c>
      <c r="Q36" s="45">
        <v>6</v>
      </c>
      <c r="R36" s="45">
        <v>6</v>
      </c>
      <c r="S36" s="45">
        <v>6</v>
      </c>
      <c r="T36" s="45">
        <v>6</v>
      </c>
      <c r="U36" s="45">
        <v>6</v>
      </c>
      <c r="V36" s="45">
        <v>6</v>
      </c>
      <c r="W36" s="45">
        <v>6</v>
      </c>
      <c r="X36" s="45">
        <v>6</v>
      </c>
      <c r="Y36" s="45">
        <v>6</v>
      </c>
      <c r="Z36" s="45">
        <v>6</v>
      </c>
      <c r="AA36" s="45">
        <v>6</v>
      </c>
      <c r="AB36" s="45">
        <v>6</v>
      </c>
      <c r="AC36" s="45">
        <v>6</v>
      </c>
      <c r="AD36" s="45">
        <v>6</v>
      </c>
      <c r="AE36" s="45">
        <v>6</v>
      </c>
      <c r="AF36" s="45">
        <v>6</v>
      </c>
      <c r="AG36" s="53">
        <v>22</v>
      </c>
      <c r="AH36" s="48">
        <f t="shared" si="2"/>
        <v>6</v>
      </c>
      <c r="AI36" s="49">
        <f t="shared" si="3"/>
        <v>6</v>
      </c>
      <c r="AK36" s="50"/>
      <c r="AL36" s="28"/>
      <c r="AM36" s="24"/>
      <c r="AN36" s="24"/>
      <c r="AO36" s="24"/>
      <c r="AP36" s="24"/>
      <c r="AQ36" s="15"/>
      <c r="AR36" s="21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42</v>
      </c>
      <c r="B37" s="45">
        <v>5.2</v>
      </c>
      <c r="C37" s="45">
        <v>5.2</v>
      </c>
      <c r="D37" s="45">
        <v>5.2</v>
      </c>
      <c r="E37" s="45">
        <v>5.2</v>
      </c>
      <c r="F37" s="45">
        <v>5.2</v>
      </c>
      <c r="G37" s="45">
        <v>5.2</v>
      </c>
      <c r="H37" s="45">
        <v>5.2</v>
      </c>
      <c r="I37" s="45">
        <v>5.2</v>
      </c>
      <c r="J37" s="45">
        <v>5.2</v>
      </c>
      <c r="K37" s="45">
        <v>5.2</v>
      </c>
      <c r="L37" s="45">
        <v>5.2</v>
      </c>
      <c r="M37" s="45">
        <v>5.2</v>
      </c>
      <c r="N37" s="45">
        <v>5.2</v>
      </c>
      <c r="O37" s="45">
        <v>5.2</v>
      </c>
      <c r="P37" s="45">
        <v>5.2</v>
      </c>
      <c r="Q37" s="45">
        <v>5.2</v>
      </c>
      <c r="R37" s="45">
        <v>5.2</v>
      </c>
      <c r="S37" s="45">
        <v>5.2</v>
      </c>
      <c r="T37" s="45">
        <v>5.2</v>
      </c>
      <c r="U37" s="45">
        <v>5.2</v>
      </c>
      <c r="V37" s="45">
        <v>5.2</v>
      </c>
      <c r="W37" s="45">
        <v>5.2</v>
      </c>
      <c r="X37" s="45">
        <v>5.2</v>
      </c>
      <c r="Y37" s="45">
        <v>5.2</v>
      </c>
      <c r="Z37" s="45">
        <v>5.2</v>
      </c>
      <c r="AA37" s="45">
        <v>5.2</v>
      </c>
      <c r="AB37" s="45">
        <v>5.2</v>
      </c>
      <c r="AC37" s="45">
        <v>5.2</v>
      </c>
      <c r="AD37" s="45">
        <v>5.2</v>
      </c>
      <c r="AE37" s="45">
        <v>5.2</v>
      </c>
      <c r="AF37" s="45">
        <v>5.2</v>
      </c>
      <c r="AG37" s="52">
        <v>11.88</v>
      </c>
      <c r="AH37" s="48">
        <f t="shared" si="2"/>
        <v>5.2</v>
      </c>
      <c r="AI37" s="49">
        <f t="shared" si="3"/>
        <v>5.2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54" t="s">
        <v>43</v>
      </c>
      <c r="B38" s="45">
        <v>8.5</v>
      </c>
      <c r="C38" s="45">
        <v>8.5</v>
      </c>
      <c r="D38" s="45">
        <v>8.5</v>
      </c>
      <c r="E38" s="45">
        <v>8.5</v>
      </c>
      <c r="F38" s="45">
        <v>8.5</v>
      </c>
      <c r="G38" s="45">
        <v>8.5</v>
      </c>
      <c r="H38" s="45">
        <v>8.5</v>
      </c>
      <c r="I38" s="45">
        <v>8.5</v>
      </c>
      <c r="J38" s="45">
        <v>8.5</v>
      </c>
      <c r="K38" s="45">
        <v>8.5</v>
      </c>
      <c r="L38" s="45">
        <v>8.5</v>
      </c>
      <c r="M38" s="45">
        <v>8.5</v>
      </c>
      <c r="N38" s="45">
        <v>8.5</v>
      </c>
      <c r="O38" s="45">
        <v>8.5</v>
      </c>
      <c r="P38" s="45">
        <v>8.5</v>
      </c>
      <c r="Q38" s="45">
        <v>8.5</v>
      </c>
      <c r="R38" s="45">
        <v>8.5</v>
      </c>
      <c r="S38" s="45">
        <v>8.5</v>
      </c>
      <c r="T38" s="45">
        <v>8.5</v>
      </c>
      <c r="U38" s="45">
        <v>8.5</v>
      </c>
      <c r="V38" s="45">
        <v>8.5</v>
      </c>
      <c r="W38" s="45">
        <v>8.5</v>
      </c>
      <c r="X38" s="45">
        <v>8.5</v>
      </c>
      <c r="Y38" s="45">
        <v>8.5</v>
      </c>
      <c r="Z38" s="45">
        <v>8.5</v>
      </c>
      <c r="AA38" s="45">
        <v>8.5</v>
      </c>
      <c r="AB38" s="45">
        <v>8.5</v>
      </c>
      <c r="AC38" s="45">
        <v>8.5</v>
      </c>
      <c r="AD38" s="45">
        <v>8.5</v>
      </c>
      <c r="AE38" s="45">
        <v>8.5</v>
      </c>
      <c r="AF38" s="45">
        <v>8.5</v>
      </c>
      <c r="AG38" s="55">
        <v>11</v>
      </c>
      <c r="AH38" s="48">
        <f t="shared" si="2"/>
        <v>8.5</v>
      </c>
      <c r="AI38" s="49">
        <f t="shared" si="3"/>
        <v>8.5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44</v>
      </c>
      <c r="B39" s="45">
        <v>7</v>
      </c>
      <c r="C39" s="45">
        <v>7</v>
      </c>
      <c r="D39" s="45">
        <v>7</v>
      </c>
      <c r="E39" s="45">
        <v>7</v>
      </c>
      <c r="F39" s="45">
        <v>7</v>
      </c>
      <c r="G39" s="45">
        <v>7</v>
      </c>
      <c r="H39" s="45">
        <v>7</v>
      </c>
      <c r="I39" s="45">
        <v>7</v>
      </c>
      <c r="J39" s="45">
        <v>7</v>
      </c>
      <c r="K39" s="45">
        <v>7</v>
      </c>
      <c r="L39" s="45">
        <v>7</v>
      </c>
      <c r="M39" s="45">
        <v>7</v>
      </c>
      <c r="N39" s="45">
        <v>7</v>
      </c>
      <c r="O39" s="45">
        <v>7</v>
      </c>
      <c r="P39" s="45">
        <v>7</v>
      </c>
      <c r="Q39" s="45">
        <v>7</v>
      </c>
      <c r="R39" s="45">
        <v>7</v>
      </c>
      <c r="S39" s="45">
        <v>7</v>
      </c>
      <c r="T39" s="45">
        <v>7</v>
      </c>
      <c r="U39" s="45">
        <v>7</v>
      </c>
      <c r="V39" s="45">
        <v>7</v>
      </c>
      <c r="W39" s="45">
        <v>7</v>
      </c>
      <c r="X39" s="45">
        <v>7</v>
      </c>
      <c r="Y39" s="45">
        <v>7</v>
      </c>
      <c r="Z39" s="45">
        <v>7</v>
      </c>
      <c r="AA39" s="45">
        <v>7</v>
      </c>
      <c r="AB39" s="45">
        <v>7</v>
      </c>
      <c r="AC39" s="45">
        <v>7</v>
      </c>
      <c r="AD39" s="45">
        <v>7</v>
      </c>
      <c r="AE39" s="45">
        <v>7</v>
      </c>
      <c r="AF39" s="45">
        <v>7</v>
      </c>
      <c r="AG39" s="55">
        <v>10</v>
      </c>
      <c r="AH39" s="48">
        <f t="shared" si="2"/>
        <v>7</v>
      </c>
      <c r="AI39" s="49">
        <f t="shared" si="3"/>
        <v>7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x14ac:dyDescent="0.25">
      <c r="A40" s="54" t="s">
        <v>45</v>
      </c>
      <c r="B40" s="45">
        <v>0</v>
      </c>
      <c r="C40" s="45">
        <v>0</v>
      </c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2</v>
      </c>
      <c r="N40" s="45">
        <v>2</v>
      </c>
      <c r="O40" s="45">
        <v>2</v>
      </c>
      <c r="P40" s="45">
        <v>2</v>
      </c>
      <c r="Q40" s="45">
        <v>2</v>
      </c>
      <c r="R40" s="45">
        <v>2</v>
      </c>
      <c r="S40" s="45">
        <v>2</v>
      </c>
      <c r="T40" s="45">
        <v>2</v>
      </c>
      <c r="U40" s="45">
        <v>2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55">
        <v>10</v>
      </c>
      <c r="AH40" s="48">
        <f t="shared" si="2"/>
        <v>2</v>
      </c>
      <c r="AI40" s="49">
        <f t="shared" si="3"/>
        <v>0</v>
      </c>
      <c r="AK40" s="50"/>
      <c r="AL40" s="28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6" t="s">
        <v>46</v>
      </c>
      <c r="B41" s="57">
        <v>220</v>
      </c>
      <c r="C41" s="57">
        <v>220</v>
      </c>
      <c r="D41" s="57">
        <v>220</v>
      </c>
      <c r="E41" s="57">
        <v>220</v>
      </c>
      <c r="F41" s="57">
        <v>220</v>
      </c>
      <c r="G41" s="57">
        <v>220</v>
      </c>
      <c r="H41" s="57">
        <v>220</v>
      </c>
      <c r="I41" s="57">
        <v>220</v>
      </c>
      <c r="J41" s="57">
        <v>220</v>
      </c>
      <c r="K41" s="57">
        <v>220</v>
      </c>
      <c r="L41" s="57">
        <v>220</v>
      </c>
      <c r="M41" s="57">
        <v>220</v>
      </c>
      <c r="N41" s="57">
        <v>220</v>
      </c>
      <c r="O41" s="57">
        <v>220</v>
      </c>
      <c r="P41" s="57">
        <v>220</v>
      </c>
      <c r="Q41" s="57">
        <v>220</v>
      </c>
      <c r="R41" s="57">
        <v>220</v>
      </c>
      <c r="S41" s="57">
        <v>220</v>
      </c>
      <c r="T41" s="57">
        <v>220</v>
      </c>
      <c r="U41" s="57">
        <v>220</v>
      </c>
      <c r="V41" s="57">
        <v>220</v>
      </c>
      <c r="W41" s="57">
        <v>220</v>
      </c>
      <c r="X41" s="57">
        <v>220</v>
      </c>
      <c r="Y41" s="57">
        <v>220</v>
      </c>
      <c r="Z41" s="57">
        <v>220</v>
      </c>
      <c r="AA41" s="57">
        <v>220</v>
      </c>
      <c r="AB41" s="57">
        <v>220</v>
      </c>
      <c r="AC41" s="57">
        <v>220</v>
      </c>
      <c r="AD41" s="57">
        <v>220</v>
      </c>
      <c r="AE41" s="57">
        <v>220</v>
      </c>
      <c r="AF41" s="57">
        <v>220</v>
      </c>
      <c r="AG41" s="55">
        <v>85</v>
      </c>
      <c r="AH41" s="48">
        <f t="shared" si="2"/>
        <v>220</v>
      </c>
      <c r="AI41" s="49">
        <f t="shared" si="3"/>
        <v>220</v>
      </c>
      <c r="AK41" s="50"/>
    </row>
    <row r="42" spans="1:88" ht="15.75" thickBot="1" x14ac:dyDescent="0.3">
      <c r="A42" s="58" t="s">
        <v>47</v>
      </c>
      <c r="B42" s="59">
        <v>74.2</v>
      </c>
      <c r="C42" s="59">
        <v>72.599999999999994</v>
      </c>
      <c r="D42" s="59">
        <v>71.900000000000006</v>
      </c>
      <c r="E42" s="59">
        <v>73</v>
      </c>
      <c r="F42" s="59">
        <v>73</v>
      </c>
      <c r="G42" s="59">
        <f>35.3+37.4</f>
        <v>72.699999999999989</v>
      </c>
      <c r="H42" s="59">
        <f>35.3+37.4</f>
        <v>72.699999999999989</v>
      </c>
      <c r="I42" s="59">
        <f>35.3+37.4</f>
        <v>72.699999999999989</v>
      </c>
      <c r="J42" s="59">
        <f>35+34</f>
        <v>69</v>
      </c>
      <c r="K42" s="59">
        <f>34.9+33.9</f>
        <v>68.8</v>
      </c>
      <c r="L42" s="59">
        <f>34.5+34.7</f>
        <v>69.2</v>
      </c>
      <c r="M42" s="57">
        <v>70</v>
      </c>
      <c r="N42" s="57">
        <v>70</v>
      </c>
      <c r="O42" s="57">
        <f>34.6+37.6</f>
        <v>72.2</v>
      </c>
      <c r="P42" s="57">
        <v>71</v>
      </c>
      <c r="Q42" s="57">
        <f>35+32</f>
        <v>67</v>
      </c>
      <c r="R42" s="57">
        <f>35+34</f>
        <v>69</v>
      </c>
      <c r="S42" s="59">
        <f>38+34</f>
        <v>72</v>
      </c>
      <c r="T42" s="59">
        <f>34.7+35.1</f>
        <v>69.800000000000011</v>
      </c>
      <c r="U42" s="59">
        <f>33.9+34.4</f>
        <v>68.3</v>
      </c>
      <c r="V42" s="59">
        <v>69.3</v>
      </c>
      <c r="W42" s="59">
        <v>70</v>
      </c>
      <c r="X42" s="59">
        <v>61.2</v>
      </c>
      <c r="Y42" s="59">
        <v>60</v>
      </c>
      <c r="Z42" s="59">
        <v>61.6</v>
      </c>
      <c r="AA42" s="59">
        <v>61</v>
      </c>
      <c r="AB42" s="59">
        <v>61</v>
      </c>
      <c r="AC42" s="59">
        <v>61</v>
      </c>
      <c r="AD42" s="59">
        <v>66.400000000000006</v>
      </c>
      <c r="AE42" s="59">
        <v>66.400000000000006</v>
      </c>
      <c r="AF42" s="59">
        <v>66.400000000000006</v>
      </c>
      <c r="AG42" s="55">
        <v>240</v>
      </c>
      <c r="AH42" s="48">
        <f t="shared" si="2"/>
        <v>74.2</v>
      </c>
      <c r="AI42" s="49">
        <f t="shared" si="3"/>
        <v>60</v>
      </c>
      <c r="AK42" s="50"/>
    </row>
    <row r="43" spans="1:88" ht="15.75" thickBot="1" x14ac:dyDescent="0.3">
      <c r="A43" s="60" t="s">
        <v>48</v>
      </c>
      <c r="B43" s="61">
        <f t="shared" ref="B43:AG43" si="4">SUM(B11:B41)</f>
        <v>619.1</v>
      </c>
      <c r="C43" s="61">
        <f t="shared" si="4"/>
        <v>619.1</v>
      </c>
      <c r="D43" s="61">
        <f t="shared" si="4"/>
        <v>619.1</v>
      </c>
      <c r="E43" s="61">
        <f t="shared" si="4"/>
        <v>619.1</v>
      </c>
      <c r="F43" s="61">
        <f t="shared" si="4"/>
        <v>619.1</v>
      </c>
      <c r="G43" s="61">
        <f t="shared" si="4"/>
        <v>616.30000000000007</v>
      </c>
      <c r="H43" s="61">
        <f t="shared" si="4"/>
        <v>616.30000000000007</v>
      </c>
      <c r="I43" s="61">
        <f t="shared" si="4"/>
        <v>616.30000000000007</v>
      </c>
      <c r="J43" s="61">
        <f t="shared" si="4"/>
        <v>616.30000000000007</v>
      </c>
      <c r="K43" s="61">
        <f t="shared" si="4"/>
        <v>616.30000000000007</v>
      </c>
      <c r="L43" s="61">
        <f t="shared" si="4"/>
        <v>616.30000000000007</v>
      </c>
      <c r="M43" s="61">
        <f t="shared" si="4"/>
        <v>618.30000000000007</v>
      </c>
      <c r="N43" s="61">
        <f t="shared" si="4"/>
        <v>618.30000000000007</v>
      </c>
      <c r="O43" s="61">
        <f t="shared" si="4"/>
        <v>618.30000000000007</v>
      </c>
      <c r="P43" s="61">
        <f t="shared" si="4"/>
        <v>618.30000000000007</v>
      </c>
      <c r="Q43" s="61">
        <f t="shared" si="4"/>
        <v>618.30000000000007</v>
      </c>
      <c r="R43" s="61">
        <f t="shared" si="4"/>
        <v>618.30000000000007</v>
      </c>
      <c r="S43" s="61">
        <f t="shared" si="4"/>
        <v>618.30000000000007</v>
      </c>
      <c r="T43" s="61">
        <f t="shared" si="4"/>
        <v>618.30000000000007</v>
      </c>
      <c r="U43" s="61">
        <f t="shared" si="4"/>
        <v>618.30000000000007</v>
      </c>
      <c r="V43" s="61">
        <f t="shared" si="4"/>
        <v>615.5</v>
      </c>
      <c r="W43" s="61">
        <f t="shared" si="4"/>
        <v>615.5</v>
      </c>
      <c r="X43" s="61">
        <f t="shared" si="4"/>
        <v>617.5</v>
      </c>
      <c r="Y43" s="61">
        <f t="shared" si="4"/>
        <v>617.5</v>
      </c>
      <c r="Z43" s="61">
        <f t="shared" si="4"/>
        <v>618.20000000000005</v>
      </c>
      <c r="AA43" s="61">
        <f t="shared" si="4"/>
        <v>618.5</v>
      </c>
      <c r="AB43" s="61">
        <f t="shared" si="4"/>
        <v>618.5</v>
      </c>
      <c r="AC43" s="61">
        <f t="shared" si="4"/>
        <v>620.9</v>
      </c>
      <c r="AD43" s="61">
        <f t="shared" si="4"/>
        <v>620.9</v>
      </c>
      <c r="AE43" s="61">
        <f t="shared" si="4"/>
        <v>620.9</v>
      </c>
      <c r="AF43" s="61">
        <f t="shared" si="4"/>
        <v>618.20000000000005</v>
      </c>
      <c r="AG43" s="62">
        <f t="shared" si="4"/>
        <v>796.78000000000009</v>
      </c>
      <c r="AH43" s="48">
        <f t="shared" si="2"/>
        <v>620.9</v>
      </c>
      <c r="AI43" s="49">
        <f t="shared" si="3"/>
        <v>615.5</v>
      </c>
      <c r="AK43" s="50"/>
    </row>
    <row r="44" spans="1:88" x14ac:dyDescent="0.25">
      <c r="A44" s="63" t="s">
        <v>49</v>
      </c>
      <c r="B44" s="45">
        <v>70</v>
      </c>
      <c r="C44" s="45">
        <v>70</v>
      </c>
      <c r="D44" s="45">
        <v>60</v>
      </c>
      <c r="E44" s="45">
        <v>50</v>
      </c>
      <c r="F44" s="45">
        <v>40</v>
      </c>
      <c r="G44" s="45">
        <v>76</v>
      </c>
      <c r="H44" s="45">
        <v>120</v>
      </c>
      <c r="I44" s="45">
        <v>150</v>
      </c>
      <c r="J44" s="45">
        <v>250</v>
      </c>
      <c r="K44" s="45">
        <v>380</v>
      </c>
      <c r="L44" s="45">
        <v>400</v>
      </c>
      <c r="M44" s="45">
        <v>400</v>
      </c>
      <c r="N44" s="45">
        <v>360</v>
      </c>
      <c r="O44" s="45">
        <v>100</v>
      </c>
      <c r="P44" s="45">
        <v>140</v>
      </c>
      <c r="Q44" s="45">
        <v>130</v>
      </c>
      <c r="R44" s="45">
        <v>55</v>
      </c>
      <c r="S44" s="45">
        <v>35</v>
      </c>
      <c r="T44" s="45">
        <v>59.9</v>
      </c>
      <c r="U44" s="45">
        <v>100</v>
      </c>
      <c r="V44" s="45">
        <v>125</v>
      </c>
      <c r="W44" s="45">
        <v>380</v>
      </c>
      <c r="X44" s="45">
        <v>456</v>
      </c>
      <c r="Y44" s="45">
        <v>436</v>
      </c>
      <c r="Z44" s="45">
        <v>250</v>
      </c>
      <c r="AA44" s="45">
        <v>150</v>
      </c>
      <c r="AB44" s="45">
        <v>152</v>
      </c>
      <c r="AC44" s="45">
        <v>152</v>
      </c>
      <c r="AD44" s="45">
        <v>152</v>
      </c>
      <c r="AE44" s="45">
        <v>140</v>
      </c>
      <c r="AF44" s="45">
        <v>120</v>
      </c>
      <c r="AG44" s="52">
        <v>456</v>
      </c>
      <c r="AH44" s="48">
        <f t="shared" si="2"/>
        <v>456</v>
      </c>
      <c r="AI44" s="49">
        <f t="shared" si="3"/>
        <v>35</v>
      </c>
      <c r="AK44" s="50"/>
    </row>
    <row r="45" spans="1:88" x14ac:dyDescent="0.25">
      <c r="A45" s="64" t="s">
        <v>50</v>
      </c>
      <c r="B45" s="65">
        <v>46</v>
      </c>
      <c r="C45" s="65">
        <v>46</v>
      </c>
      <c r="D45" s="65">
        <v>46</v>
      </c>
      <c r="E45" s="65">
        <v>46</v>
      </c>
      <c r="F45" s="65">
        <v>46</v>
      </c>
      <c r="G45" s="65">
        <v>46</v>
      </c>
      <c r="H45" s="65">
        <v>46</v>
      </c>
      <c r="I45" s="65">
        <v>46</v>
      </c>
      <c r="J45" s="65">
        <v>46</v>
      </c>
      <c r="K45" s="65">
        <v>46</v>
      </c>
      <c r="L45" s="65">
        <v>46</v>
      </c>
      <c r="M45" s="65">
        <v>46</v>
      </c>
      <c r="N45" s="65">
        <v>46</v>
      </c>
      <c r="O45" s="65">
        <v>46</v>
      </c>
      <c r="P45" s="65">
        <v>46</v>
      </c>
      <c r="Q45" s="65">
        <v>46</v>
      </c>
      <c r="R45" s="65">
        <v>46</v>
      </c>
      <c r="S45" s="65">
        <v>46</v>
      </c>
      <c r="T45" s="65">
        <v>51</v>
      </c>
      <c r="U45" s="65">
        <v>49</v>
      </c>
      <c r="V45" s="65">
        <v>49</v>
      </c>
      <c r="W45" s="65">
        <v>50</v>
      </c>
      <c r="X45" s="65">
        <v>51</v>
      </c>
      <c r="Y45" s="65">
        <v>50</v>
      </c>
      <c r="Z45" s="65">
        <v>50</v>
      </c>
      <c r="AA45" s="65">
        <v>51</v>
      </c>
      <c r="AB45" s="65">
        <v>51</v>
      </c>
      <c r="AC45" s="65">
        <v>51</v>
      </c>
      <c r="AD45" s="65">
        <v>51</v>
      </c>
      <c r="AE45" s="65">
        <v>51</v>
      </c>
      <c r="AF45" s="65">
        <v>51</v>
      </c>
      <c r="AG45" s="55">
        <v>60</v>
      </c>
      <c r="AH45" s="48">
        <f t="shared" si="2"/>
        <v>51</v>
      </c>
      <c r="AI45" s="49">
        <f t="shared" si="3"/>
        <v>46</v>
      </c>
      <c r="AK45" s="50"/>
    </row>
    <row r="46" spans="1:88" ht="15.75" thickBot="1" x14ac:dyDescent="0.3">
      <c r="A46" s="66" t="s">
        <v>51</v>
      </c>
      <c r="B46" s="67">
        <v>21.7</v>
      </c>
      <c r="C46" s="67">
        <v>21.7</v>
      </c>
      <c r="D46" s="67">
        <v>21.7</v>
      </c>
      <c r="E46" s="67">
        <v>21.7</v>
      </c>
      <c r="F46" s="67">
        <v>21.7</v>
      </c>
      <c r="G46" s="67">
        <v>21.7</v>
      </c>
      <c r="H46" s="67">
        <v>21.7</v>
      </c>
      <c r="I46" s="67">
        <v>21.7</v>
      </c>
      <c r="J46" s="67">
        <v>21.7</v>
      </c>
      <c r="K46" s="67">
        <v>20</v>
      </c>
      <c r="L46" s="67">
        <v>19</v>
      </c>
      <c r="M46" s="67">
        <v>19.7</v>
      </c>
      <c r="N46" s="67">
        <v>19.7</v>
      </c>
      <c r="O46" s="67">
        <v>19.7</v>
      </c>
      <c r="P46" s="67">
        <v>19.600000000000001</v>
      </c>
      <c r="Q46" s="67">
        <v>14.1</v>
      </c>
      <c r="R46" s="67">
        <v>14.1</v>
      </c>
      <c r="S46" s="67">
        <v>19.399999999999999</v>
      </c>
      <c r="T46" s="67">
        <v>19.399999999999999</v>
      </c>
      <c r="U46" s="67">
        <v>19.399999999999999</v>
      </c>
      <c r="V46" s="67">
        <v>19.399999999999999</v>
      </c>
      <c r="W46" s="67">
        <v>19.600000000000001</v>
      </c>
      <c r="X46" s="67">
        <v>21.2</v>
      </c>
      <c r="Y46" s="67">
        <v>21.8</v>
      </c>
      <c r="Z46" s="67">
        <v>21</v>
      </c>
      <c r="AA46" s="67">
        <v>21.8</v>
      </c>
      <c r="AB46" s="67">
        <v>21.8</v>
      </c>
      <c r="AC46" s="67">
        <v>21.8</v>
      </c>
      <c r="AD46" s="67">
        <v>21.8</v>
      </c>
      <c r="AE46" s="67">
        <v>21.8</v>
      </c>
      <c r="AF46" s="67">
        <v>21.8</v>
      </c>
      <c r="AG46" s="68">
        <v>22.1</v>
      </c>
      <c r="AH46" s="48">
        <f t="shared" si="2"/>
        <v>21.8</v>
      </c>
      <c r="AI46" s="49">
        <f t="shared" si="3"/>
        <v>14.1</v>
      </c>
      <c r="AK46" s="50"/>
    </row>
    <row r="47" spans="1:88" ht="15.75" thickBot="1" x14ac:dyDescent="0.3">
      <c r="A47" s="69" t="s">
        <v>52</v>
      </c>
      <c r="B47" s="61">
        <f t="shared" ref="B47" si="5">SUM(B44:B46)</f>
        <v>137.69999999999999</v>
      </c>
      <c r="C47" s="61">
        <f t="shared" ref="C47:AG47" si="6">SUM(C44:C46)</f>
        <v>137.69999999999999</v>
      </c>
      <c r="D47" s="61">
        <f t="shared" si="6"/>
        <v>127.7</v>
      </c>
      <c r="E47" s="61">
        <f t="shared" si="6"/>
        <v>117.7</v>
      </c>
      <c r="F47" s="61">
        <f t="shared" si="6"/>
        <v>107.7</v>
      </c>
      <c r="G47" s="61">
        <f t="shared" si="6"/>
        <v>143.69999999999999</v>
      </c>
      <c r="H47" s="61">
        <f t="shared" si="6"/>
        <v>187.7</v>
      </c>
      <c r="I47" s="61">
        <f t="shared" si="6"/>
        <v>217.7</v>
      </c>
      <c r="J47" s="61">
        <f t="shared" si="6"/>
        <v>317.7</v>
      </c>
      <c r="K47" s="61">
        <f t="shared" si="6"/>
        <v>446</v>
      </c>
      <c r="L47" s="61">
        <f t="shared" si="6"/>
        <v>465</v>
      </c>
      <c r="M47" s="61">
        <f t="shared" si="6"/>
        <v>465.7</v>
      </c>
      <c r="N47" s="61">
        <f t="shared" si="6"/>
        <v>425.7</v>
      </c>
      <c r="O47" s="61">
        <f t="shared" si="6"/>
        <v>165.7</v>
      </c>
      <c r="P47" s="61">
        <f t="shared" si="6"/>
        <v>205.6</v>
      </c>
      <c r="Q47" s="61">
        <f t="shared" si="6"/>
        <v>190.1</v>
      </c>
      <c r="R47" s="61">
        <f t="shared" si="6"/>
        <v>115.1</v>
      </c>
      <c r="S47" s="61">
        <f t="shared" si="6"/>
        <v>100.4</v>
      </c>
      <c r="T47" s="61">
        <f t="shared" si="6"/>
        <v>130.30000000000001</v>
      </c>
      <c r="U47" s="61">
        <f t="shared" si="6"/>
        <v>168.4</v>
      </c>
      <c r="V47" s="61">
        <f t="shared" si="6"/>
        <v>193.4</v>
      </c>
      <c r="W47" s="61">
        <f t="shared" si="6"/>
        <v>449.6</v>
      </c>
      <c r="X47" s="61">
        <f t="shared" si="6"/>
        <v>528.20000000000005</v>
      </c>
      <c r="Y47" s="61">
        <f t="shared" si="6"/>
        <v>507.8</v>
      </c>
      <c r="Z47" s="61">
        <f t="shared" si="6"/>
        <v>321</v>
      </c>
      <c r="AA47" s="61">
        <f t="shared" si="6"/>
        <v>222.8</v>
      </c>
      <c r="AB47" s="61">
        <f t="shared" si="6"/>
        <v>224.8</v>
      </c>
      <c r="AC47" s="61">
        <f t="shared" si="6"/>
        <v>224.8</v>
      </c>
      <c r="AD47" s="61">
        <f t="shared" si="6"/>
        <v>224.8</v>
      </c>
      <c r="AE47" s="61">
        <f t="shared" si="6"/>
        <v>212.8</v>
      </c>
      <c r="AF47" s="61">
        <f t="shared" si="6"/>
        <v>192.8</v>
      </c>
      <c r="AG47" s="62">
        <f t="shared" si="6"/>
        <v>538.1</v>
      </c>
      <c r="AH47" s="48">
        <f t="shared" si="2"/>
        <v>528.20000000000005</v>
      </c>
      <c r="AI47" s="49">
        <f t="shared" si="3"/>
        <v>100.4</v>
      </c>
      <c r="AK47" s="50"/>
    </row>
    <row r="48" spans="1:88" x14ac:dyDescent="0.25">
      <c r="A48" s="44" t="s">
        <v>53</v>
      </c>
      <c r="B48" s="45">
        <v>78.2</v>
      </c>
      <c r="C48" s="45">
        <v>78.2</v>
      </c>
      <c r="D48" s="45">
        <v>50.9</v>
      </c>
      <c r="E48" s="45">
        <v>55.5</v>
      </c>
      <c r="F48" s="45">
        <v>48</v>
      </c>
      <c r="G48" s="45">
        <v>90</v>
      </c>
      <c r="H48" s="45">
        <v>110</v>
      </c>
      <c r="I48" s="45">
        <v>130</v>
      </c>
      <c r="J48" s="45">
        <v>140</v>
      </c>
      <c r="K48" s="45">
        <v>142.19999999999999</v>
      </c>
      <c r="L48" s="45">
        <v>142</v>
      </c>
      <c r="M48" s="45">
        <v>142</v>
      </c>
      <c r="N48" s="45">
        <v>142</v>
      </c>
      <c r="O48" s="45">
        <v>142</v>
      </c>
      <c r="P48" s="45">
        <v>141.5</v>
      </c>
      <c r="Q48" s="45">
        <v>122</v>
      </c>
      <c r="R48" s="45">
        <v>114</v>
      </c>
      <c r="S48" s="45">
        <v>111</v>
      </c>
      <c r="T48" s="45">
        <v>110.8</v>
      </c>
      <c r="U48" s="45">
        <v>100.9</v>
      </c>
      <c r="V48" s="45">
        <v>100</v>
      </c>
      <c r="W48" s="45">
        <v>141.30000000000001</v>
      </c>
      <c r="X48" s="45">
        <v>137.19999999999999</v>
      </c>
      <c r="Y48" s="45">
        <v>138</v>
      </c>
      <c r="Z48" s="45">
        <v>140.9</v>
      </c>
      <c r="AA48" s="45">
        <v>139.9</v>
      </c>
      <c r="AB48" s="45">
        <v>139.1</v>
      </c>
      <c r="AC48" s="45">
        <v>139</v>
      </c>
      <c r="AD48" s="45">
        <v>139</v>
      </c>
      <c r="AE48" s="45">
        <v>91</v>
      </c>
      <c r="AF48" s="45">
        <v>49</v>
      </c>
      <c r="AG48" s="52">
        <v>144</v>
      </c>
      <c r="AH48" s="48">
        <f t="shared" si="2"/>
        <v>142.19999999999999</v>
      </c>
      <c r="AI48" s="49">
        <f t="shared" si="3"/>
        <v>48</v>
      </c>
      <c r="AK48" s="50"/>
    </row>
    <row r="49" spans="1:41" x14ac:dyDescent="0.25">
      <c r="A49" s="54" t="s">
        <v>54</v>
      </c>
      <c r="B49" s="65">
        <v>35.4</v>
      </c>
      <c r="C49" s="65">
        <v>35.4</v>
      </c>
      <c r="D49" s="65">
        <v>35.5</v>
      </c>
      <c r="E49" s="65">
        <v>35.5</v>
      </c>
      <c r="F49" s="65">
        <v>24.2</v>
      </c>
      <c r="G49" s="65">
        <v>44.1</v>
      </c>
      <c r="H49" s="65">
        <v>60</v>
      </c>
      <c r="I49" s="65">
        <v>59.5</v>
      </c>
      <c r="J49" s="65">
        <v>59.5</v>
      </c>
      <c r="K49" s="65">
        <v>71.099999999999994</v>
      </c>
      <c r="L49" s="65">
        <v>70.099999999999994</v>
      </c>
      <c r="M49" s="65">
        <v>69.900000000000006</v>
      </c>
      <c r="N49" s="65">
        <v>69.900000000000006</v>
      </c>
      <c r="O49" s="65">
        <v>69.900000000000006</v>
      </c>
      <c r="P49" s="45">
        <v>50</v>
      </c>
      <c r="Q49" s="45">
        <v>49</v>
      </c>
      <c r="R49" s="45">
        <v>36.1</v>
      </c>
      <c r="S49" s="45">
        <v>36.1</v>
      </c>
      <c r="T49" s="65">
        <v>36.1</v>
      </c>
      <c r="U49" s="65">
        <v>60.6</v>
      </c>
      <c r="V49" s="65">
        <v>60</v>
      </c>
      <c r="W49" s="65">
        <v>70.099999999999994</v>
      </c>
      <c r="X49" s="65">
        <v>70</v>
      </c>
      <c r="Y49" s="65">
        <v>70.599999999999994</v>
      </c>
      <c r="Z49" s="65">
        <v>70</v>
      </c>
      <c r="AA49" s="65">
        <v>72.099999999999994</v>
      </c>
      <c r="AB49" s="65">
        <v>69.8</v>
      </c>
      <c r="AC49" s="65">
        <v>69.8</v>
      </c>
      <c r="AD49" s="65">
        <v>69.8</v>
      </c>
      <c r="AE49" s="65">
        <v>50</v>
      </c>
      <c r="AF49" s="65">
        <v>51.9</v>
      </c>
      <c r="AG49" s="55">
        <v>70</v>
      </c>
      <c r="AH49" s="48">
        <f t="shared" si="2"/>
        <v>72.099999999999994</v>
      </c>
      <c r="AI49" s="49">
        <f t="shared" si="3"/>
        <v>24.2</v>
      </c>
      <c r="AK49" s="50"/>
    </row>
    <row r="50" spans="1:41" x14ac:dyDescent="0.25">
      <c r="A50" s="54" t="s">
        <v>55</v>
      </c>
      <c r="B50" s="65">
        <v>69.3</v>
      </c>
      <c r="C50" s="65">
        <v>69.3</v>
      </c>
      <c r="D50" s="65">
        <v>68.5</v>
      </c>
      <c r="E50" s="65">
        <v>68.5</v>
      </c>
      <c r="F50" s="65">
        <v>68</v>
      </c>
      <c r="G50" s="65">
        <v>68</v>
      </c>
      <c r="H50" s="65">
        <v>68</v>
      </c>
      <c r="I50" s="65">
        <v>67.5</v>
      </c>
      <c r="J50" s="65">
        <v>67.5</v>
      </c>
      <c r="K50" s="65">
        <v>67.2</v>
      </c>
      <c r="L50" s="65">
        <v>68.2</v>
      </c>
      <c r="M50" s="65">
        <v>58.4</v>
      </c>
      <c r="N50" s="65">
        <v>58.4</v>
      </c>
      <c r="O50" s="65">
        <v>58.4</v>
      </c>
      <c r="P50" s="45">
        <v>46.8</v>
      </c>
      <c r="Q50" s="45">
        <v>46</v>
      </c>
      <c r="R50" s="45">
        <v>67</v>
      </c>
      <c r="S50" s="45">
        <v>67</v>
      </c>
      <c r="T50" s="65">
        <v>68</v>
      </c>
      <c r="U50" s="65">
        <v>68.5</v>
      </c>
      <c r="V50" s="65">
        <v>68</v>
      </c>
      <c r="W50" s="65">
        <v>52</v>
      </c>
      <c r="X50" s="65">
        <v>67.599999999999994</v>
      </c>
      <c r="Y50" s="65">
        <v>65</v>
      </c>
      <c r="Z50" s="65">
        <v>67.599999999999994</v>
      </c>
      <c r="AA50" s="65">
        <v>67.599999999999994</v>
      </c>
      <c r="AB50" s="65">
        <v>59.6</v>
      </c>
      <c r="AC50" s="65">
        <v>59.6</v>
      </c>
      <c r="AD50" s="65">
        <v>63</v>
      </c>
      <c r="AE50" s="65">
        <v>52</v>
      </c>
      <c r="AF50" s="65">
        <v>63</v>
      </c>
      <c r="AG50" s="55">
        <v>69</v>
      </c>
      <c r="AH50" s="48">
        <f t="shared" si="2"/>
        <v>69.3</v>
      </c>
      <c r="AI50" s="49">
        <f t="shared" si="3"/>
        <v>46</v>
      </c>
      <c r="AK50" s="50"/>
    </row>
    <row r="51" spans="1:41" x14ac:dyDescent="0.25">
      <c r="A51" s="54" t="s">
        <v>56</v>
      </c>
      <c r="B51" s="57">
        <v>61.2</v>
      </c>
      <c r="C51" s="57">
        <v>61.2</v>
      </c>
      <c r="D51" s="57">
        <v>61.2</v>
      </c>
      <c r="E51" s="57">
        <v>61.2</v>
      </c>
      <c r="F51" s="57">
        <v>61.2</v>
      </c>
      <c r="G51" s="57">
        <v>61.2</v>
      </c>
      <c r="H51" s="57">
        <v>61.2</v>
      </c>
      <c r="I51" s="57">
        <v>61.2</v>
      </c>
      <c r="J51" s="57">
        <v>61.2</v>
      </c>
      <c r="K51" s="57">
        <v>61.2</v>
      </c>
      <c r="L51" s="57">
        <v>61.2</v>
      </c>
      <c r="M51" s="65">
        <v>61</v>
      </c>
      <c r="N51" s="65">
        <v>61</v>
      </c>
      <c r="O51" s="65">
        <v>61</v>
      </c>
      <c r="P51" s="45">
        <v>61</v>
      </c>
      <c r="Q51" s="45">
        <v>61</v>
      </c>
      <c r="R51" s="45">
        <v>61</v>
      </c>
      <c r="S51" s="45">
        <v>61</v>
      </c>
      <c r="T51" s="45">
        <v>61</v>
      </c>
      <c r="U51" s="45">
        <v>61</v>
      </c>
      <c r="V51" s="65">
        <v>60.999000000000002</v>
      </c>
      <c r="W51" s="65">
        <v>61</v>
      </c>
      <c r="X51" s="65">
        <v>60</v>
      </c>
      <c r="Y51" s="65">
        <v>60.999000000000002</v>
      </c>
      <c r="Z51" s="65">
        <v>60.999000000000002</v>
      </c>
      <c r="AA51" s="65">
        <v>61</v>
      </c>
      <c r="AB51" s="57">
        <v>61</v>
      </c>
      <c r="AC51" s="57">
        <v>61</v>
      </c>
      <c r="AD51" s="57">
        <v>61</v>
      </c>
      <c r="AE51" s="57">
        <v>61</v>
      </c>
      <c r="AF51" s="57">
        <v>61</v>
      </c>
      <c r="AG51" s="55">
        <v>60</v>
      </c>
      <c r="AH51" s="48">
        <f t="shared" si="2"/>
        <v>61.2</v>
      </c>
      <c r="AI51" s="49">
        <f t="shared" si="3"/>
        <v>60</v>
      </c>
      <c r="AK51" s="50"/>
    </row>
    <row r="52" spans="1:41" x14ac:dyDescent="0.25">
      <c r="A52" s="54" t="s">
        <v>57</v>
      </c>
      <c r="B52" s="57">
        <v>0</v>
      </c>
      <c r="C52" s="57">
        <v>0</v>
      </c>
      <c r="D52" s="57">
        <v>0</v>
      </c>
      <c r="E52" s="57">
        <v>0</v>
      </c>
      <c r="F52" s="57">
        <v>0</v>
      </c>
      <c r="G52" s="57">
        <v>0</v>
      </c>
      <c r="H52" s="57">
        <v>0</v>
      </c>
      <c r="I52" s="57">
        <v>0</v>
      </c>
      <c r="J52" s="57">
        <v>0</v>
      </c>
      <c r="K52" s="57">
        <v>0</v>
      </c>
      <c r="L52" s="57">
        <v>0</v>
      </c>
      <c r="M52" s="65">
        <v>29</v>
      </c>
      <c r="N52" s="65">
        <v>29</v>
      </c>
      <c r="O52" s="65">
        <v>29</v>
      </c>
      <c r="P52" s="65">
        <v>29</v>
      </c>
      <c r="Q52" s="45">
        <v>13.4</v>
      </c>
      <c r="R52" s="45">
        <v>0</v>
      </c>
      <c r="S52" s="45">
        <v>0</v>
      </c>
      <c r="T52" s="45">
        <v>0</v>
      </c>
      <c r="U52" s="45">
        <v>0</v>
      </c>
      <c r="V52" s="65">
        <v>0</v>
      </c>
      <c r="W52" s="65">
        <v>15</v>
      </c>
      <c r="X52" s="65">
        <v>29.1</v>
      </c>
      <c r="Y52" s="65">
        <v>29.4</v>
      </c>
      <c r="Z52" s="65">
        <v>29</v>
      </c>
      <c r="AA52" s="65">
        <v>29.7</v>
      </c>
      <c r="AB52" s="57">
        <v>29.6</v>
      </c>
      <c r="AC52" s="57">
        <v>29.6</v>
      </c>
      <c r="AD52" s="57">
        <v>25</v>
      </c>
      <c r="AE52" s="57">
        <v>25</v>
      </c>
      <c r="AF52" s="57">
        <v>14</v>
      </c>
      <c r="AG52" s="55">
        <v>30</v>
      </c>
      <c r="AH52" s="48">
        <f t="shared" si="2"/>
        <v>29.7</v>
      </c>
      <c r="AI52" s="49">
        <f t="shared" si="3"/>
        <v>0</v>
      </c>
      <c r="AK52" s="50"/>
    </row>
    <row r="53" spans="1:41" x14ac:dyDescent="0.25">
      <c r="A53" s="54" t="s">
        <v>58</v>
      </c>
      <c r="B53" s="45">
        <v>0</v>
      </c>
      <c r="C53" s="45">
        <v>0</v>
      </c>
      <c r="D53" s="45">
        <v>0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65">
        <v>0</v>
      </c>
      <c r="L53" s="65">
        <v>0</v>
      </c>
      <c r="M53" s="65">
        <v>10</v>
      </c>
      <c r="N53" s="65">
        <v>10</v>
      </c>
      <c r="O53" s="65">
        <v>10</v>
      </c>
      <c r="P53" s="65">
        <v>10</v>
      </c>
      <c r="Q53" s="65">
        <v>10</v>
      </c>
      <c r="R53" s="65">
        <v>10</v>
      </c>
      <c r="S53" s="65">
        <v>10</v>
      </c>
      <c r="T53" s="65">
        <v>10</v>
      </c>
      <c r="U53" s="65">
        <v>10</v>
      </c>
      <c r="V53" s="45">
        <v>5</v>
      </c>
      <c r="W53" s="45">
        <v>0</v>
      </c>
      <c r="X53" s="45">
        <v>0</v>
      </c>
      <c r="Y53" s="45">
        <v>0</v>
      </c>
      <c r="Z53" s="45">
        <v>0</v>
      </c>
      <c r="AA53" s="4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5">
        <v>25</v>
      </c>
      <c r="AH53" s="48">
        <f t="shared" si="2"/>
        <v>10</v>
      </c>
      <c r="AI53" s="49">
        <f t="shared" si="3"/>
        <v>0</v>
      </c>
      <c r="AK53" s="50"/>
    </row>
    <row r="54" spans="1:41" x14ac:dyDescent="0.25">
      <c r="A54" s="54" t="s">
        <v>59</v>
      </c>
      <c r="B54" s="45">
        <v>17.3</v>
      </c>
      <c r="C54" s="45">
        <v>17.3</v>
      </c>
      <c r="D54" s="45">
        <v>17.3</v>
      </c>
      <c r="E54" s="45">
        <v>17.3</v>
      </c>
      <c r="F54" s="45">
        <v>17.3</v>
      </c>
      <c r="G54" s="45">
        <v>17.3</v>
      </c>
      <c r="H54" s="45">
        <v>17.3</v>
      </c>
      <c r="I54" s="45">
        <v>17.3</v>
      </c>
      <c r="J54" s="45">
        <v>17.3</v>
      </c>
      <c r="K54" s="45">
        <v>17.3</v>
      </c>
      <c r="L54" s="45">
        <v>17.3</v>
      </c>
      <c r="M54" s="65">
        <v>17.3</v>
      </c>
      <c r="N54" s="65">
        <v>17.3</v>
      </c>
      <c r="O54" s="65">
        <v>17.3</v>
      </c>
      <c r="P54" s="65">
        <v>17.3</v>
      </c>
      <c r="Q54" s="65">
        <v>17.3</v>
      </c>
      <c r="R54" s="65">
        <v>17.3</v>
      </c>
      <c r="S54" s="65">
        <v>17.3</v>
      </c>
      <c r="T54" s="65">
        <v>17.3</v>
      </c>
      <c r="U54" s="65">
        <v>17.3</v>
      </c>
      <c r="V54" s="45">
        <v>17.3</v>
      </c>
      <c r="W54" s="45">
        <v>17.3</v>
      </c>
      <c r="X54" s="45">
        <v>17.5</v>
      </c>
      <c r="Y54" s="45">
        <v>17.5</v>
      </c>
      <c r="Z54" s="45">
        <v>17.5</v>
      </c>
      <c r="AA54" s="45">
        <v>17.3</v>
      </c>
      <c r="AB54" s="45">
        <v>17.3</v>
      </c>
      <c r="AC54" s="45">
        <v>17.3</v>
      </c>
      <c r="AD54" s="45">
        <v>17.3</v>
      </c>
      <c r="AE54" s="45">
        <v>17.3</v>
      </c>
      <c r="AF54" s="45">
        <v>17.3</v>
      </c>
      <c r="AG54" s="55">
        <v>24</v>
      </c>
      <c r="AH54" s="48">
        <f t="shared" si="2"/>
        <v>17.5</v>
      </c>
      <c r="AI54" s="49">
        <f t="shared" si="3"/>
        <v>17.3</v>
      </c>
      <c r="AK54" s="50"/>
    </row>
    <row r="55" spans="1:41" x14ac:dyDescent="0.25">
      <c r="A55" s="54" t="s">
        <v>60</v>
      </c>
      <c r="B55" s="65">
        <v>0</v>
      </c>
      <c r="C55" s="65">
        <v>0</v>
      </c>
      <c r="D55" s="65">
        <v>0</v>
      </c>
      <c r="E55" s="65">
        <v>0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0</v>
      </c>
      <c r="AD55" s="65">
        <v>0</v>
      </c>
      <c r="AE55" s="65">
        <v>0</v>
      </c>
      <c r="AF55" s="65">
        <v>0</v>
      </c>
      <c r="AG55" s="55">
        <v>15</v>
      </c>
      <c r="AH55" s="48">
        <f t="shared" si="2"/>
        <v>0</v>
      </c>
      <c r="AI55" s="49">
        <f t="shared" si="3"/>
        <v>0</v>
      </c>
      <c r="AK55" s="50"/>
      <c r="AL55" s="70"/>
      <c r="AO55" s="70"/>
    </row>
    <row r="56" spans="1:41" s="70" customFormat="1" x14ac:dyDescent="0.25">
      <c r="A56" s="54" t="s">
        <v>61</v>
      </c>
      <c r="B56" s="65">
        <v>14.2</v>
      </c>
      <c r="C56" s="65">
        <v>14.2</v>
      </c>
      <c r="D56" s="65">
        <v>14.2</v>
      </c>
      <c r="E56" s="65">
        <v>14.2</v>
      </c>
      <c r="F56" s="65">
        <v>14.2</v>
      </c>
      <c r="G56" s="65">
        <v>14.2</v>
      </c>
      <c r="H56" s="65">
        <v>14.2</v>
      </c>
      <c r="I56" s="65">
        <v>14.2</v>
      </c>
      <c r="J56" s="65">
        <v>14.2</v>
      </c>
      <c r="K56" s="65">
        <v>14.2</v>
      </c>
      <c r="L56" s="65">
        <v>14.2</v>
      </c>
      <c r="M56" s="65">
        <v>14.2</v>
      </c>
      <c r="N56" s="65">
        <v>14.2</v>
      </c>
      <c r="O56" s="65">
        <v>14.2</v>
      </c>
      <c r="P56" s="65">
        <v>14.2</v>
      </c>
      <c r="Q56" s="65">
        <v>14.2</v>
      </c>
      <c r="R56" s="65">
        <v>14.2</v>
      </c>
      <c r="S56" s="65">
        <v>14.2</v>
      </c>
      <c r="T56" s="65">
        <v>14.2</v>
      </c>
      <c r="U56" s="65">
        <v>14.2</v>
      </c>
      <c r="V56" s="65">
        <v>14.2</v>
      </c>
      <c r="W56" s="65">
        <v>14.3</v>
      </c>
      <c r="X56" s="65">
        <v>14.1</v>
      </c>
      <c r="Y56" s="65">
        <v>14.1</v>
      </c>
      <c r="Z56" s="65">
        <v>14.1</v>
      </c>
      <c r="AA56" s="65">
        <v>14</v>
      </c>
      <c r="AB56" s="65">
        <v>14</v>
      </c>
      <c r="AC56" s="65">
        <v>14</v>
      </c>
      <c r="AD56" s="65">
        <v>14</v>
      </c>
      <c r="AE56" s="65">
        <v>14</v>
      </c>
      <c r="AF56" s="65">
        <v>14</v>
      </c>
      <c r="AG56" s="55">
        <v>14.1</v>
      </c>
      <c r="AH56" s="48">
        <f t="shared" si="2"/>
        <v>14.3</v>
      </c>
      <c r="AI56" s="49">
        <f t="shared" si="3"/>
        <v>14</v>
      </c>
      <c r="AJ56" s="1"/>
      <c r="AK56" s="50"/>
      <c r="AL56" s="1"/>
      <c r="AM56" s="1"/>
      <c r="AN56" s="1"/>
      <c r="AO56" s="1"/>
    </row>
    <row r="57" spans="1:41" x14ac:dyDescent="0.25">
      <c r="A57" s="71" t="s">
        <v>62</v>
      </c>
      <c r="B57" s="65">
        <v>8.1999999999999993</v>
      </c>
      <c r="C57" s="65">
        <v>8.1999999999999993</v>
      </c>
      <c r="D57" s="65">
        <v>8.1999999999999993</v>
      </c>
      <c r="E57" s="65">
        <v>8.1999999999999993</v>
      </c>
      <c r="F57" s="65">
        <v>8.1999999999999993</v>
      </c>
      <c r="G57" s="65">
        <v>8.1999999999999993</v>
      </c>
      <c r="H57" s="65">
        <v>8.1999999999999993</v>
      </c>
      <c r="I57" s="65">
        <v>8.1999999999999993</v>
      </c>
      <c r="J57" s="65">
        <v>8.1999999999999993</v>
      </c>
      <c r="K57" s="65">
        <v>8.1999999999999993</v>
      </c>
      <c r="L57" s="65">
        <v>8.1999999999999993</v>
      </c>
      <c r="M57" s="65">
        <v>8.1999999999999993</v>
      </c>
      <c r="N57" s="65">
        <v>8.1999999999999993</v>
      </c>
      <c r="O57" s="65">
        <v>8.1999999999999993</v>
      </c>
      <c r="P57" s="65">
        <v>8.1999999999999993</v>
      </c>
      <c r="Q57" s="65">
        <v>8.1999999999999993</v>
      </c>
      <c r="R57" s="65">
        <v>8.1999999999999993</v>
      </c>
      <c r="S57" s="65">
        <v>8.1999999999999993</v>
      </c>
      <c r="T57" s="65">
        <v>8.1999999999999993</v>
      </c>
      <c r="U57" s="65">
        <v>8.1999999999999993</v>
      </c>
      <c r="V57" s="65">
        <v>8.1999999999999993</v>
      </c>
      <c r="W57" s="65">
        <v>8.1999999999999993</v>
      </c>
      <c r="X57" s="65">
        <v>7</v>
      </c>
      <c r="Y57" s="65">
        <v>7</v>
      </c>
      <c r="Z57" s="65">
        <v>7</v>
      </c>
      <c r="AA57" s="65">
        <v>7</v>
      </c>
      <c r="AB57" s="65">
        <v>7</v>
      </c>
      <c r="AC57" s="65">
        <v>7</v>
      </c>
      <c r="AD57" s="65">
        <v>7</v>
      </c>
      <c r="AE57" s="65">
        <v>7</v>
      </c>
      <c r="AF57" s="65">
        <v>7</v>
      </c>
      <c r="AG57" s="55">
        <v>14</v>
      </c>
      <c r="AH57" s="48">
        <f t="shared" si="2"/>
        <v>8.1999999999999993</v>
      </c>
      <c r="AI57" s="49">
        <f t="shared" si="3"/>
        <v>7</v>
      </c>
      <c r="AK57" s="50"/>
    </row>
    <row r="58" spans="1:41" x14ac:dyDescent="0.25">
      <c r="A58" s="54" t="s">
        <v>63</v>
      </c>
      <c r="B58" s="65">
        <v>6.2</v>
      </c>
      <c r="C58" s="65">
        <v>6.2</v>
      </c>
      <c r="D58" s="65">
        <v>6.2</v>
      </c>
      <c r="E58" s="65">
        <v>6.2</v>
      </c>
      <c r="F58" s="65">
        <v>6.2</v>
      </c>
      <c r="G58" s="65">
        <v>6.2</v>
      </c>
      <c r="H58" s="65">
        <v>6.2</v>
      </c>
      <c r="I58" s="65">
        <v>6.2</v>
      </c>
      <c r="J58" s="65">
        <v>6.2</v>
      </c>
      <c r="K58" s="65">
        <v>6.2</v>
      </c>
      <c r="L58" s="65">
        <v>6.2</v>
      </c>
      <c r="M58" s="65">
        <v>6.2</v>
      </c>
      <c r="N58" s="65">
        <v>6.2</v>
      </c>
      <c r="O58" s="65">
        <v>6.2</v>
      </c>
      <c r="P58" s="65">
        <v>6.2</v>
      </c>
      <c r="Q58" s="65">
        <v>6.2</v>
      </c>
      <c r="R58" s="65">
        <v>6.2</v>
      </c>
      <c r="S58" s="65">
        <v>6.2</v>
      </c>
      <c r="T58" s="65">
        <v>6.2</v>
      </c>
      <c r="U58" s="65">
        <v>6.2</v>
      </c>
      <c r="V58" s="65">
        <v>6.2</v>
      </c>
      <c r="W58" s="65">
        <v>6.2</v>
      </c>
      <c r="X58" s="65">
        <v>6.2</v>
      </c>
      <c r="Y58" s="65">
        <v>6.2</v>
      </c>
      <c r="Z58" s="65">
        <v>6.2</v>
      </c>
      <c r="AA58" s="65">
        <v>6.2</v>
      </c>
      <c r="AB58" s="65">
        <v>6.2</v>
      </c>
      <c r="AC58" s="65">
        <v>6.2</v>
      </c>
      <c r="AD58" s="65">
        <v>6.2</v>
      </c>
      <c r="AE58" s="65">
        <v>6.2</v>
      </c>
      <c r="AF58" s="65">
        <v>6.2</v>
      </c>
      <c r="AG58" s="55">
        <v>10.050000000000001</v>
      </c>
      <c r="AH58" s="48">
        <f t="shared" si="2"/>
        <v>6.2</v>
      </c>
      <c r="AI58" s="49">
        <f t="shared" si="3"/>
        <v>6.2</v>
      </c>
      <c r="AK58" s="50"/>
    </row>
    <row r="59" spans="1:41" x14ac:dyDescent="0.25">
      <c r="A59" s="54" t="s">
        <v>64</v>
      </c>
      <c r="B59" s="65">
        <v>4.3</v>
      </c>
      <c r="C59" s="65">
        <v>4.3</v>
      </c>
      <c r="D59" s="65">
        <v>4.3</v>
      </c>
      <c r="E59" s="65">
        <v>4.3</v>
      </c>
      <c r="F59" s="65">
        <v>4.3</v>
      </c>
      <c r="G59" s="65">
        <v>4.3</v>
      </c>
      <c r="H59" s="65">
        <v>4.3</v>
      </c>
      <c r="I59" s="65">
        <v>4.3</v>
      </c>
      <c r="J59" s="65">
        <v>4.3</v>
      </c>
      <c r="K59" s="65">
        <v>4.3</v>
      </c>
      <c r="L59" s="65">
        <v>4.3</v>
      </c>
      <c r="M59" s="65">
        <v>4.3</v>
      </c>
      <c r="N59" s="65">
        <v>4.3</v>
      </c>
      <c r="O59" s="65">
        <v>4.3</v>
      </c>
      <c r="P59" s="65">
        <v>4.3</v>
      </c>
      <c r="Q59" s="65">
        <v>4.3</v>
      </c>
      <c r="R59" s="65">
        <v>4.3</v>
      </c>
      <c r="S59" s="65">
        <v>4.3</v>
      </c>
      <c r="T59" s="65">
        <v>4.3</v>
      </c>
      <c r="U59" s="65">
        <v>4.3</v>
      </c>
      <c r="V59" s="65">
        <v>4.3</v>
      </c>
      <c r="W59" s="65">
        <v>4.3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5">
        <v>6.2</v>
      </c>
      <c r="AH59" s="48">
        <f t="shared" si="2"/>
        <v>4.3</v>
      </c>
      <c r="AI59" s="49">
        <f t="shared" si="3"/>
        <v>4.2</v>
      </c>
      <c r="AK59" s="50"/>
    </row>
    <row r="60" spans="1:41" ht="15.75" thickBot="1" x14ac:dyDescent="0.3">
      <c r="A60" s="56" t="s">
        <v>65</v>
      </c>
      <c r="B60" s="72">
        <v>3.54</v>
      </c>
      <c r="C60" s="72">
        <v>3.54</v>
      </c>
      <c r="D60" s="72">
        <v>3.54</v>
      </c>
      <c r="E60" s="72">
        <v>3.54</v>
      </c>
      <c r="F60" s="72">
        <v>3.54</v>
      </c>
      <c r="G60" s="72">
        <v>3.54</v>
      </c>
      <c r="H60" s="72">
        <v>3.54</v>
      </c>
      <c r="I60" s="72">
        <v>3.54</v>
      </c>
      <c r="J60" s="72">
        <v>3.54</v>
      </c>
      <c r="K60" s="72">
        <v>3.54</v>
      </c>
      <c r="L60" s="72">
        <v>3.54</v>
      </c>
      <c r="M60" s="72">
        <v>3.54</v>
      </c>
      <c r="N60" s="72">
        <v>3.54</v>
      </c>
      <c r="O60" s="72">
        <v>3.54</v>
      </c>
      <c r="P60" s="72">
        <v>3.54</v>
      </c>
      <c r="Q60" s="72">
        <v>3.54</v>
      </c>
      <c r="R60" s="72">
        <v>3.54</v>
      </c>
      <c r="S60" s="72">
        <v>3.54</v>
      </c>
      <c r="T60" s="72">
        <v>3.54</v>
      </c>
      <c r="U60" s="72">
        <v>3.54</v>
      </c>
      <c r="V60" s="72">
        <v>3.54</v>
      </c>
      <c r="W60" s="72">
        <v>3.54</v>
      </c>
      <c r="X60" s="72">
        <v>3.54</v>
      </c>
      <c r="Y60" s="72">
        <v>3.54</v>
      </c>
      <c r="Z60" s="72">
        <v>3.54</v>
      </c>
      <c r="AA60" s="72">
        <v>3.54</v>
      </c>
      <c r="AB60" s="72">
        <v>3.54</v>
      </c>
      <c r="AC60" s="72">
        <v>3.54</v>
      </c>
      <c r="AD60" s="72">
        <v>3.54</v>
      </c>
      <c r="AE60" s="72">
        <v>3.54</v>
      </c>
      <c r="AF60" s="72">
        <v>3.54</v>
      </c>
      <c r="AG60" s="73">
        <f>AG227</f>
        <v>8.56</v>
      </c>
      <c r="AH60" s="48">
        <f t="shared" si="2"/>
        <v>3.54</v>
      </c>
      <c r="AI60" s="49">
        <f t="shared" si="3"/>
        <v>3.54</v>
      </c>
      <c r="AK60" s="50"/>
    </row>
    <row r="61" spans="1:41" ht="15.75" thickBot="1" x14ac:dyDescent="0.3">
      <c r="A61" s="74" t="s">
        <v>66</v>
      </c>
      <c r="B61" s="61">
        <f t="shared" ref="B61" si="7">SUM(B48:B60)</f>
        <v>297.83999999999997</v>
      </c>
      <c r="C61" s="61">
        <f t="shared" ref="C61:AG61" si="8">SUM(C48:C60)</f>
        <v>297.83999999999997</v>
      </c>
      <c r="D61" s="61">
        <f t="shared" si="8"/>
        <v>269.84000000000003</v>
      </c>
      <c r="E61" s="61">
        <f t="shared" si="8"/>
        <v>274.44</v>
      </c>
      <c r="F61" s="61">
        <f t="shared" si="8"/>
        <v>255.13999999999996</v>
      </c>
      <c r="G61" s="61">
        <f t="shared" si="8"/>
        <v>317.04000000000002</v>
      </c>
      <c r="H61" s="61">
        <f t="shared" si="8"/>
        <v>352.94</v>
      </c>
      <c r="I61" s="61">
        <f t="shared" si="8"/>
        <v>371.94</v>
      </c>
      <c r="J61" s="61">
        <f t="shared" si="8"/>
        <v>381.94</v>
      </c>
      <c r="K61" s="61">
        <f t="shared" si="8"/>
        <v>395.44</v>
      </c>
      <c r="L61" s="61">
        <f t="shared" si="8"/>
        <v>395.24</v>
      </c>
      <c r="M61" s="61">
        <f t="shared" si="8"/>
        <v>424.04</v>
      </c>
      <c r="N61" s="61">
        <f t="shared" si="8"/>
        <v>424.04</v>
      </c>
      <c r="O61" s="61">
        <f t="shared" si="8"/>
        <v>424.04</v>
      </c>
      <c r="P61" s="61">
        <f t="shared" si="8"/>
        <v>392.04</v>
      </c>
      <c r="Q61" s="61">
        <f t="shared" si="8"/>
        <v>355.14</v>
      </c>
      <c r="R61" s="61">
        <f t="shared" si="8"/>
        <v>341.84000000000003</v>
      </c>
      <c r="S61" s="61">
        <f t="shared" si="8"/>
        <v>338.84000000000003</v>
      </c>
      <c r="T61" s="61">
        <f t="shared" si="8"/>
        <v>339.64</v>
      </c>
      <c r="U61" s="61">
        <f t="shared" si="8"/>
        <v>354.74</v>
      </c>
      <c r="V61" s="61">
        <f t="shared" si="8"/>
        <v>347.73900000000003</v>
      </c>
      <c r="W61" s="61">
        <f t="shared" si="8"/>
        <v>393.24</v>
      </c>
      <c r="X61" s="61">
        <f t="shared" si="8"/>
        <v>416.44</v>
      </c>
      <c r="Y61" s="61">
        <f t="shared" si="8"/>
        <v>416.53900000000004</v>
      </c>
      <c r="Z61" s="61">
        <f t="shared" si="8"/>
        <v>421.03900000000004</v>
      </c>
      <c r="AA61" s="61">
        <f t="shared" si="8"/>
        <v>422.54</v>
      </c>
      <c r="AB61" s="61">
        <f t="shared" si="8"/>
        <v>411.34000000000003</v>
      </c>
      <c r="AC61" s="61">
        <f t="shared" si="8"/>
        <v>411.24000000000007</v>
      </c>
      <c r="AD61" s="61">
        <f t="shared" si="8"/>
        <v>410.04</v>
      </c>
      <c r="AE61" s="61">
        <f t="shared" si="8"/>
        <v>331.24</v>
      </c>
      <c r="AF61" s="61">
        <f t="shared" si="8"/>
        <v>291.14</v>
      </c>
      <c r="AG61" s="62">
        <f t="shared" si="8"/>
        <v>489.91</v>
      </c>
      <c r="AH61" s="48">
        <f t="shared" si="2"/>
        <v>424.04</v>
      </c>
      <c r="AI61" s="49">
        <f t="shared" si="3"/>
        <v>255.13999999999996</v>
      </c>
      <c r="AK61" s="50"/>
    </row>
    <row r="62" spans="1:41" ht="15.75" x14ac:dyDescent="0.25">
      <c r="A62" s="44" t="s">
        <v>67</v>
      </c>
      <c r="B62" s="45"/>
      <c r="C62" s="45"/>
      <c r="D62" s="45"/>
      <c r="E62" s="45"/>
      <c r="F62" s="45"/>
      <c r="G62" s="45"/>
      <c r="H62" s="45"/>
      <c r="I62" s="45"/>
      <c r="J62" s="45"/>
      <c r="K62" s="45">
        <v>24</v>
      </c>
      <c r="L62" s="45">
        <v>55.4</v>
      </c>
      <c r="M62" s="45">
        <v>58.7</v>
      </c>
      <c r="N62" s="45">
        <v>58.7</v>
      </c>
      <c r="O62" s="45">
        <v>44</v>
      </c>
      <c r="P62" s="45">
        <v>13.8</v>
      </c>
      <c r="Q62" s="45">
        <v>14.2</v>
      </c>
      <c r="R62" s="45">
        <v>44.2</v>
      </c>
      <c r="S62" s="45">
        <v>59.2</v>
      </c>
      <c r="T62" s="45">
        <v>59.2</v>
      </c>
      <c r="U62" s="45">
        <v>49.3</v>
      </c>
      <c r="V62" s="45">
        <v>60</v>
      </c>
      <c r="W62" s="45">
        <v>50</v>
      </c>
      <c r="X62" s="173">
        <v>60</v>
      </c>
      <c r="Y62" s="173">
        <v>60</v>
      </c>
      <c r="Z62" s="45">
        <v>60</v>
      </c>
      <c r="AA62" s="45">
        <v>60</v>
      </c>
      <c r="AB62" s="45">
        <v>45</v>
      </c>
      <c r="AC62" s="45">
        <v>35</v>
      </c>
      <c r="AD62" s="45">
        <v>29.6</v>
      </c>
      <c r="AE62" s="45">
        <v>0</v>
      </c>
      <c r="AF62" s="45">
        <v>0</v>
      </c>
      <c r="AG62" s="52">
        <v>60</v>
      </c>
      <c r="AH62" s="48">
        <f t="shared" si="2"/>
        <v>60</v>
      </c>
      <c r="AI62" s="49">
        <f t="shared" si="3"/>
        <v>0</v>
      </c>
      <c r="AK62" s="50"/>
    </row>
    <row r="63" spans="1:41" ht="15.75" x14ac:dyDescent="0.25">
      <c r="A63" s="54" t="s">
        <v>68</v>
      </c>
      <c r="B63" s="65"/>
      <c r="C63" s="65"/>
      <c r="D63" s="65"/>
      <c r="E63" s="65"/>
      <c r="F63" s="65"/>
      <c r="G63" s="65"/>
      <c r="H63" s="65"/>
      <c r="I63" s="65"/>
      <c r="J63" s="65"/>
      <c r="K63" s="65">
        <v>14.2</v>
      </c>
      <c r="L63" s="65">
        <v>27.7</v>
      </c>
      <c r="M63" s="65">
        <v>20.9</v>
      </c>
      <c r="N63" s="65">
        <v>20.9</v>
      </c>
      <c r="O63" s="65">
        <v>20.100000000000001</v>
      </c>
      <c r="P63" s="65">
        <v>10.6</v>
      </c>
      <c r="Q63" s="65">
        <v>13.1</v>
      </c>
      <c r="R63" s="65">
        <v>20.100000000000001</v>
      </c>
      <c r="S63" s="65">
        <v>27.5</v>
      </c>
      <c r="T63" s="65">
        <v>27.5</v>
      </c>
      <c r="U63" s="65">
        <v>24.4</v>
      </c>
      <c r="V63" s="65">
        <v>29.2</v>
      </c>
      <c r="W63" s="65">
        <v>25</v>
      </c>
      <c r="X63" s="168">
        <v>27.7</v>
      </c>
      <c r="Y63" s="168">
        <v>27.7</v>
      </c>
      <c r="Z63" s="65">
        <v>28.9</v>
      </c>
      <c r="AA63" s="65">
        <v>28.9</v>
      </c>
      <c r="AB63" s="65">
        <v>20</v>
      </c>
      <c r="AC63" s="65">
        <v>15</v>
      </c>
      <c r="AD63" s="65">
        <v>14.7</v>
      </c>
      <c r="AE63" s="65">
        <v>0</v>
      </c>
      <c r="AF63" s="65">
        <v>0</v>
      </c>
      <c r="AG63" s="55">
        <v>32</v>
      </c>
      <c r="AH63" s="48">
        <f t="shared" si="2"/>
        <v>29.2</v>
      </c>
      <c r="AI63" s="49">
        <f t="shared" si="3"/>
        <v>0</v>
      </c>
      <c r="AK63" s="50"/>
    </row>
    <row r="64" spans="1:41" ht="16.5" thickBot="1" x14ac:dyDescent="0.3">
      <c r="A64" s="71" t="s">
        <v>69</v>
      </c>
      <c r="B64" s="67"/>
      <c r="C64" s="67"/>
      <c r="D64" s="67"/>
      <c r="E64" s="67"/>
      <c r="F64" s="67"/>
      <c r="G64" s="67"/>
      <c r="H64" s="67"/>
      <c r="I64" s="67"/>
      <c r="J64" s="67"/>
      <c r="K64" s="67">
        <v>5.2</v>
      </c>
      <c r="L64" s="67">
        <v>10.199999999999999</v>
      </c>
      <c r="M64" s="67">
        <v>7.6</v>
      </c>
      <c r="N64" s="67">
        <v>7.6</v>
      </c>
      <c r="O64" s="67">
        <v>7.3</v>
      </c>
      <c r="P64" s="67">
        <v>3.6</v>
      </c>
      <c r="Q64" s="67">
        <v>4.8</v>
      </c>
      <c r="R64" s="67">
        <v>7.4</v>
      </c>
      <c r="S64" s="67">
        <v>10</v>
      </c>
      <c r="T64" s="67">
        <v>10</v>
      </c>
      <c r="U64" s="67">
        <v>9</v>
      </c>
      <c r="V64" s="67">
        <v>10.7</v>
      </c>
      <c r="W64" s="67">
        <v>10</v>
      </c>
      <c r="X64" s="174">
        <v>10.1</v>
      </c>
      <c r="Y64" s="174">
        <v>10.1</v>
      </c>
      <c r="Z64" s="67">
        <v>10.5</v>
      </c>
      <c r="AA64" s="67">
        <v>10.5</v>
      </c>
      <c r="AB64" s="67">
        <v>7.2</v>
      </c>
      <c r="AC64" s="67">
        <v>7</v>
      </c>
      <c r="AD64" s="67">
        <v>5.4</v>
      </c>
      <c r="AE64" s="67">
        <v>0</v>
      </c>
      <c r="AF64" s="67">
        <v>0</v>
      </c>
      <c r="AG64" s="68">
        <v>14</v>
      </c>
      <c r="AH64" s="48">
        <f t="shared" si="2"/>
        <v>10.7</v>
      </c>
      <c r="AI64" s="49">
        <f t="shared" si="3"/>
        <v>0</v>
      </c>
      <c r="AK64" s="50"/>
    </row>
    <row r="65" spans="1:37" ht="15.75" thickBot="1" x14ac:dyDescent="0.3">
      <c r="A65" s="74" t="s">
        <v>70</v>
      </c>
      <c r="B65" s="61">
        <f t="shared" ref="B65" si="9">SUM(B62:B64)</f>
        <v>0</v>
      </c>
      <c r="C65" s="61">
        <f t="shared" ref="C65:AG65" si="10">SUM(C62:C64)</f>
        <v>0</v>
      </c>
      <c r="D65" s="61">
        <f t="shared" si="10"/>
        <v>0</v>
      </c>
      <c r="E65" s="61">
        <f t="shared" si="10"/>
        <v>0</v>
      </c>
      <c r="F65" s="61">
        <f t="shared" si="10"/>
        <v>0</v>
      </c>
      <c r="G65" s="61">
        <f t="shared" si="10"/>
        <v>0</v>
      </c>
      <c r="H65" s="61">
        <f t="shared" si="10"/>
        <v>0</v>
      </c>
      <c r="I65" s="61">
        <f t="shared" si="10"/>
        <v>0</v>
      </c>
      <c r="J65" s="61">
        <f t="shared" si="10"/>
        <v>0</v>
      </c>
      <c r="K65" s="61">
        <f t="shared" si="10"/>
        <v>43.400000000000006</v>
      </c>
      <c r="L65" s="61">
        <f t="shared" si="10"/>
        <v>93.3</v>
      </c>
      <c r="M65" s="61">
        <f t="shared" si="10"/>
        <v>87.199999999999989</v>
      </c>
      <c r="N65" s="61">
        <f t="shared" si="10"/>
        <v>87.199999999999989</v>
      </c>
      <c r="O65" s="61">
        <f t="shared" si="10"/>
        <v>71.399999999999991</v>
      </c>
      <c r="P65" s="61">
        <f t="shared" si="10"/>
        <v>28</v>
      </c>
      <c r="Q65" s="61">
        <f t="shared" si="10"/>
        <v>32.099999999999994</v>
      </c>
      <c r="R65" s="61">
        <f t="shared" si="10"/>
        <v>71.700000000000017</v>
      </c>
      <c r="S65" s="61">
        <f t="shared" si="10"/>
        <v>96.7</v>
      </c>
      <c r="T65" s="61">
        <f t="shared" si="10"/>
        <v>96.7</v>
      </c>
      <c r="U65" s="61">
        <f t="shared" si="10"/>
        <v>82.699999999999989</v>
      </c>
      <c r="V65" s="61">
        <f t="shared" si="10"/>
        <v>99.9</v>
      </c>
      <c r="W65" s="61">
        <f t="shared" si="10"/>
        <v>85</v>
      </c>
      <c r="X65" s="61">
        <f t="shared" si="10"/>
        <v>97.8</v>
      </c>
      <c r="Y65" s="61">
        <f t="shared" si="10"/>
        <v>97.8</v>
      </c>
      <c r="Z65" s="61">
        <f t="shared" si="10"/>
        <v>99.4</v>
      </c>
      <c r="AA65" s="61">
        <f t="shared" si="10"/>
        <v>99.4</v>
      </c>
      <c r="AB65" s="61">
        <f t="shared" si="10"/>
        <v>72.2</v>
      </c>
      <c r="AC65" s="61">
        <f t="shared" si="10"/>
        <v>57</v>
      </c>
      <c r="AD65" s="61">
        <f t="shared" si="10"/>
        <v>49.699999999999996</v>
      </c>
      <c r="AE65" s="61">
        <f t="shared" si="10"/>
        <v>0</v>
      </c>
      <c r="AF65" s="61">
        <f t="shared" si="10"/>
        <v>0</v>
      </c>
      <c r="AG65" s="62">
        <f t="shared" si="10"/>
        <v>106</v>
      </c>
      <c r="AH65" s="48">
        <f t="shared" si="2"/>
        <v>99.9</v>
      </c>
      <c r="AI65" s="49">
        <f t="shared" si="3"/>
        <v>0</v>
      </c>
      <c r="AK65" s="50"/>
    </row>
    <row r="66" spans="1:37" x14ac:dyDescent="0.25">
      <c r="A66" s="44" t="s">
        <v>71</v>
      </c>
      <c r="B66" s="45"/>
      <c r="C66" s="45"/>
      <c r="D66" s="45"/>
      <c r="E66" s="45"/>
      <c r="F66" s="45"/>
      <c r="G66" s="45"/>
      <c r="H66" s="45"/>
      <c r="I66" s="45">
        <v>15</v>
      </c>
      <c r="J66" s="45">
        <v>21</v>
      </c>
      <c r="K66" s="45">
        <v>22</v>
      </c>
      <c r="L66" s="45">
        <v>51.9</v>
      </c>
      <c r="M66" s="45">
        <v>26</v>
      </c>
      <c r="N66" s="45">
        <v>21</v>
      </c>
      <c r="O66" s="45">
        <v>25.1</v>
      </c>
      <c r="P66" s="45">
        <v>16</v>
      </c>
      <c r="Q66" s="45">
        <v>16.3</v>
      </c>
      <c r="R66" s="45">
        <v>22.5</v>
      </c>
      <c r="S66" s="45">
        <v>28.1</v>
      </c>
      <c r="T66" s="45">
        <v>19</v>
      </c>
      <c r="U66" s="45">
        <v>14.4</v>
      </c>
      <c r="V66" s="45">
        <v>23</v>
      </c>
      <c r="W66" s="45">
        <v>16</v>
      </c>
      <c r="X66" s="45">
        <v>19.5</v>
      </c>
      <c r="Y66" s="45">
        <v>16</v>
      </c>
      <c r="Z66" s="45">
        <v>25.2</v>
      </c>
      <c r="AA66" s="45">
        <v>20.8</v>
      </c>
      <c r="AB66" s="45">
        <v>16.5</v>
      </c>
      <c r="AC66" s="45">
        <v>13</v>
      </c>
      <c r="AD66" s="45">
        <v>13</v>
      </c>
      <c r="AE66" s="45">
        <v>0</v>
      </c>
      <c r="AF66" s="45">
        <v>0</v>
      </c>
      <c r="AG66" s="52"/>
      <c r="AH66" s="48">
        <f t="shared" si="2"/>
        <v>51.9</v>
      </c>
      <c r="AI66" s="49">
        <f t="shared" si="3"/>
        <v>0</v>
      </c>
      <c r="AK66" s="50"/>
    </row>
    <row r="67" spans="1:37" x14ac:dyDescent="0.25">
      <c r="A67" s="54" t="s">
        <v>72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>
        <v>0</v>
      </c>
      <c r="Y67" s="65">
        <v>0</v>
      </c>
      <c r="Z67" s="65">
        <v>0</v>
      </c>
      <c r="AA67" s="65">
        <v>0</v>
      </c>
      <c r="AB67" s="65">
        <v>0</v>
      </c>
      <c r="AC67" s="65">
        <v>0</v>
      </c>
      <c r="AD67" s="65">
        <v>0</v>
      </c>
      <c r="AE67" s="65">
        <v>0</v>
      </c>
      <c r="AF67" s="65">
        <v>0</v>
      </c>
      <c r="AG67" s="55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73</v>
      </c>
      <c r="B68" s="65">
        <v>-81</v>
      </c>
      <c r="C68" s="65">
        <v>-85</v>
      </c>
      <c r="D68" s="65">
        <v>-81.599999999999994</v>
      </c>
      <c r="E68" s="65">
        <v>-79.2</v>
      </c>
      <c r="F68" s="65">
        <v>-72</v>
      </c>
      <c r="G68" s="65">
        <v>-78</v>
      </c>
      <c r="H68" s="65">
        <v>-84</v>
      </c>
      <c r="I68" s="65">
        <v>-74</v>
      </c>
      <c r="J68" s="65">
        <v>-83</v>
      </c>
      <c r="K68" s="65">
        <v>-130</v>
      </c>
      <c r="L68" s="65">
        <v>-132</v>
      </c>
      <c r="M68" s="65">
        <v>-124</v>
      </c>
      <c r="N68" s="65">
        <v>-140</v>
      </c>
      <c r="O68" s="65">
        <v>9</v>
      </c>
      <c r="P68" s="65">
        <v>-1</v>
      </c>
      <c r="Q68" s="65">
        <v>-10</v>
      </c>
      <c r="R68" s="65">
        <v>1</v>
      </c>
      <c r="S68" s="65">
        <v>1.9</v>
      </c>
      <c r="T68" s="65">
        <v>-7.9</v>
      </c>
      <c r="U68" s="65">
        <v>-4.8</v>
      </c>
      <c r="V68" s="65">
        <v>3</v>
      </c>
      <c r="W68" s="65">
        <v>126</v>
      </c>
      <c r="X68" s="65">
        <v>-214</v>
      </c>
      <c r="Y68" s="65">
        <v>-200</v>
      </c>
      <c r="Z68" s="65">
        <v>-150</v>
      </c>
      <c r="AA68" s="65">
        <v>-160</v>
      </c>
      <c r="AB68" s="65">
        <v>-180</v>
      </c>
      <c r="AC68" s="65">
        <v>-174</v>
      </c>
      <c r="AD68" s="65">
        <v>-175</v>
      </c>
      <c r="AE68" s="65">
        <v>-125</v>
      </c>
      <c r="AF68" s="65">
        <v>-126</v>
      </c>
      <c r="AG68" s="75"/>
      <c r="AH68" s="48">
        <f t="shared" si="2"/>
        <v>126</v>
      </c>
      <c r="AI68" s="49">
        <f t="shared" si="3"/>
        <v>-214</v>
      </c>
      <c r="AK68" s="50"/>
    </row>
    <row r="69" spans="1:37" x14ac:dyDescent="0.25">
      <c r="A69" s="54" t="s">
        <v>74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>
        <v>0</v>
      </c>
      <c r="W69" s="76">
        <v>0</v>
      </c>
      <c r="X69" s="76">
        <v>0</v>
      </c>
      <c r="Y69" s="76">
        <v>0</v>
      </c>
      <c r="Z69" s="76">
        <v>0</v>
      </c>
      <c r="AA69" s="76">
        <v>0</v>
      </c>
      <c r="AB69" s="76">
        <v>0</v>
      </c>
      <c r="AC69" s="76">
        <v>0</v>
      </c>
      <c r="AD69" s="76">
        <v>0</v>
      </c>
      <c r="AE69" s="76">
        <v>0</v>
      </c>
      <c r="AF69" s="76">
        <v>0</v>
      </c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75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>
        <v>0</v>
      </c>
      <c r="X70" s="45">
        <v>0</v>
      </c>
      <c r="Y70" s="45">
        <v>0</v>
      </c>
      <c r="Z70" s="45">
        <v>0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76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>
        <v>0</v>
      </c>
      <c r="X71" s="77">
        <v>0</v>
      </c>
      <c r="Y71" s="77">
        <v>0</v>
      </c>
      <c r="Z71" s="77">
        <v>0</v>
      </c>
      <c r="AA71" s="77">
        <v>0</v>
      </c>
      <c r="AB71" s="77">
        <v>0</v>
      </c>
      <c r="AC71" s="77">
        <v>0</v>
      </c>
      <c r="AD71" s="77">
        <v>0</v>
      </c>
      <c r="AE71" s="77">
        <v>0</v>
      </c>
      <c r="AF71" s="77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77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78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79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78" t="s">
        <v>80</v>
      </c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>
        <v>0</v>
      </c>
      <c r="X75" s="79">
        <v>0</v>
      </c>
      <c r="Y75" s="79">
        <v>0</v>
      </c>
      <c r="Z75" s="79">
        <v>0</v>
      </c>
      <c r="AA75" s="79">
        <v>0</v>
      </c>
      <c r="AB75" s="79">
        <v>0</v>
      </c>
      <c r="AC75" s="79">
        <v>0</v>
      </c>
      <c r="AD75" s="79">
        <v>0</v>
      </c>
      <c r="AE75" s="79">
        <v>0</v>
      </c>
      <c r="AF75" s="79">
        <v>0</v>
      </c>
      <c r="AG75" s="80"/>
      <c r="AH75" s="48">
        <f t="shared" si="2"/>
        <v>0</v>
      </c>
      <c r="AI75" s="49">
        <f t="shared" si="3"/>
        <v>0</v>
      </c>
      <c r="AK75" s="50"/>
    </row>
    <row r="76" spans="1:37" ht="15.75" thickBot="1" x14ac:dyDescent="0.3">
      <c r="A76" s="78" t="s">
        <v>81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4" t="s">
        <v>82</v>
      </c>
      <c r="B77" s="61">
        <f t="shared" ref="B77" si="11">SUMIF(B66:B76,"&gt;0")</f>
        <v>0</v>
      </c>
      <c r="C77" s="61">
        <f t="shared" ref="C77:AF77" si="12">SUMIF(C66:C76,"&gt;0")</f>
        <v>0</v>
      </c>
      <c r="D77" s="61">
        <f t="shared" si="12"/>
        <v>0</v>
      </c>
      <c r="E77" s="61">
        <f t="shared" si="12"/>
        <v>0</v>
      </c>
      <c r="F77" s="61">
        <f t="shared" si="12"/>
        <v>0</v>
      </c>
      <c r="G77" s="61">
        <f t="shared" si="12"/>
        <v>0</v>
      </c>
      <c r="H77" s="61">
        <f t="shared" si="12"/>
        <v>0</v>
      </c>
      <c r="I77" s="61">
        <f t="shared" si="12"/>
        <v>15</v>
      </c>
      <c r="J77" s="61">
        <f t="shared" si="12"/>
        <v>21</v>
      </c>
      <c r="K77" s="61">
        <f t="shared" si="12"/>
        <v>22</v>
      </c>
      <c r="L77" s="61">
        <f t="shared" si="12"/>
        <v>51.9</v>
      </c>
      <c r="M77" s="61">
        <f t="shared" si="12"/>
        <v>26</v>
      </c>
      <c r="N77" s="61">
        <f t="shared" si="12"/>
        <v>21</v>
      </c>
      <c r="O77" s="61">
        <f t="shared" si="12"/>
        <v>34.1</v>
      </c>
      <c r="P77" s="61">
        <f t="shared" si="12"/>
        <v>16</v>
      </c>
      <c r="Q77" s="61">
        <f t="shared" si="12"/>
        <v>16.3</v>
      </c>
      <c r="R77" s="61">
        <f t="shared" si="12"/>
        <v>23.5</v>
      </c>
      <c r="S77" s="61">
        <f t="shared" si="12"/>
        <v>30</v>
      </c>
      <c r="T77" s="61">
        <f t="shared" si="12"/>
        <v>19</v>
      </c>
      <c r="U77" s="61">
        <f t="shared" si="12"/>
        <v>14.4</v>
      </c>
      <c r="V77" s="61">
        <f t="shared" si="12"/>
        <v>26</v>
      </c>
      <c r="W77" s="61">
        <f t="shared" si="12"/>
        <v>142</v>
      </c>
      <c r="X77" s="61">
        <f t="shared" si="12"/>
        <v>19.5</v>
      </c>
      <c r="Y77" s="61">
        <f t="shared" si="12"/>
        <v>16</v>
      </c>
      <c r="Z77" s="61">
        <f t="shared" si="12"/>
        <v>25.2</v>
      </c>
      <c r="AA77" s="61">
        <f t="shared" si="12"/>
        <v>20.8</v>
      </c>
      <c r="AB77" s="61">
        <f t="shared" si="12"/>
        <v>16.5</v>
      </c>
      <c r="AC77" s="61">
        <f t="shared" si="12"/>
        <v>13</v>
      </c>
      <c r="AD77" s="61">
        <f t="shared" si="12"/>
        <v>13</v>
      </c>
      <c r="AE77" s="61">
        <f t="shared" si="12"/>
        <v>0</v>
      </c>
      <c r="AF77" s="61">
        <f t="shared" si="12"/>
        <v>0</v>
      </c>
      <c r="AG77" s="81">
        <f>SUM(AG66:AG76)</f>
        <v>0</v>
      </c>
      <c r="AH77" s="48">
        <f t="shared" si="2"/>
        <v>142</v>
      </c>
      <c r="AI77" s="49">
        <f t="shared" si="3"/>
        <v>0</v>
      </c>
      <c r="AK77" s="50"/>
    </row>
    <row r="78" spans="1:37" x14ac:dyDescent="0.25">
      <c r="A78" s="44" t="s">
        <v>83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82">
        <v>39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54" t="s">
        <v>84</v>
      </c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5">
        <v>14.4</v>
      </c>
      <c r="AH79" s="48">
        <f t="shared" ref="AH79:AH112" si="13">MAX(B79:AF79)</f>
        <v>0</v>
      </c>
      <c r="AI79" s="49">
        <f t="shared" ref="AI79:AI112" si="14">MIN(B79:AF79)</f>
        <v>0</v>
      </c>
      <c r="AK79" s="50"/>
    </row>
    <row r="80" spans="1:37" ht="15.75" thickBot="1" x14ac:dyDescent="0.3">
      <c r="A80" s="78" t="s">
        <v>85</v>
      </c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80">
        <v>2</v>
      </c>
      <c r="AH80" s="48">
        <f t="shared" si="13"/>
        <v>0</v>
      </c>
      <c r="AI80" s="49">
        <f t="shared" si="14"/>
        <v>0</v>
      </c>
    </row>
    <row r="81" spans="1:37" ht="15.75" thickBot="1" x14ac:dyDescent="0.3">
      <c r="A81" s="74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81">
        <f>SUM(AG78:AG80)</f>
        <v>55.4</v>
      </c>
      <c r="AH81" s="48">
        <f t="shared" si="13"/>
        <v>0</v>
      </c>
      <c r="AI81" s="49">
        <f t="shared" si="14"/>
        <v>0</v>
      </c>
    </row>
    <row r="82" spans="1:37" ht="15.75" thickBot="1" x14ac:dyDescent="0.3">
      <c r="A82" s="74" t="s">
        <v>87</v>
      </c>
      <c r="B82" s="83">
        <f t="shared" ref="B82" si="15">B43+B47+B65+B61+B77+B81</f>
        <v>1054.6399999999999</v>
      </c>
      <c r="C82" s="83">
        <f t="shared" ref="C82:AG82" si="16">C43+C47+C65+C61+C77+C81</f>
        <v>1054.6399999999999</v>
      </c>
      <c r="D82" s="83">
        <f t="shared" si="16"/>
        <v>1016.6400000000001</v>
      </c>
      <c r="E82" s="83">
        <f t="shared" si="16"/>
        <v>1011.24</v>
      </c>
      <c r="F82" s="83">
        <f t="shared" si="16"/>
        <v>981.94</v>
      </c>
      <c r="G82" s="83">
        <f t="shared" si="16"/>
        <v>1077.04</v>
      </c>
      <c r="H82" s="83">
        <f t="shared" si="16"/>
        <v>1156.94</v>
      </c>
      <c r="I82" s="83">
        <f t="shared" si="16"/>
        <v>1220.94</v>
      </c>
      <c r="J82" s="83">
        <f t="shared" si="16"/>
        <v>1336.94</v>
      </c>
      <c r="K82" s="83">
        <f t="shared" si="16"/>
        <v>1523.1400000000003</v>
      </c>
      <c r="L82" s="83">
        <f t="shared" si="16"/>
        <v>1621.7400000000002</v>
      </c>
      <c r="M82" s="83">
        <f t="shared" si="16"/>
        <v>1621.24</v>
      </c>
      <c r="N82" s="83">
        <f t="shared" si="16"/>
        <v>1576.24</v>
      </c>
      <c r="O82" s="83">
        <f t="shared" si="16"/>
        <v>1313.54</v>
      </c>
      <c r="P82" s="83">
        <f t="shared" si="16"/>
        <v>1259.94</v>
      </c>
      <c r="Q82" s="83">
        <f t="shared" si="16"/>
        <v>1211.94</v>
      </c>
      <c r="R82" s="83">
        <f t="shared" si="16"/>
        <v>1170.44</v>
      </c>
      <c r="S82" s="83">
        <f t="shared" si="16"/>
        <v>1184.2400000000002</v>
      </c>
      <c r="T82" s="83">
        <f t="shared" si="16"/>
        <v>1203.94</v>
      </c>
      <c r="U82" s="83">
        <f t="shared" si="16"/>
        <v>1238.5400000000002</v>
      </c>
      <c r="V82" s="83">
        <f t="shared" si="16"/>
        <v>1282.539</v>
      </c>
      <c r="W82" s="83">
        <f t="shared" si="16"/>
        <v>1685.34</v>
      </c>
      <c r="X82" s="83">
        <f t="shared" si="16"/>
        <v>1679.44</v>
      </c>
      <c r="Y82" s="83">
        <f t="shared" si="16"/>
        <v>1655.6389999999999</v>
      </c>
      <c r="Z82" s="83">
        <f t="shared" si="16"/>
        <v>1484.8390000000002</v>
      </c>
      <c r="AA82" s="83">
        <f t="shared" si="16"/>
        <v>1384.04</v>
      </c>
      <c r="AB82" s="83">
        <f t="shared" si="16"/>
        <v>1343.3400000000001</v>
      </c>
      <c r="AC82" s="83">
        <f t="shared" si="16"/>
        <v>1326.94</v>
      </c>
      <c r="AD82" s="83">
        <f t="shared" si="16"/>
        <v>1318.44</v>
      </c>
      <c r="AE82" s="83">
        <f t="shared" si="16"/>
        <v>1164.94</v>
      </c>
      <c r="AF82" s="83">
        <f t="shared" si="16"/>
        <v>1102.1399999999999</v>
      </c>
      <c r="AG82" s="62">
        <f t="shared" si="16"/>
        <v>1986.1900000000003</v>
      </c>
      <c r="AH82" s="48">
        <f t="shared" si="13"/>
        <v>1685.34</v>
      </c>
      <c r="AI82" s="49">
        <f t="shared" si="14"/>
        <v>981.94</v>
      </c>
    </row>
    <row r="83" spans="1:37" ht="15.75" thickBot="1" x14ac:dyDescent="0.3">
      <c r="A83" s="84" t="s">
        <v>88</v>
      </c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>
        <v>50</v>
      </c>
      <c r="Z83" s="85">
        <v>120</v>
      </c>
      <c r="AA83" s="85">
        <v>150</v>
      </c>
      <c r="AB83" s="85">
        <v>150</v>
      </c>
      <c r="AC83" s="85">
        <v>0</v>
      </c>
      <c r="AD83" s="85">
        <v>0</v>
      </c>
      <c r="AE83" s="85"/>
      <c r="AF83" s="85"/>
      <c r="AG83" s="81"/>
      <c r="AH83" s="48">
        <f t="shared" si="13"/>
        <v>150</v>
      </c>
      <c r="AI83" s="49">
        <f t="shared" si="14"/>
        <v>0</v>
      </c>
    </row>
    <row r="84" spans="1:37" ht="15.75" thickBot="1" x14ac:dyDescent="0.3">
      <c r="A84" s="74" t="s">
        <v>89</v>
      </c>
      <c r="B84" s="83">
        <f t="shared" ref="B84" si="17">B82+B83</f>
        <v>1054.6399999999999</v>
      </c>
      <c r="C84" s="83">
        <f t="shared" ref="C84:AF84" si="18">C82+C83</f>
        <v>1054.6399999999999</v>
      </c>
      <c r="D84" s="83">
        <f t="shared" si="18"/>
        <v>1016.6400000000001</v>
      </c>
      <c r="E84" s="83">
        <f t="shared" si="18"/>
        <v>1011.24</v>
      </c>
      <c r="F84" s="83">
        <f t="shared" si="18"/>
        <v>981.94</v>
      </c>
      <c r="G84" s="83">
        <f t="shared" si="18"/>
        <v>1077.04</v>
      </c>
      <c r="H84" s="83">
        <f t="shared" si="18"/>
        <v>1156.94</v>
      </c>
      <c r="I84" s="83">
        <f t="shared" si="18"/>
        <v>1220.94</v>
      </c>
      <c r="J84" s="83">
        <f t="shared" si="18"/>
        <v>1336.94</v>
      </c>
      <c r="K84" s="83">
        <f t="shared" si="18"/>
        <v>1523.1400000000003</v>
      </c>
      <c r="L84" s="83">
        <f t="shared" si="18"/>
        <v>1621.7400000000002</v>
      </c>
      <c r="M84" s="83">
        <f t="shared" si="18"/>
        <v>1621.24</v>
      </c>
      <c r="N84" s="83">
        <f t="shared" si="18"/>
        <v>1576.24</v>
      </c>
      <c r="O84" s="83">
        <f t="shared" si="18"/>
        <v>1313.54</v>
      </c>
      <c r="P84" s="83">
        <f t="shared" si="18"/>
        <v>1259.94</v>
      </c>
      <c r="Q84" s="83">
        <f t="shared" si="18"/>
        <v>1211.94</v>
      </c>
      <c r="R84" s="83">
        <f t="shared" si="18"/>
        <v>1170.44</v>
      </c>
      <c r="S84" s="83">
        <f t="shared" si="18"/>
        <v>1184.2400000000002</v>
      </c>
      <c r="T84" s="83">
        <f t="shared" si="18"/>
        <v>1203.94</v>
      </c>
      <c r="U84" s="83">
        <f t="shared" si="18"/>
        <v>1238.5400000000002</v>
      </c>
      <c r="V84" s="83">
        <f t="shared" si="18"/>
        <v>1282.539</v>
      </c>
      <c r="W84" s="83">
        <f t="shared" si="18"/>
        <v>1685.34</v>
      </c>
      <c r="X84" s="83">
        <f t="shared" si="18"/>
        <v>1679.44</v>
      </c>
      <c r="Y84" s="83">
        <f t="shared" si="18"/>
        <v>1705.6389999999999</v>
      </c>
      <c r="Z84" s="83">
        <f t="shared" si="18"/>
        <v>1604.8390000000002</v>
      </c>
      <c r="AA84" s="83">
        <f t="shared" si="18"/>
        <v>1534.04</v>
      </c>
      <c r="AB84" s="83">
        <f t="shared" si="18"/>
        <v>1493.3400000000001</v>
      </c>
      <c r="AC84" s="83">
        <f t="shared" si="18"/>
        <v>1326.94</v>
      </c>
      <c r="AD84" s="83">
        <f t="shared" si="18"/>
        <v>1318.44</v>
      </c>
      <c r="AE84" s="83">
        <f t="shared" si="18"/>
        <v>1164.94</v>
      </c>
      <c r="AF84" s="83">
        <f t="shared" si="18"/>
        <v>1102.1399999999999</v>
      </c>
      <c r="AG84" s="81">
        <f>AG81+AG77+AG65+AG61+AG43+AG83</f>
        <v>1448.0900000000001</v>
      </c>
      <c r="AH84" s="48">
        <f t="shared" si="13"/>
        <v>1705.6389999999999</v>
      </c>
      <c r="AI84" s="49">
        <f t="shared" si="14"/>
        <v>981.94</v>
      </c>
    </row>
    <row r="85" spans="1:37" ht="15.75" thickBot="1" x14ac:dyDescent="0.3">
      <c r="A85" s="74" t="s">
        <v>90</v>
      </c>
      <c r="B85" s="83">
        <f t="shared" ref="B85" si="19">B84-B92</f>
        <v>973.63999999999987</v>
      </c>
      <c r="C85" s="83">
        <f t="shared" ref="C85:AF85" si="20">C84-C92</f>
        <v>969.63999999999987</v>
      </c>
      <c r="D85" s="83">
        <f t="shared" si="20"/>
        <v>935.04000000000008</v>
      </c>
      <c r="E85" s="83">
        <f t="shared" si="20"/>
        <v>932.04</v>
      </c>
      <c r="F85" s="83">
        <f t="shared" si="20"/>
        <v>909.94</v>
      </c>
      <c r="G85" s="83">
        <f t="shared" si="20"/>
        <v>999.04</v>
      </c>
      <c r="H85" s="83">
        <f t="shared" si="20"/>
        <v>1072.94</v>
      </c>
      <c r="I85" s="83">
        <f t="shared" si="20"/>
        <v>1146.94</v>
      </c>
      <c r="J85" s="83">
        <f t="shared" si="20"/>
        <v>1253.94</v>
      </c>
      <c r="K85" s="83">
        <f t="shared" si="20"/>
        <v>1393.1400000000003</v>
      </c>
      <c r="L85" s="83">
        <f t="shared" si="20"/>
        <v>1489.7400000000002</v>
      </c>
      <c r="M85" s="83">
        <f t="shared" si="20"/>
        <v>1497.24</v>
      </c>
      <c r="N85" s="83">
        <f t="shared" si="20"/>
        <v>1436.24</v>
      </c>
      <c r="O85" s="83">
        <f t="shared" si="20"/>
        <v>1313.54</v>
      </c>
      <c r="P85" s="83">
        <f t="shared" si="20"/>
        <v>1258.94</v>
      </c>
      <c r="Q85" s="83">
        <f t="shared" si="20"/>
        <v>1201.94</v>
      </c>
      <c r="R85" s="83">
        <f t="shared" si="20"/>
        <v>1170.44</v>
      </c>
      <c r="S85" s="83">
        <f t="shared" si="20"/>
        <v>1184.2400000000002</v>
      </c>
      <c r="T85" s="83">
        <f t="shared" si="20"/>
        <v>1196.04</v>
      </c>
      <c r="U85" s="83">
        <f t="shared" si="20"/>
        <v>1233.7400000000002</v>
      </c>
      <c r="V85" s="83">
        <f t="shared" si="20"/>
        <v>1282.539</v>
      </c>
      <c r="W85" s="83">
        <f t="shared" si="20"/>
        <v>1685.34</v>
      </c>
      <c r="X85" s="83">
        <f t="shared" si="20"/>
        <v>1465.44</v>
      </c>
      <c r="Y85" s="83">
        <f t="shared" si="20"/>
        <v>1505.6389999999999</v>
      </c>
      <c r="Z85" s="83">
        <f t="shared" si="20"/>
        <v>1454.8390000000002</v>
      </c>
      <c r="AA85" s="83">
        <f t="shared" si="20"/>
        <v>1374.04</v>
      </c>
      <c r="AB85" s="83">
        <f t="shared" si="20"/>
        <v>1313.3400000000001</v>
      </c>
      <c r="AC85" s="83">
        <f t="shared" si="20"/>
        <v>1152.94</v>
      </c>
      <c r="AD85" s="83">
        <f t="shared" si="20"/>
        <v>1143.44</v>
      </c>
      <c r="AE85" s="83">
        <f t="shared" si="20"/>
        <v>1039.94</v>
      </c>
      <c r="AF85" s="83">
        <f t="shared" si="20"/>
        <v>976.13999999999987</v>
      </c>
      <c r="AG85" s="81"/>
      <c r="AH85" s="48">
        <f t="shared" si="13"/>
        <v>1685.34</v>
      </c>
      <c r="AI85" s="49">
        <f t="shared" si="14"/>
        <v>909.94</v>
      </c>
    </row>
    <row r="86" spans="1:37" x14ac:dyDescent="0.25">
      <c r="A86" s="44" t="s">
        <v>74</v>
      </c>
      <c r="B86" s="76">
        <f t="shared" ref="B86" si="21">IF(B69&lt;0,B69*-1,0)</f>
        <v>0</v>
      </c>
      <c r="C86" s="76">
        <f t="shared" ref="C86:AF86" si="22">IF(C69&lt;0,C69*-1,0)</f>
        <v>0</v>
      </c>
      <c r="D86" s="76">
        <f t="shared" si="22"/>
        <v>0</v>
      </c>
      <c r="E86" s="76">
        <f t="shared" si="22"/>
        <v>0</v>
      </c>
      <c r="F86" s="76">
        <f t="shared" si="22"/>
        <v>0</v>
      </c>
      <c r="G86" s="76">
        <f t="shared" si="22"/>
        <v>0</v>
      </c>
      <c r="H86" s="76">
        <f t="shared" si="22"/>
        <v>0</v>
      </c>
      <c r="I86" s="76">
        <f t="shared" si="22"/>
        <v>0</v>
      </c>
      <c r="J86" s="76">
        <f t="shared" si="22"/>
        <v>0</v>
      </c>
      <c r="K86" s="76">
        <f t="shared" si="22"/>
        <v>0</v>
      </c>
      <c r="L86" s="76">
        <f t="shared" si="22"/>
        <v>0</v>
      </c>
      <c r="M86" s="76">
        <f t="shared" si="22"/>
        <v>0</v>
      </c>
      <c r="N86" s="76">
        <f t="shared" si="22"/>
        <v>0</v>
      </c>
      <c r="O86" s="76">
        <f t="shared" si="22"/>
        <v>0</v>
      </c>
      <c r="P86" s="76">
        <f t="shared" si="22"/>
        <v>0</v>
      </c>
      <c r="Q86" s="76">
        <f t="shared" si="22"/>
        <v>0</v>
      </c>
      <c r="R86" s="76">
        <f t="shared" si="22"/>
        <v>0</v>
      </c>
      <c r="S86" s="76">
        <f t="shared" si="22"/>
        <v>0</v>
      </c>
      <c r="T86" s="76">
        <f t="shared" si="22"/>
        <v>0</v>
      </c>
      <c r="U86" s="76">
        <f t="shared" si="22"/>
        <v>0</v>
      </c>
      <c r="V86" s="76">
        <f t="shared" si="22"/>
        <v>0</v>
      </c>
      <c r="W86" s="76">
        <f t="shared" si="22"/>
        <v>0</v>
      </c>
      <c r="X86" s="76">
        <f t="shared" si="22"/>
        <v>0</v>
      </c>
      <c r="Y86" s="76">
        <f t="shared" si="22"/>
        <v>0</v>
      </c>
      <c r="Z86" s="76">
        <f t="shared" si="22"/>
        <v>0</v>
      </c>
      <c r="AA86" s="76">
        <f t="shared" si="22"/>
        <v>0</v>
      </c>
      <c r="AB86" s="76">
        <f t="shared" si="22"/>
        <v>0</v>
      </c>
      <c r="AC86" s="76">
        <f t="shared" si="22"/>
        <v>0</v>
      </c>
      <c r="AD86" s="76">
        <f t="shared" si="22"/>
        <v>0</v>
      </c>
      <c r="AE86" s="76">
        <f t="shared" si="22"/>
        <v>0</v>
      </c>
      <c r="AF86" s="76">
        <f t="shared" si="22"/>
        <v>0</v>
      </c>
      <c r="AG86" s="52"/>
      <c r="AH86" s="48">
        <f t="shared" si="13"/>
        <v>0</v>
      </c>
      <c r="AI86" s="49">
        <f t="shared" si="14"/>
        <v>0</v>
      </c>
    </row>
    <row r="87" spans="1:37" x14ac:dyDescent="0.25">
      <c r="A87" s="54" t="s">
        <v>72</v>
      </c>
      <c r="B87" s="76">
        <f t="shared" ref="B87" si="23">IF(B67&lt;0,B67*-1,0)</f>
        <v>0</v>
      </c>
      <c r="C87" s="76">
        <f t="shared" ref="C87:AF87" si="24">IF(C67&lt;0,C67*-1,0)</f>
        <v>0</v>
      </c>
      <c r="D87" s="76">
        <f t="shared" si="24"/>
        <v>0</v>
      </c>
      <c r="E87" s="76">
        <f t="shared" si="24"/>
        <v>0</v>
      </c>
      <c r="F87" s="76">
        <f t="shared" si="24"/>
        <v>0</v>
      </c>
      <c r="G87" s="76">
        <f t="shared" si="24"/>
        <v>0</v>
      </c>
      <c r="H87" s="76">
        <f t="shared" si="24"/>
        <v>0</v>
      </c>
      <c r="I87" s="76">
        <f t="shared" si="24"/>
        <v>0</v>
      </c>
      <c r="J87" s="76">
        <f t="shared" si="24"/>
        <v>0</v>
      </c>
      <c r="K87" s="76">
        <f t="shared" si="24"/>
        <v>0</v>
      </c>
      <c r="L87" s="76">
        <f t="shared" si="24"/>
        <v>0</v>
      </c>
      <c r="M87" s="76">
        <f t="shared" si="24"/>
        <v>0</v>
      </c>
      <c r="N87" s="76">
        <f t="shared" si="24"/>
        <v>0</v>
      </c>
      <c r="O87" s="76">
        <f t="shared" si="24"/>
        <v>0</v>
      </c>
      <c r="P87" s="76">
        <f t="shared" si="24"/>
        <v>0</v>
      </c>
      <c r="Q87" s="76">
        <f t="shared" si="24"/>
        <v>0</v>
      </c>
      <c r="R87" s="76">
        <f t="shared" si="24"/>
        <v>0</v>
      </c>
      <c r="S87" s="76">
        <f t="shared" si="24"/>
        <v>0</v>
      </c>
      <c r="T87" s="76">
        <f t="shared" si="24"/>
        <v>0</v>
      </c>
      <c r="U87" s="76">
        <f t="shared" si="24"/>
        <v>0</v>
      </c>
      <c r="V87" s="76">
        <f t="shared" si="24"/>
        <v>0</v>
      </c>
      <c r="W87" s="76">
        <f t="shared" si="24"/>
        <v>0</v>
      </c>
      <c r="X87" s="76">
        <f t="shared" si="24"/>
        <v>0</v>
      </c>
      <c r="Y87" s="76">
        <f t="shared" si="24"/>
        <v>0</v>
      </c>
      <c r="Z87" s="76">
        <f t="shared" si="24"/>
        <v>0</v>
      </c>
      <c r="AA87" s="76">
        <f t="shared" si="24"/>
        <v>0</v>
      </c>
      <c r="AB87" s="76">
        <f t="shared" si="24"/>
        <v>0</v>
      </c>
      <c r="AC87" s="76">
        <f t="shared" si="24"/>
        <v>0</v>
      </c>
      <c r="AD87" s="76">
        <f t="shared" si="24"/>
        <v>0</v>
      </c>
      <c r="AE87" s="76">
        <f t="shared" si="24"/>
        <v>0</v>
      </c>
      <c r="AF87" s="76">
        <f t="shared" si="24"/>
        <v>0</v>
      </c>
      <c r="AG87" s="55"/>
      <c r="AH87" s="48">
        <f t="shared" si="13"/>
        <v>0</v>
      </c>
      <c r="AI87" s="49">
        <f t="shared" si="14"/>
        <v>0</v>
      </c>
    </row>
    <row r="88" spans="1:37" x14ac:dyDescent="0.25">
      <c r="A88" s="78" t="s">
        <v>91</v>
      </c>
      <c r="B88" s="76">
        <f t="shared" ref="B88" si="25">IF(B70&lt;0,B70*-1,0)</f>
        <v>0</v>
      </c>
      <c r="C88" s="76">
        <f t="shared" ref="C88:AF88" si="26">IF(C70&lt;0,C70*-1,0)</f>
        <v>0</v>
      </c>
      <c r="D88" s="76">
        <f t="shared" si="26"/>
        <v>0</v>
      </c>
      <c r="E88" s="76">
        <f t="shared" si="26"/>
        <v>0</v>
      </c>
      <c r="F88" s="76">
        <f t="shared" si="26"/>
        <v>0</v>
      </c>
      <c r="G88" s="76">
        <f t="shared" si="26"/>
        <v>0</v>
      </c>
      <c r="H88" s="76">
        <f t="shared" si="26"/>
        <v>0</v>
      </c>
      <c r="I88" s="76">
        <f t="shared" si="26"/>
        <v>0</v>
      </c>
      <c r="J88" s="76">
        <f t="shared" si="26"/>
        <v>0</v>
      </c>
      <c r="K88" s="76">
        <f t="shared" si="26"/>
        <v>0</v>
      </c>
      <c r="L88" s="76">
        <f t="shared" si="26"/>
        <v>0</v>
      </c>
      <c r="M88" s="76">
        <f t="shared" si="26"/>
        <v>0</v>
      </c>
      <c r="N88" s="76">
        <f t="shared" si="26"/>
        <v>0</v>
      </c>
      <c r="O88" s="76">
        <f t="shared" si="26"/>
        <v>0</v>
      </c>
      <c r="P88" s="76">
        <f t="shared" si="26"/>
        <v>0</v>
      </c>
      <c r="Q88" s="76">
        <f t="shared" si="26"/>
        <v>0</v>
      </c>
      <c r="R88" s="76">
        <f t="shared" si="26"/>
        <v>0</v>
      </c>
      <c r="S88" s="76">
        <f t="shared" si="26"/>
        <v>0</v>
      </c>
      <c r="T88" s="76">
        <f t="shared" si="26"/>
        <v>0</v>
      </c>
      <c r="U88" s="76">
        <f t="shared" si="26"/>
        <v>0</v>
      </c>
      <c r="V88" s="76">
        <f t="shared" si="26"/>
        <v>0</v>
      </c>
      <c r="W88" s="76">
        <f t="shared" si="26"/>
        <v>0</v>
      </c>
      <c r="X88" s="76">
        <f t="shared" si="26"/>
        <v>0</v>
      </c>
      <c r="Y88" s="76">
        <f t="shared" si="26"/>
        <v>0</v>
      </c>
      <c r="Z88" s="76">
        <f t="shared" si="26"/>
        <v>0</v>
      </c>
      <c r="AA88" s="76">
        <f t="shared" si="26"/>
        <v>0</v>
      </c>
      <c r="AB88" s="76">
        <f t="shared" si="26"/>
        <v>0</v>
      </c>
      <c r="AC88" s="76">
        <f t="shared" si="26"/>
        <v>0</v>
      </c>
      <c r="AD88" s="76">
        <f t="shared" si="26"/>
        <v>0</v>
      </c>
      <c r="AE88" s="76">
        <f t="shared" si="26"/>
        <v>0</v>
      </c>
      <c r="AF88" s="76">
        <f t="shared" si="26"/>
        <v>0</v>
      </c>
      <c r="AG88" s="86"/>
      <c r="AH88" s="48">
        <f t="shared" si="13"/>
        <v>0</v>
      </c>
      <c r="AI88" s="49">
        <f t="shared" si="14"/>
        <v>0</v>
      </c>
    </row>
    <row r="89" spans="1:37" x14ac:dyDescent="0.25">
      <c r="A89" s="78" t="s">
        <v>92</v>
      </c>
      <c r="B89" s="76">
        <f t="shared" ref="B89" si="27">IF(B68&lt;0,B68*-1,0)</f>
        <v>81</v>
      </c>
      <c r="C89" s="76">
        <f t="shared" ref="C89:AF89" si="28">IF(C68&lt;0,C68*-1,0)</f>
        <v>85</v>
      </c>
      <c r="D89" s="76">
        <f t="shared" si="28"/>
        <v>81.599999999999994</v>
      </c>
      <c r="E89" s="76">
        <f t="shared" si="28"/>
        <v>79.2</v>
      </c>
      <c r="F89" s="76">
        <f t="shared" si="28"/>
        <v>72</v>
      </c>
      <c r="G89" s="76">
        <f t="shared" si="28"/>
        <v>78</v>
      </c>
      <c r="H89" s="76">
        <f t="shared" si="28"/>
        <v>84</v>
      </c>
      <c r="I89" s="76">
        <f t="shared" si="28"/>
        <v>74</v>
      </c>
      <c r="J89" s="76">
        <f t="shared" si="28"/>
        <v>83</v>
      </c>
      <c r="K89" s="76">
        <f t="shared" si="28"/>
        <v>130</v>
      </c>
      <c r="L89" s="76">
        <f t="shared" si="28"/>
        <v>132</v>
      </c>
      <c r="M89" s="76">
        <f t="shared" si="28"/>
        <v>124</v>
      </c>
      <c r="N89" s="76">
        <f t="shared" si="28"/>
        <v>140</v>
      </c>
      <c r="O89" s="76">
        <f t="shared" si="28"/>
        <v>0</v>
      </c>
      <c r="P89" s="76">
        <f t="shared" si="28"/>
        <v>1</v>
      </c>
      <c r="Q89" s="76">
        <f t="shared" si="28"/>
        <v>10</v>
      </c>
      <c r="R89" s="76">
        <f t="shared" si="28"/>
        <v>0</v>
      </c>
      <c r="S89" s="76">
        <f t="shared" si="28"/>
        <v>0</v>
      </c>
      <c r="T89" s="76">
        <f t="shared" si="28"/>
        <v>7.9</v>
      </c>
      <c r="U89" s="76">
        <f t="shared" si="28"/>
        <v>4.8</v>
      </c>
      <c r="V89" s="76">
        <f t="shared" si="28"/>
        <v>0</v>
      </c>
      <c r="W89" s="76">
        <f t="shared" si="28"/>
        <v>0</v>
      </c>
      <c r="X89" s="76">
        <f t="shared" si="28"/>
        <v>214</v>
      </c>
      <c r="Y89" s="76">
        <f t="shared" si="28"/>
        <v>200</v>
      </c>
      <c r="Z89" s="76">
        <f t="shared" si="28"/>
        <v>150</v>
      </c>
      <c r="AA89" s="76">
        <f t="shared" si="28"/>
        <v>160</v>
      </c>
      <c r="AB89" s="76">
        <f t="shared" si="28"/>
        <v>180</v>
      </c>
      <c r="AC89" s="76">
        <f t="shared" si="28"/>
        <v>174</v>
      </c>
      <c r="AD89" s="76">
        <f t="shared" si="28"/>
        <v>175</v>
      </c>
      <c r="AE89" s="76">
        <f t="shared" si="28"/>
        <v>125</v>
      </c>
      <c r="AF89" s="76">
        <f t="shared" si="28"/>
        <v>126</v>
      </c>
      <c r="AG89" s="86"/>
      <c r="AH89" s="48">
        <f t="shared" si="13"/>
        <v>214</v>
      </c>
      <c r="AI89" s="49">
        <f t="shared" si="14"/>
        <v>0</v>
      </c>
    </row>
    <row r="90" spans="1:37" x14ac:dyDescent="0.25">
      <c r="A90" s="78" t="s">
        <v>71</v>
      </c>
      <c r="B90" s="76">
        <f t="shared" ref="B90" si="29">IF(B66&lt;0,B66*-1,0)</f>
        <v>0</v>
      </c>
      <c r="C90" s="76">
        <f t="shared" ref="C90:AF90" si="30">IF(C66&lt;0,C66*-1,0)</f>
        <v>0</v>
      </c>
      <c r="D90" s="76">
        <f t="shared" si="30"/>
        <v>0</v>
      </c>
      <c r="E90" s="76">
        <f t="shared" si="30"/>
        <v>0</v>
      </c>
      <c r="F90" s="76">
        <f t="shared" si="30"/>
        <v>0</v>
      </c>
      <c r="G90" s="76">
        <f t="shared" si="30"/>
        <v>0</v>
      </c>
      <c r="H90" s="76">
        <f t="shared" si="30"/>
        <v>0</v>
      </c>
      <c r="I90" s="76">
        <f t="shared" si="30"/>
        <v>0</v>
      </c>
      <c r="J90" s="76">
        <f t="shared" si="30"/>
        <v>0</v>
      </c>
      <c r="K90" s="76">
        <f t="shared" si="30"/>
        <v>0</v>
      </c>
      <c r="L90" s="76">
        <f t="shared" si="30"/>
        <v>0</v>
      </c>
      <c r="M90" s="76">
        <f t="shared" si="30"/>
        <v>0</v>
      </c>
      <c r="N90" s="76">
        <f t="shared" si="30"/>
        <v>0</v>
      </c>
      <c r="O90" s="76">
        <f t="shared" si="30"/>
        <v>0</v>
      </c>
      <c r="P90" s="76">
        <f t="shared" si="30"/>
        <v>0</v>
      </c>
      <c r="Q90" s="76">
        <f t="shared" si="30"/>
        <v>0</v>
      </c>
      <c r="R90" s="76">
        <f t="shared" si="30"/>
        <v>0</v>
      </c>
      <c r="S90" s="76">
        <f t="shared" si="30"/>
        <v>0</v>
      </c>
      <c r="T90" s="76">
        <f t="shared" si="30"/>
        <v>0</v>
      </c>
      <c r="U90" s="76">
        <f t="shared" si="30"/>
        <v>0</v>
      </c>
      <c r="V90" s="76">
        <f t="shared" si="30"/>
        <v>0</v>
      </c>
      <c r="W90" s="76">
        <f t="shared" si="30"/>
        <v>0</v>
      </c>
      <c r="X90" s="76">
        <f t="shared" si="30"/>
        <v>0</v>
      </c>
      <c r="Y90" s="76">
        <f t="shared" si="30"/>
        <v>0</v>
      </c>
      <c r="Z90" s="76">
        <f t="shared" si="30"/>
        <v>0</v>
      </c>
      <c r="AA90" s="76">
        <f t="shared" si="30"/>
        <v>0</v>
      </c>
      <c r="AB90" s="76">
        <f t="shared" si="30"/>
        <v>0</v>
      </c>
      <c r="AC90" s="76">
        <f t="shared" si="30"/>
        <v>0</v>
      </c>
      <c r="AD90" s="76">
        <f t="shared" si="30"/>
        <v>0</v>
      </c>
      <c r="AE90" s="76">
        <f t="shared" si="30"/>
        <v>0</v>
      </c>
      <c r="AF90" s="76">
        <f t="shared" si="30"/>
        <v>0</v>
      </c>
      <c r="AG90" s="86"/>
      <c r="AH90" s="48">
        <f t="shared" si="13"/>
        <v>0</v>
      </c>
      <c r="AI90" s="49">
        <f t="shared" si="14"/>
        <v>0</v>
      </c>
    </row>
    <row r="91" spans="1:37" ht="15.75" thickBot="1" x14ac:dyDescent="0.3">
      <c r="A91" s="78" t="s">
        <v>93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>
        <v>0</v>
      </c>
      <c r="AA91" s="79">
        <v>0</v>
      </c>
      <c r="AB91" s="79">
        <v>0</v>
      </c>
      <c r="AC91" s="79"/>
      <c r="AD91" s="79"/>
      <c r="AE91" s="79"/>
      <c r="AF91" s="79"/>
      <c r="AG91" s="80"/>
      <c r="AH91" s="48">
        <f t="shared" si="13"/>
        <v>0</v>
      </c>
      <c r="AI91" s="49">
        <f t="shared" si="14"/>
        <v>0</v>
      </c>
    </row>
    <row r="92" spans="1:37" ht="15.75" thickBot="1" x14ac:dyDescent="0.3">
      <c r="A92" s="87" t="s">
        <v>94</v>
      </c>
      <c r="B92" s="61">
        <f t="shared" ref="B92" si="31">SUM(B86:B91)</f>
        <v>81</v>
      </c>
      <c r="C92" s="61">
        <f t="shared" ref="C92:AF92" si="32">SUM(C86:C91)</f>
        <v>85</v>
      </c>
      <c r="D92" s="61">
        <f t="shared" si="32"/>
        <v>81.599999999999994</v>
      </c>
      <c r="E92" s="61">
        <f t="shared" si="32"/>
        <v>79.2</v>
      </c>
      <c r="F92" s="61">
        <f t="shared" si="32"/>
        <v>72</v>
      </c>
      <c r="G92" s="61">
        <f t="shared" si="32"/>
        <v>78</v>
      </c>
      <c r="H92" s="61">
        <f t="shared" si="32"/>
        <v>84</v>
      </c>
      <c r="I92" s="61">
        <f t="shared" si="32"/>
        <v>74</v>
      </c>
      <c r="J92" s="61">
        <f t="shared" si="32"/>
        <v>83</v>
      </c>
      <c r="K92" s="61">
        <f t="shared" si="32"/>
        <v>130</v>
      </c>
      <c r="L92" s="61">
        <f t="shared" si="32"/>
        <v>132</v>
      </c>
      <c r="M92" s="61">
        <f t="shared" si="32"/>
        <v>124</v>
      </c>
      <c r="N92" s="61">
        <f t="shared" si="32"/>
        <v>140</v>
      </c>
      <c r="O92" s="61">
        <f t="shared" si="32"/>
        <v>0</v>
      </c>
      <c r="P92" s="61">
        <f t="shared" si="32"/>
        <v>1</v>
      </c>
      <c r="Q92" s="61">
        <f t="shared" si="32"/>
        <v>10</v>
      </c>
      <c r="R92" s="61">
        <f t="shared" si="32"/>
        <v>0</v>
      </c>
      <c r="S92" s="61">
        <f t="shared" si="32"/>
        <v>0</v>
      </c>
      <c r="T92" s="61">
        <f t="shared" si="32"/>
        <v>7.9</v>
      </c>
      <c r="U92" s="61">
        <f t="shared" si="32"/>
        <v>4.8</v>
      </c>
      <c r="V92" s="61">
        <f t="shared" si="32"/>
        <v>0</v>
      </c>
      <c r="W92" s="61">
        <f t="shared" si="32"/>
        <v>0</v>
      </c>
      <c r="X92" s="61">
        <f t="shared" si="32"/>
        <v>214</v>
      </c>
      <c r="Y92" s="61">
        <f t="shared" si="32"/>
        <v>200</v>
      </c>
      <c r="Z92" s="61">
        <f t="shared" si="32"/>
        <v>150</v>
      </c>
      <c r="AA92" s="61">
        <f t="shared" si="32"/>
        <v>160</v>
      </c>
      <c r="AB92" s="61">
        <f t="shared" si="32"/>
        <v>180</v>
      </c>
      <c r="AC92" s="61">
        <f t="shared" si="32"/>
        <v>174</v>
      </c>
      <c r="AD92" s="61">
        <f t="shared" si="32"/>
        <v>175</v>
      </c>
      <c r="AE92" s="61">
        <f t="shared" si="32"/>
        <v>125</v>
      </c>
      <c r="AF92" s="61">
        <f t="shared" si="32"/>
        <v>126</v>
      </c>
      <c r="AG92" s="81"/>
      <c r="AH92" s="48">
        <f t="shared" si="13"/>
        <v>214</v>
      </c>
      <c r="AI92" s="49">
        <f t="shared" si="14"/>
        <v>0</v>
      </c>
      <c r="AK92" s="50"/>
    </row>
    <row r="93" spans="1:37" ht="15.75" thickBot="1" x14ac:dyDescent="0.3">
      <c r="A93" s="74" t="s">
        <v>95</v>
      </c>
      <c r="B93" s="61">
        <f t="shared" ref="B93" si="33">B77-B92</f>
        <v>-81</v>
      </c>
      <c r="C93" s="61">
        <f t="shared" ref="C93:AF93" si="34">C77-C92</f>
        <v>-85</v>
      </c>
      <c r="D93" s="61">
        <f t="shared" si="34"/>
        <v>-81.599999999999994</v>
      </c>
      <c r="E93" s="61">
        <f t="shared" si="34"/>
        <v>-79.2</v>
      </c>
      <c r="F93" s="61">
        <f t="shared" si="34"/>
        <v>-72</v>
      </c>
      <c r="G93" s="61">
        <f t="shared" si="34"/>
        <v>-78</v>
      </c>
      <c r="H93" s="61">
        <f t="shared" si="34"/>
        <v>-84</v>
      </c>
      <c r="I93" s="61">
        <f t="shared" si="34"/>
        <v>-59</v>
      </c>
      <c r="J93" s="61">
        <f t="shared" si="34"/>
        <v>-62</v>
      </c>
      <c r="K93" s="61">
        <f t="shared" si="34"/>
        <v>-108</v>
      </c>
      <c r="L93" s="61">
        <f t="shared" si="34"/>
        <v>-80.099999999999994</v>
      </c>
      <c r="M93" s="61">
        <f t="shared" si="34"/>
        <v>-98</v>
      </c>
      <c r="N93" s="61">
        <f t="shared" si="34"/>
        <v>-119</v>
      </c>
      <c r="O93" s="61">
        <f t="shared" si="34"/>
        <v>34.1</v>
      </c>
      <c r="P93" s="61">
        <f t="shared" si="34"/>
        <v>15</v>
      </c>
      <c r="Q93" s="61">
        <f t="shared" si="34"/>
        <v>6.3000000000000007</v>
      </c>
      <c r="R93" s="61">
        <f t="shared" si="34"/>
        <v>23.5</v>
      </c>
      <c r="S93" s="61">
        <f t="shared" si="34"/>
        <v>30</v>
      </c>
      <c r="T93" s="61">
        <f t="shared" si="34"/>
        <v>11.1</v>
      </c>
      <c r="U93" s="61">
        <f t="shared" si="34"/>
        <v>9.6000000000000014</v>
      </c>
      <c r="V93" s="61">
        <f t="shared" si="34"/>
        <v>26</v>
      </c>
      <c r="W93" s="61">
        <f t="shared" si="34"/>
        <v>142</v>
      </c>
      <c r="X93" s="61">
        <f t="shared" si="34"/>
        <v>-194.5</v>
      </c>
      <c r="Y93" s="61">
        <f t="shared" si="34"/>
        <v>-184</v>
      </c>
      <c r="Z93" s="61">
        <f t="shared" si="34"/>
        <v>-124.8</v>
      </c>
      <c r="AA93" s="61">
        <f t="shared" si="34"/>
        <v>-139.19999999999999</v>
      </c>
      <c r="AB93" s="61">
        <f t="shared" si="34"/>
        <v>-163.5</v>
      </c>
      <c r="AC93" s="61">
        <f t="shared" si="34"/>
        <v>-161</v>
      </c>
      <c r="AD93" s="61">
        <f t="shared" si="34"/>
        <v>-162</v>
      </c>
      <c r="AE93" s="61">
        <f t="shared" si="34"/>
        <v>-125</v>
      </c>
      <c r="AF93" s="61">
        <f t="shared" si="34"/>
        <v>-126</v>
      </c>
      <c r="AG93" s="81"/>
      <c r="AH93" s="48">
        <f t="shared" si="13"/>
        <v>142</v>
      </c>
      <c r="AI93" s="49">
        <f t="shared" si="14"/>
        <v>-194.5</v>
      </c>
    </row>
    <row r="94" spans="1:37" x14ac:dyDescent="0.25">
      <c r="A94" s="88" t="s">
        <v>96</v>
      </c>
      <c r="B94" s="89">
        <v>49.997999999999998</v>
      </c>
      <c r="C94" s="89">
        <v>49.97</v>
      </c>
      <c r="D94" s="89">
        <v>50.000999999999998</v>
      </c>
      <c r="E94" s="89">
        <v>49.97</v>
      </c>
      <c r="F94" s="89">
        <v>49.95</v>
      </c>
      <c r="G94" s="89">
        <v>50.04</v>
      </c>
      <c r="H94" s="89">
        <v>50.04</v>
      </c>
      <c r="I94" s="89">
        <v>50.03</v>
      </c>
      <c r="J94" s="89">
        <v>50.06</v>
      </c>
      <c r="K94" s="89">
        <v>49.88</v>
      </c>
      <c r="L94" s="89">
        <v>49.96</v>
      </c>
      <c r="M94" s="89">
        <v>50.04</v>
      </c>
      <c r="N94" s="89">
        <v>49.98</v>
      </c>
      <c r="O94" s="89">
        <v>50.045999999999999</v>
      </c>
      <c r="P94" s="89">
        <v>50.029000000000003</v>
      </c>
      <c r="Q94" s="89">
        <v>50.048000000000002</v>
      </c>
      <c r="R94" s="89">
        <v>49.944000000000003</v>
      </c>
      <c r="S94" s="89">
        <v>49.988</v>
      </c>
      <c r="T94" s="89">
        <v>49.988</v>
      </c>
      <c r="U94" s="89">
        <v>49.966000000000001</v>
      </c>
      <c r="V94" s="89">
        <v>49.997999999999998</v>
      </c>
      <c r="W94" s="89">
        <v>49.942999999999998</v>
      </c>
      <c r="X94" s="89">
        <v>49.984999999999999</v>
      </c>
      <c r="Y94" s="89">
        <v>50.015000000000001</v>
      </c>
      <c r="Z94" s="89">
        <v>50.21</v>
      </c>
      <c r="AA94" s="89">
        <v>50.088000000000001</v>
      </c>
      <c r="AB94" s="89">
        <v>50.28</v>
      </c>
      <c r="AC94" s="89">
        <v>50.23</v>
      </c>
      <c r="AD94" s="89">
        <v>50.03</v>
      </c>
      <c r="AE94" s="89">
        <v>50.1</v>
      </c>
      <c r="AF94" s="89">
        <v>49.96</v>
      </c>
      <c r="AG94" s="90"/>
      <c r="AH94" s="48">
        <f t="shared" si="13"/>
        <v>50.28</v>
      </c>
      <c r="AI94" s="49">
        <f t="shared" si="14"/>
        <v>49.88</v>
      </c>
    </row>
    <row r="95" spans="1:37" x14ac:dyDescent="0.25">
      <c r="A95" s="91" t="s">
        <v>97</v>
      </c>
      <c r="B95" s="65">
        <v>126.5</v>
      </c>
      <c r="C95" s="65">
        <v>127.5</v>
      </c>
      <c r="D95" s="65">
        <v>128.5</v>
      </c>
      <c r="E95" s="65">
        <v>127.4</v>
      </c>
      <c r="F95" s="65">
        <v>128.80000000000001</v>
      </c>
      <c r="G95" s="65">
        <v>126.5</v>
      </c>
      <c r="H95" s="65">
        <v>126.5</v>
      </c>
      <c r="I95" s="65">
        <v>126.5</v>
      </c>
      <c r="J95" s="65">
        <v>123.8</v>
      </c>
      <c r="K95" s="65">
        <v>123.8</v>
      </c>
      <c r="L95" s="65">
        <v>125.1</v>
      </c>
      <c r="M95" s="65">
        <v>122</v>
      </c>
      <c r="N95" s="65">
        <v>123.9</v>
      </c>
      <c r="O95" s="65">
        <v>124</v>
      </c>
      <c r="P95" s="65" t="s">
        <v>276</v>
      </c>
      <c r="Q95" s="65">
        <v>126.1</v>
      </c>
      <c r="R95" s="65">
        <v>127.1</v>
      </c>
      <c r="S95" s="65">
        <v>126.8</v>
      </c>
      <c r="T95" s="65">
        <v>126.8</v>
      </c>
      <c r="U95" s="65">
        <v>127.8</v>
      </c>
      <c r="V95" s="65">
        <v>128.80000000000001</v>
      </c>
      <c r="W95" s="65">
        <v>127.1</v>
      </c>
      <c r="X95" s="65">
        <v>127.4</v>
      </c>
      <c r="Y95" s="65">
        <v>127</v>
      </c>
      <c r="Z95" s="65">
        <v>130.6</v>
      </c>
      <c r="AA95" s="65">
        <v>129.5</v>
      </c>
      <c r="AB95" s="65">
        <v>130</v>
      </c>
      <c r="AC95" s="65">
        <v>127.6</v>
      </c>
      <c r="AD95" s="65">
        <v>127.6</v>
      </c>
      <c r="AE95" s="65">
        <v>127.6</v>
      </c>
      <c r="AF95" s="65">
        <v>127.6</v>
      </c>
      <c r="AG95" s="92"/>
      <c r="AH95" s="48">
        <f t="shared" si="13"/>
        <v>130.6</v>
      </c>
      <c r="AI95" s="49">
        <f t="shared" si="14"/>
        <v>122</v>
      </c>
    </row>
    <row r="96" spans="1:37" x14ac:dyDescent="0.25">
      <c r="A96" s="91" t="s">
        <v>98</v>
      </c>
      <c r="B96" s="65">
        <v>130.6</v>
      </c>
      <c r="C96" s="65">
        <v>131.30000000000001</v>
      </c>
      <c r="D96" s="65">
        <v>132</v>
      </c>
      <c r="E96" s="65">
        <v>131.30000000000001</v>
      </c>
      <c r="F96" s="65">
        <v>132.1</v>
      </c>
      <c r="G96" s="65">
        <v>130.4</v>
      </c>
      <c r="H96" s="65">
        <v>130.4</v>
      </c>
      <c r="I96" s="65">
        <v>129.80000000000001</v>
      </c>
      <c r="J96" s="65">
        <v>127.4</v>
      </c>
      <c r="K96" s="65">
        <v>127.1</v>
      </c>
      <c r="L96" s="65">
        <v>127.2</v>
      </c>
      <c r="M96" s="65">
        <v>125</v>
      </c>
      <c r="N96" s="65">
        <v>127.2</v>
      </c>
      <c r="O96" s="65">
        <v>126.8</v>
      </c>
      <c r="P96" s="65">
        <v>128</v>
      </c>
      <c r="Q96" s="65">
        <v>129</v>
      </c>
      <c r="R96" s="65">
        <v>129.5</v>
      </c>
      <c r="S96" s="65">
        <v>129.4</v>
      </c>
      <c r="T96" s="65">
        <v>129.4</v>
      </c>
      <c r="U96" s="65">
        <v>129.80000000000001</v>
      </c>
      <c r="V96" s="65">
        <v>130.30000000000001</v>
      </c>
      <c r="W96" s="65">
        <v>126.9</v>
      </c>
      <c r="X96" s="65">
        <v>128.69999999999999</v>
      </c>
      <c r="Y96" s="65">
        <v>128.9</v>
      </c>
      <c r="Z96" s="65">
        <v>131.4</v>
      </c>
      <c r="AA96" s="65">
        <v>130.69999999999999</v>
      </c>
      <c r="AB96" s="65">
        <v>131.4</v>
      </c>
      <c r="AC96" s="65">
        <v>130</v>
      </c>
      <c r="AD96" s="65">
        <v>130</v>
      </c>
      <c r="AE96" s="65">
        <v>130</v>
      </c>
      <c r="AF96" s="65">
        <v>130</v>
      </c>
      <c r="AG96" s="92"/>
      <c r="AH96" s="48">
        <f t="shared" si="13"/>
        <v>132.1</v>
      </c>
      <c r="AI96" s="49">
        <f t="shared" si="14"/>
        <v>125</v>
      </c>
    </row>
    <row r="97" spans="1:35" x14ac:dyDescent="0.25">
      <c r="A97" s="91" t="s">
        <v>99</v>
      </c>
      <c r="B97" s="65">
        <v>132.1</v>
      </c>
      <c r="C97" s="65">
        <v>131.9</v>
      </c>
      <c r="D97" s="65">
        <v>131.69999999999999</v>
      </c>
      <c r="E97" s="65">
        <v>132.80000000000001</v>
      </c>
      <c r="F97" s="65">
        <v>133.1</v>
      </c>
      <c r="G97" s="65">
        <v>131.9</v>
      </c>
      <c r="H97" s="65">
        <v>131.9</v>
      </c>
      <c r="I97" s="65">
        <v>131.30000000000001</v>
      </c>
      <c r="J97" s="65">
        <v>126.2</v>
      </c>
      <c r="K97" s="65">
        <v>128.30000000000001</v>
      </c>
      <c r="L97" s="65">
        <v>127.6</v>
      </c>
      <c r="M97" s="65">
        <v>127.6</v>
      </c>
      <c r="N97" s="65">
        <v>130.4</v>
      </c>
      <c r="O97" s="65">
        <v>126.8</v>
      </c>
      <c r="P97" s="65">
        <v>128.69999999999999</v>
      </c>
      <c r="Q97" s="65">
        <v>131.4</v>
      </c>
      <c r="R97" s="65">
        <v>130.5</v>
      </c>
      <c r="S97" s="65">
        <v>128.80000000000001</v>
      </c>
      <c r="T97" s="65">
        <v>128.80000000000001</v>
      </c>
      <c r="U97" s="65">
        <v>129.69999999999999</v>
      </c>
      <c r="V97" s="65">
        <v>131.9</v>
      </c>
      <c r="W97" s="65">
        <v>128.1</v>
      </c>
      <c r="X97" s="65">
        <v>131</v>
      </c>
      <c r="Y97" s="65">
        <v>130.9</v>
      </c>
      <c r="Z97" s="65">
        <v>132.19999999999999</v>
      </c>
      <c r="AA97" s="65">
        <v>133.4</v>
      </c>
      <c r="AB97" s="65">
        <v>132</v>
      </c>
      <c r="AC97" s="65">
        <v>131.80000000000001</v>
      </c>
      <c r="AD97" s="65">
        <v>131.80000000000001</v>
      </c>
      <c r="AE97" s="65">
        <v>131.80000000000001</v>
      </c>
      <c r="AF97" s="65">
        <v>131.80000000000001</v>
      </c>
      <c r="AG97" s="92"/>
      <c r="AH97" s="48">
        <f t="shared" si="13"/>
        <v>133.4</v>
      </c>
      <c r="AI97" s="49">
        <f t="shared" si="14"/>
        <v>126.2</v>
      </c>
    </row>
    <row r="98" spans="1:35" x14ac:dyDescent="0.25">
      <c r="A98" s="93" t="s">
        <v>100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3"/>
        <v>0</v>
      </c>
      <c r="AI98" s="49">
        <f t="shared" si="14"/>
        <v>0</v>
      </c>
    </row>
    <row r="99" spans="1:35" x14ac:dyDescent="0.25">
      <c r="A99" s="93" t="s">
        <v>101</v>
      </c>
      <c r="B99" s="94">
        <v>133.4</v>
      </c>
      <c r="C99" s="94">
        <v>131.9</v>
      </c>
      <c r="D99" s="94">
        <v>134.6</v>
      </c>
      <c r="E99" s="94">
        <v>132.4</v>
      </c>
      <c r="F99" s="94">
        <v>133.9</v>
      </c>
      <c r="G99" s="94">
        <v>132.80000000000001</v>
      </c>
      <c r="H99" s="94">
        <v>132.80000000000001</v>
      </c>
      <c r="I99" s="94">
        <v>133.5</v>
      </c>
      <c r="J99" s="94">
        <v>132.9</v>
      </c>
      <c r="K99" s="94">
        <v>132.4</v>
      </c>
      <c r="L99" s="94">
        <v>134.19999999999999</v>
      </c>
      <c r="M99" s="94">
        <v>131.4</v>
      </c>
      <c r="N99" s="94">
        <v>132.5</v>
      </c>
      <c r="O99" s="94">
        <v>132.30000000000001</v>
      </c>
      <c r="P99" s="94">
        <v>132.80000000000001</v>
      </c>
      <c r="Q99" s="94">
        <v>132.6</v>
      </c>
      <c r="R99" s="94">
        <v>132.19999999999999</v>
      </c>
      <c r="S99" s="94">
        <v>132.19999999999999</v>
      </c>
      <c r="T99" s="94">
        <v>132.19999999999999</v>
      </c>
      <c r="U99" s="94">
        <v>133.5</v>
      </c>
      <c r="V99" s="94">
        <v>135.80000000000001</v>
      </c>
      <c r="W99" s="94">
        <v>134.30000000000001</v>
      </c>
      <c r="X99" s="94">
        <v>135.69999999999999</v>
      </c>
      <c r="Y99" s="94">
        <v>134.80000000000001</v>
      </c>
      <c r="Z99" s="94">
        <v>134.4</v>
      </c>
      <c r="AA99" s="94">
        <v>133.9</v>
      </c>
      <c r="AB99" s="94">
        <v>135</v>
      </c>
      <c r="AC99" s="94">
        <v>133</v>
      </c>
      <c r="AD99" s="94">
        <v>133</v>
      </c>
      <c r="AE99" s="94">
        <v>133</v>
      </c>
      <c r="AF99" s="94">
        <v>133</v>
      </c>
      <c r="AG99" s="95"/>
      <c r="AH99" s="48">
        <f t="shared" si="13"/>
        <v>135.80000000000001</v>
      </c>
      <c r="AI99" s="49">
        <f t="shared" si="14"/>
        <v>131.4</v>
      </c>
    </row>
    <row r="100" spans="1:35" x14ac:dyDescent="0.25">
      <c r="A100" s="91" t="s">
        <v>102</v>
      </c>
      <c r="B100" s="65">
        <v>132.19999999999999</v>
      </c>
      <c r="C100" s="65">
        <v>132.69999999999999</v>
      </c>
      <c r="D100" s="65">
        <v>134.69999999999999</v>
      </c>
      <c r="E100" s="65">
        <v>132.69999999999999</v>
      </c>
      <c r="F100" s="65">
        <v>133.9</v>
      </c>
      <c r="G100" s="65">
        <v>132.4</v>
      </c>
      <c r="H100" s="65">
        <v>132.4</v>
      </c>
      <c r="I100" s="65">
        <v>133.1</v>
      </c>
      <c r="J100" s="65">
        <v>132.19999999999999</v>
      </c>
      <c r="K100" s="65">
        <v>131.6</v>
      </c>
      <c r="L100" s="65">
        <v>133.6</v>
      </c>
      <c r="M100" s="65">
        <v>131</v>
      </c>
      <c r="N100" s="65">
        <v>129.9</v>
      </c>
      <c r="O100" s="65">
        <v>133.1</v>
      </c>
      <c r="P100" s="65">
        <v>129.9</v>
      </c>
      <c r="Q100" s="65">
        <v>131.1</v>
      </c>
      <c r="R100" s="65">
        <v>129.6</v>
      </c>
      <c r="S100" s="65">
        <v>129.30000000000001</v>
      </c>
      <c r="T100" s="65">
        <v>129.30000000000001</v>
      </c>
      <c r="U100" s="65">
        <v>127.8</v>
      </c>
      <c r="V100" s="65">
        <v>127.4</v>
      </c>
      <c r="W100" s="65">
        <v>131.1</v>
      </c>
      <c r="X100" s="65">
        <v>133.69999999999999</v>
      </c>
      <c r="Y100" s="65">
        <v>134.1</v>
      </c>
      <c r="Z100" s="65">
        <v>133.5</v>
      </c>
      <c r="AA100" s="65">
        <v>134.30000000000001</v>
      </c>
      <c r="AB100" s="65">
        <v>133</v>
      </c>
      <c r="AC100" s="65">
        <v>133</v>
      </c>
      <c r="AD100" s="65">
        <v>133</v>
      </c>
      <c r="AE100" s="65">
        <v>133</v>
      </c>
      <c r="AF100" s="65">
        <v>133</v>
      </c>
      <c r="AG100" s="92"/>
      <c r="AH100" s="48">
        <f t="shared" si="13"/>
        <v>134.69999999999999</v>
      </c>
      <c r="AI100" s="49">
        <f t="shared" si="14"/>
        <v>127.4</v>
      </c>
    </row>
    <row r="101" spans="1:35" ht="15.75" thickBot="1" x14ac:dyDescent="0.3">
      <c r="A101" s="91" t="s">
        <v>104</v>
      </c>
      <c r="B101" s="96">
        <v>66.3</v>
      </c>
      <c r="C101" s="96">
        <v>66.099999999999994</v>
      </c>
      <c r="D101" s="96">
        <v>66.3</v>
      </c>
      <c r="E101" s="96">
        <v>66.099999999999994</v>
      </c>
      <c r="F101" s="96">
        <v>66.400000000000006</v>
      </c>
      <c r="G101" s="96">
        <v>65.5</v>
      </c>
      <c r="H101" s="96">
        <v>65.5</v>
      </c>
      <c r="I101" s="96">
        <v>65.7</v>
      </c>
      <c r="J101" s="96">
        <v>64.400000000000006</v>
      </c>
      <c r="K101" s="96">
        <v>63.8</v>
      </c>
      <c r="L101" s="96">
        <v>64.2</v>
      </c>
      <c r="M101" s="96">
        <v>63</v>
      </c>
      <c r="N101" s="96">
        <v>63.8</v>
      </c>
      <c r="O101" s="96">
        <v>63.7</v>
      </c>
      <c r="P101" s="96">
        <v>64.3</v>
      </c>
      <c r="Q101" s="96">
        <v>64.900000000000006</v>
      </c>
      <c r="R101" s="96">
        <v>65</v>
      </c>
      <c r="S101" s="96">
        <v>65.099999999999994</v>
      </c>
      <c r="T101" s="96">
        <v>65.099999999999994</v>
      </c>
      <c r="U101" s="96">
        <v>65.2</v>
      </c>
      <c r="V101" s="96">
        <v>65.5</v>
      </c>
      <c r="W101" s="96">
        <v>64.8</v>
      </c>
      <c r="X101" s="96">
        <v>64.8</v>
      </c>
      <c r="Y101" s="96">
        <v>64.599999999999994</v>
      </c>
      <c r="Z101" s="96">
        <v>65.900000000000006</v>
      </c>
      <c r="AA101" s="96">
        <v>65.599999999999994</v>
      </c>
      <c r="AB101" s="96">
        <v>66.2</v>
      </c>
      <c r="AC101" s="96">
        <v>65.3</v>
      </c>
      <c r="AD101" s="96">
        <v>65.3</v>
      </c>
      <c r="AE101" s="96">
        <v>65.3</v>
      </c>
      <c r="AF101" s="96">
        <v>65.3</v>
      </c>
      <c r="AG101" s="97"/>
      <c r="AH101" s="48">
        <f t="shared" si="13"/>
        <v>66.400000000000006</v>
      </c>
      <c r="AI101" s="49">
        <f t="shared" si="14"/>
        <v>63</v>
      </c>
    </row>
    <row r="102" spans="1:35" ht="15.75" thickBot="1" x14ac:dyDescent="0.3">
      <c r="A102" s="98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3"/>
        <v>0</v>
      </c>
      <c r="AI102" s="49">
        <f t="shared" si="14"/>
        <v>0</v>
      </c>
    </row>
    <row r="103" spans="1:35" ht="15.75" thickBot="1" x14ac:dyDescent="0.3">
      <c r="A103" s="99" t="s">
        <v>105</v>
      </c>
      <c r="B103" s="100">
        <f t="shared" ref="B103:AF103" si="35">SUM(B16,B22,B25:B26,B51,B53:B54,B56,B58,B104:B108,B130,B136,B142,B151,B153,B165,B172,B175:B176,B183,B185,B187,B191:B193,B195:B197,B202,B208:B209,B211:B213,B221,B226)</f>
        <v>82.699999999999989</v>
      </c>
      <c r="C103" s="100">
        <f t="shared" si="35"/>
        <v>74.639999999999986</v>
      </c>
      <c r="D103" s="100">
        <f t="shared" si="35"/>
        <v>69.639999999999986</v>
      </c>
      <c r="E103" s="100">
        <f t="shared" si="35"/>
        <v>68.14</v>
      </c>
      <c r="F103" s="100">
        <f t="shared" si="35"/>
        <v>74.239999999999981</v>
      </c>
      <c r="G103" s="100">
        <f t="shared" si="35"/>
        <v>109.63999999999999</v>
      </c>
      <c r="H103" s="100">
        <f t="shared" si="35"/>
        <v>125.53999999999998</v>
      </c>
      <c r="I103" s="100">
        <f t="shared" si="35"/>
        <v>171.83999999999997</v>
      </c>
      <c r="J103" s="100">
        <f t="shared" si="35"/>
        <v>209.03999999999996</v>
      </c>
      <c r="K103" s="100">
        <f t="shared" si="35"/>
        <v>250.33999999999997</v>
      </c>
      <c r="L103" s="100">
        <f t="shared" si="35"/>
        <v>267.44</v>
      </c>
      <c r="M103" s="100">
        <f t="shared" si="35"/>
        <v>306.23999999999995</v>
      </c>
      <c r="N103" s="100">
        <f t="shared" si="35"/>
        <v>253.94</v>
      </c>
      <c r="O103" s="100">
        <f t="shared" si="35"/>
        <v>268.83999999999992</v>
      </c>
      <c r="P103" s="100">
        <f t="shared" si="35"/>
        <v>266.93999999999994</v>
      </c>
      <c r="Q103" s="100">
        <f t="shared" si="35"/>
        <v>222.6</v>
      </c>
      <c r="R103" s="100">
        <f t="shared" si="35"/>
        <v>223.6</v>
      </c>
      <c r="S103" s="100">
        <f t="shared" si="35"/>
        <v>237.29999999999998</v>
      </c>
      <c r="T103" s="100">
        <f t="shared" si="35"/>
        <v>246.99999999999997</v>
      </c>
      <c r="U103" s="100">
        <f t="shared" si="35"/>
        <v>246.99999999999997</v>
      </c>
      <c r="V103" s="100">
        <f t="shared" si="35"/>
        <v>230.899</v>
      </c>
      <c r="W103" s="100">
        <f t="shared" si="35"/>
        <v>257.09999999999997</v>
      </c>
      <c r="X103" s="100">
        <f t="shared" si="35"/>
        <v>301.60000000000002</v>
      </c>
      <c r="Y103" s="100">
        <f t="shared" si="35"/>
        <v>297.29899999999998</v>
      </c>
      <c r="Z103" s="100">
        <f t="shared" si="35"/>
        <v>296.19900000000001</v>
      </c>
      <c r="AA103" s="100">
        <f t="shared" si="35"/>
        <v>246</v>
      </c>
      <c r="AB103" s="100">
        <f t="shared" si="35"/>
        <v>252.3</v>
      </c>
      <c r="AC103" s="100">
        <f t="shared" si="35"/>
        <v>229.3</v>
      </c>
      <c r="AD103" s="100">
        <f t="shared" si="35"/>
        <v>209.39999999999998</v>
      </c>
      <c r="AE103" s="100">
        <f t="shared" si="35"/>
        <v>170.8</v>
      </c>
      <c r="AF103" s="100">
        <f t="shared" si="35"/>
        <v>125.60000000000001</v>
      </c>
      <c r="AG103" s="101"/>
      <c r="AH103" s="48">
        <f t="shared" si="13"/>
        <v>306.23999999999995</v>
      </c>
      <c r="AI103" s="49">
        <f t="shared" si="14"/>
        <v>68.14</v>
      </c>
    </row>
    <row r="104" spans="1:35" x14ac:dyDescent="0.25">
      <c r="A104" s="88" t="s">
        <v>106</v>
      </c>
      <c r="B104" s="102">
        <v>32.799999999999997</v>
      </c>
      <c r="C104" s="102">
        <v>28.2</v>
      </c>
      <c r="D104" s="102">
        <v>28.3</v>
      </c>
      <c r="E104" s="102">
        <v>28.8</v>
      </c>
      <c r="F104" s="102">
        <v>27.1</v>
      </c>
      <c r="G104" s="102">
        <v>36.299999999999997</v>
      </c>
      <c r="H104" s="102">
        <v>39</v>
      </c>
      <c r="I104" s="102">
        <v>43.9</v>
      </c>
      <c r="J104" s="102">
        <v>43.8</v>
      </c>
      <c r="K104" s="102">
        <v>42</v>
      </c>
      <c r="L104" s="102">
        <v>43.3</v>
      </c>
      <c r="M104" s="102">
        <v>39.700000000000003</v>
      </c>
      <c r="N104" s="102">
        <v>55.4</v>
      </c>
      <c r="O104" s="102">
        <v>41.6</v>
      </c>
      <c r="P104" s="102">
        <v>40.700000000000003</v>
      </c>
      <c r="Q104" s="102">
        <v>38.9</v>
      </c>
      <c r="R104" s="102">
        <v>36.799999999999997</v>
      </c>
      <c r="S104" s="102">
        <v>58</v>
      </c>
      <c r="T104" s="102">
        <v>36.700000000000003</v>
      </c>
      <c r="U104" s="102">
        <v>36.700000000000003</v>
      </c>
      <c r="V104" s="102">
        <v>36.6</v>
      </c>
      <c r="W104" s="102">
        <v>35.5</v>
      </c>
      <c r="X104" s="102">
        <v>39.700000000000003</v>
      </c>
      <c r="Y104" s="102">
        <v>42.1</v>
      </c>
      <c r="Z104" s="102">
        <v>51.1</v>
      </c>
      <c r="AA104" s="102">
        <v>59.5</v>
      </c>
      <c r="AB104" s="102">
        <v>62</v>
      </c>
      <c r="AC104" s="102">
        <v>62</v>
      </c>
      <c r="AD104" s="102">
        <v>59.6</v>
      </c>
      <c r="AE104" s="102">
        <v>47</v>
      </c>
      <c r="AF104" s="102">
        <v>35</v>
      </c>
      <c r="AG104" s="103">
        <v>75</v>
      </c>
      <c r="AH104" s="48">
        <f t="shared" si="13"/>
        <v>62</v>
      </c>
      <c r="AI104" s="49">
        <f t="shared" si="14"/>
        <v>27.1</v>
      </c>
    </row>
    <row r="105" spans="1:35" x14ac:dyDescent="0.25">
      <c r="A105" s="91" t="s">
        <v>107</v>
      </c>
      <c r="B105" s="104">
        <v>53</v>
      </c>
      <c r="C105" s="104">
        <v>47.9</v>
      </c>
      <c r="D105" s="104">
        <v>47.9</v>
      </c>
      <c r="E105" s="104">
        <v>48.3</v>
      </c>
      <c r="F105" s="104">
        <v>45.4</v>
      </c>
      <c r="G105" s="104">
        <v>58.5</v>
      </c>
      <c r="H105" s="104">
        <v>62.5</v>
      </c>
      <c r="I105" s="104">
        <v>67.7</v>
      </c>
      <c r="J105" s="104">
        <v>65.7</v>
      </c>
      <c r="K105" s="104">
        <v>62.7</v>
      </c>
      <c r="L105" s="104">
        <v>64.599999999999994</v>
      </c>
      <c r="M105" s="104">
        <v>58.9</v>
      </c>
      <c r="N105" s="104">
        <v>82.1</v>
      </c>
      <c r="O105" s="104">
        <v>63</v>
      </c>
      <c r="P105" s="104">
        <v>61</v>
      </c>
      <c r="Q105" s="104">
        <v>59.4</v>
      </c>
      <c r="R105" s="104">
        <v>56.5</v>
      </c>
      <c r="S105" s="104">
        <v>59</v>
      </c>
      <c r="T105" s="104">
        <v>57.1</v>
      </c>
      <c r="U105" s="104">
        <v>57.1</v>
      </c>
      <c r="V105" s="104">
        <v>56.8</v>
      </c>
      <c r="W105" s="104">
        <v>53.8</v>
      </c>
      <c r="X105" s="104">
        <v>58</v>
      </c>
      <c r="Y105" s="104">
        <v>62</v>
      </c>
      <c r="Z105" s="104">
        <v>75.7</v>
      </c>
      <c r="AA105" s="104">
        <v>64.5</v>
      </c>
      <c r="AB105" s="104">
        <v>88</v>
      </c>
      <c r="AC105" s="104">
        <v>88</v>
      </c>
      <c r="AD105" s="104">
        <v>86</v>
      </c>
      <c r="AE105" s="104">
        <v>69</v>
      </c>
      <c r="AF105" s="104">
        <v>57</v>
      </c>
      <c r="AG105" s="103">
        <v>240</v>
      </c>
      <c r="AH105" s="48">
        <f t="shared" si="13"/>
        <v>88</v>
      </c>
      <c r="AI105" s="49">
        <f t="shared" si="14"/>
        <v>45.4</v>
      </c>
    </row>
    <row r="106" spans="1:35" x14ac:dyDescent="0.25">
      <c r="A106" s="91" t="s">
        <v>108</v>
      </c>
      <c r="B106" s="104">
        <v>-137.6</v>
      </c>
      <c r="C106" s="104">
        <v>-134.19999999999999</v>
      </c>
      <c r="D106" s="104">
        <v>-138.5</v>
      </c>
      <c r="E106" s="104">
        <v>-140.6</v>
      </c>
      <c r="F106" s="104">
        <f>-63.3-66.9</f>
        <v>-130.19999999999999</v>
      </c>
      <c r="G106" s="104">
        <f>-57.7-61.5</f>
        <v>-119.2</v>
      </c>
      <c r="H106" s="104">
        <v>-110</v>
      </c>
      <c r="I106" s="104">
        <f>-39.5-42.8</f>
        <v>-82.3</v>
      </c>
      <c r="J106" s="104">
        <f>-20.8-22.2</f>
        <v>-43</v>
      </c>
      <c r="K106" s="104">
        <f>-18.3-7.4</f>
        <v>-25.700000000000003</v>
      </c>
      <c r="L106" s="104">
        <f>-32.5-1.4</f>
        <v>-33.9</v>
      </c>
      <c r="M106" s="104">
        <v>4</v>
      </c>
      <c r="N106" s="104">
        <v>-51.5</v>
      </c>
      <c r="O106" s="104">
        <f>-13.8-22.5</f>
        <v>-36.299999999999997</v>
      </c>
      <c r="P106" s="104">
        <f>-13.8-22.5</f>
        <v>-36.299999999999997</v>
      </c>
      <c r="Q106" s="104">
        <f>-21-27</f>
        <v>-48</v>
      </c>
      <c r="R106" s="104">
        <f>-24-33</f>
        <v>-57</v>
      </c>
      <c r="S106" s="104">
        <f>-33-43</f>
        <v>-76</v>
      </c>
      <c r="T106" s="104">
        <f>-16.7-24.9</f>
        <v>-41.599999999999994</v>
      </c>
      <c r="U106" s="104">
        <f>-16.7-24.9</f>
        <v>-41.599999999999994</v>
      </c>
      <c r="V106" s="104">
        <v>-61</v>
      </c>
      <c r="W106" s="104">
        <v>-29.3</v>
      </c>
      <c r="X106" s="104">
        <v>-1</v>
      </c>
      <c r="Y106" s="104">
        <v>-12</v>
      </c>
      <c r="Z106" s="104">
        <v>-31.5</v>
      </c>
      <c r="AA106" s="104">
        <v>-75</v>
      </c>
      <c r="AB106" s="104">
        <v>-83</v>
      </c>
      <c r="AC106" s="104">
        <v>-91</v>
      </c>
      <c r="AD106" s="104">
        <v>-104</v>
      </c>
      <c r="AE106" s="104">
        <v>-89</v>
      </c>
      <c r="AF106" s="104">
        <v>-108</v>
      </c>
      <c r="AG106" s="103">
        <v>240</v>
      </c>
      <c r="AH106" s="48">
        <f t="shared" si="13"/>
        <v>4</v>
      </c>
      <c r="AI106" s="49">
        <f t="shared" si="14"/>
        <v>-140.6</v>
      </c>
    </row>
    <row r="107" spans="1:35" x14ac:dyDescent="0.25">
      <c r="A107" s="91" t="s">
        <v>109</v>
      </c>
      <c r="B107" s="104">
        <v>-10.4</v>
      </c>
      <c r="C107" s="104">
        <v>-13.1</v>
      </c>
      <c r="D107" s="104">
        <v>-13.9</v>
      </c>
      <c r="E107" s="104">
        <v>-14.2</v>
      </c>
      <c r="F107" s="104">
        <v>-13.9</v>
      </c>
      <c r="G107" s="104">
        <v>-11.8</v>
      </c>
      <c r="H107" s="104">
        <v>-11.8</v>
      </c>
      <c r="I107" s="104">
        <v>-3.3</v>
      </c>
      <c r="J107" s="104">
        <v>-3.3</v>
      </c>
      <c r="K107" s="104">
        <v>25.5</v>
      </c>
      <c r="L107" s="104">
        <v>47.6</v>
      </c>
      <c r="M107" s="104">
        <v>48</v>
      </c>
      <c r="N107" s="104">
        <v>12.3</v>
      </c>
      <c r="O107" s="104">
        <v>44.9</v>
      </c>
      <c r="P107" s="104">
        <v>45.9</v>
      </c>
      <c r="Q107" s="104">
        <v>17.600000000000001</v>
      </c>
      <c r="R107" s="104">
        <v>32.6</v>
      </c>
      <c r="S107" s="104">
        <v>41.6</v>
      </c>
      <c r="T107" s="104">
        <v>40.1</v>
      </c>
      <c r="U107" s="104">
        <v>40.1</v>
      </c>
      <c r="V107" s="104">
        <v>49</v>
      </c>
      <c r="W107" s="104">
        <v>52.5</v>
      </c>
      <c r="X107" s="104">
        <v>61.3</v>
      </c>
      <c r="Y107" s="104">
        <v>60.6</v>
      </c>
      <c r="Z107" s="104">
        <v>56.3</v>
      </c>
      <c r="AA107" s="104">
        <v>52.7</v>
      </c>
      <c r="AB107" s="104">
        <v>41</v>
      </c>
      <c r="AC107" s="104">
        <v>26</v>
      </c>
      <c r="AD107" s="104">
        <v>23.5</v>
      </c>
      <c r="AE107" s="104">
        <v>-0.5</v>
      </c>
      <c r="AF107" s="104">
        <v>-2.7</v>
      </c>
      <c r="AG107" s="103">
        <v>60</v>
      </c>
      <c r="AH107" s="48">
        <f t="shared" si="13"/>
        <v>61.3</v>
      </c>
      <c r="AI107" s="49">
        <f t="shared" si="14"/>
        <v>-14.2</v>
      </c>
    </row>
    <row r="108" spans="1:35" x14ac:dyDescent="0.25">
      <c r="A108" s="105" t="s">
        <v>110</v>
      </c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>
        <v>0</v>
      </c>
      <c r="O108" s="106"/>
      <c r="P108" s="106"/>
      <c r="Q108" s="106">
        <v>0</v>
      </c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  <c r="AB108" s="106"/>
      <c r="AC108" s="106"/>
      <c r="AD108" s="106"/>
      <c r="AE108" s="106">
        <v>0</v>
      </c>
      <c r="AF108" s="106"/>
      <c r="AG108" s="107">
        <v>120</v>
      </c>
      <c r="AH108" s="48">
        <f t="shared" si="13"/>
        <v>0</v>
      </c>
      <c r="AI108" s="49">
        <f t="shared" si="14"/>
        <v>0</v>
      </c>
    </row>
    <row r="109" spans="1:35" x14ac:dyDescent="0.25">
      <c r="A109" s="105" t="s">
        <v>111</v>
      </c>
      <c r="B109" s="106">
        <v>7.4</v>
      </c>
      <c r="C109" s="106">
        <v>-1.7</v>
      </c>
      <c r="D109" s="106">
        <v>-4.5999999999999996</v>
      </c>
      <c r="E109" s="106">
        <v>0</v>
      </c>
      <c r="F109" s="106">
        <v>1.9</v>
      </c>
      <c r="G109" s="106">
        <v>14.9</v>
      </c>
      <c r="H109" s="106">
        <v>14.9</v>
      </c>
      <c r="I109" s="106">
        <v>33.799999999999997</v>
      </c>
      <c r="J109" s="106">
        <v>72.5</v>
      </c>
      <c r="K109" s="106">
        <v>94.7</v>
      </c>
      <c r="L109" s="106">
        <v>83.6</v>
      </c>
      <c r="M109" s="106">
        <v>95.6</v>
      </c>
      <c r="N109" s="106">
        <v>53</v>
      </c>
      <c r="O109" s="106">
        <v>51</v>
      </c>
      <c r="P109" s="106">
        <v>47</v>
      </c>
      <c r="Q109" s="106">
        <v>47</v>
      </c>
      <c r="R109" s="106">
        <v>23.1</v>
      </c>
      <c r="S109" s="106">
        <v>14</v>
      </c>
      <c r="T109" s="106">
        <v>35.700000000000003</v>
      </c>
      <c r="U109" s="106">
        <v>35.700000000000003</v>
      </c>
      <c r="V109" s="106">
        <v>34.1</v>
      </c>
      <c r="W109" s="106">
        <v>74.5</v>
      </c>
      <c r="X109" s="106">
        <v>67</v>
      </c>
      <c r="Y109" s="106">
        <v>66.400000000000006</v>
      </c>
      <c r="Z109" s="106">
        <v>1.3</v>
      </c>
      <c r="AA109" s="106">
        <v>24.5</v>
      </c>
      <c r="AB109" s="106">
        <v>-30</v>
      </c>
      <c r="AC109" s="106">
        <v>-24</v>
      </c>
      <c r="AD109" s="106">
        <v>-26</v>
      </c>
      <c r="AE109" s="106">
        <v>5.4</v>
      </c>
      <c r="AF109" s="106">
        <v>0</v>
      </c>
      <c r="AG109" s="107"/>
      <c r="AH109" s="48">
        <f t="shared" si="13"/>
        <v>95.6</v>
      </c>
      <c r="AI109" s="49">
        <f t="shared" si="14"/>
        <v>-30</v>
      </c>
    </row>
    <row r="110" spans="1:35" x14ac:dyDescent="0.25">
      <c r="A110" s="105" t="s">
        <v>112</v>
      </c>
      <c r="B110" s="106">
        <v>24.7</v>
      </c>
      <c r="C110" s="106">
        <v>21.9</v>
      </c>
      <c r="D110" s="106">
        <v>34.6</v>
      </c>
      <c r="E110" s="106">
        <v>32.799999999999997</v>
      </c>
      <c r="F110" s="106">
        <v>29.8</v>
      </c>
      <c r="G110" s="106">
        <v>19.7</v>
      </c>
      <c r="H110" s="106">
        <v>19.7</v>
      </c>
      <c r="I110" s="106">
        <v>11.4</v>
      </c>
      <c r="J110" s="106">
        <v>17</v>
      </c>
      <c r="K110" s="106">
        <v>27.2</v>
      </c>
      <c r="L110" s="106">
        <v>18</v>
      </c>
      <c r="M110" s="106">
        <v>27.2</v>
      </c>
      <c r="N110" s="106">
        <v>-1.8</v>
      </c>
      <c r="O110" s="106">
        <v>5.3</v>
      </c>
      <c r="P110" s="106">
        <v>6.7</v>
      </c>
      <c r="Q110" s="106">
        <v>6.7</v>
      </c>
      <c r="R110" s="106">
        <v>20</v>
      </c>
      <c r="S110" s="106">
        <v>12.7</v>
      </c>
      <c r="T110" s="106">
        <v>34.299999999999997</v>
      </c>
      <c r="U110" s="106">
        <v>34.299999999999997</v>
      </c>
      <c r="V110" s="106">
        <v>38.6</v>
      </c>
      <c r="W110" s="106">
        <v>32.200000000000003</v>
      </c>
      <c r="X110" s="106">
        <v>70.3</v>
      </c>
      <c r="Y110" s="106">
        <v>27.3</v>
      </c>
      <c r="Z110" s="106">
        <v>5.4</v>
      </c>
      <c r="AA110" s="106">
        <v>-8.4</v>
      </c>
      <c r="AB110" s="106">
        <v>19</v>
      </c>
      <c r="AC110" s="106">
        <v>21</v>
      </c>
      <c r="AD110" s="106">
        <v>12</v>
      </c>
      <c r="AE110" s="106">
        <v>2.4</v>
      </c>
      <c r="AF110" s="106">
        <v>28</v>
      </c>
      <c r="AG110" s="108"/>
      <c r="AH110" s="48">
        <f t="shared" si="13"/>
        <v>70.3</v>
      </c>
      <c r="AI110" s="49">
        <f t="shared" si="14"/>
        <v>-8.4</v>
      </c>
    </row>
    <row r="111" spans="1:35" x14ac:dyDescent="0.25">
      <c r="A111" s="109" t="s">
        <v>113</v>
      </c>
      <c r="B111" s="94">
        <v>45.6</v>
      </c>
      <c r="C111" s="94">
        <v>44.1</v>
      </c>
      <c r="D111" s="94">
        <v>45.4</v>
      </c>
      <c r="E111" s="94">
        <v>47</v>
      </c>
      <c r="F111" s="94">
        <v>49.4</v>
      </c>
      <c r="G111" s="94">
        <v>41.9</v>
      </c>
      <c r="H111" s="94">
        <v>41.9</v>
      </c>
      <c r="I111" s="94">
        <v>31.3</v>
      </c>
      <c r="J111" s="94">
        <v>25.9</v>
      </c>
      <c r="K111" s="94">
        <v>21.5</v>
      </c>
      <c r="L111" s="94">
        <v>18.100000000000001</v>
      </c>
      <c r="M111" s="94">
        <v>15.2</v>
      </c>
      <c r="N111" s="94">
        <v>19.399999999999999</v>
      </c>
      <c r="O111" s="94">
        <v>23.6</v>
      </c>
      <c r="P111" s="94">
        <v>25</v>
      </c>
      <c r="Q111" s="94">
        <v>25</v>
      </c>
      <c r="R111" s="94">
        <v>28.9</v>
      </c>
      <c r="S111" s="94">
        <v>29.4</v>
      </c>
      <c r="T111" s="94">
        <v>22.6</v>
      </c>
      <c r="U111" s="94">
        <v>22.6</v>
      </c>
      <c r="V111" s="94">
        <v>9.3000000000000007</v>
      </c>
      <c r="W111" s="94">
        <v>1.1000000000000001</v>
      </c>
      <c r="X111" s="94">
        <v>2</v>
      </c>
      <c r="Y111" s="94">
        <v>4.7</v>
      </c>
      <c r="Z111" s="94">
        <v>10.8</v>
      </c>
      <c r="AA111" s="94">
        <v>16</v>
      </c>
      <c r="AB111" s="94">
        <v>23</v>
      </c>
      <c r="AC111" s="94">
        <v>27</v>
      </c>
      <c r="AD111" s="94">
        <v>29</v>
      </c>
      <c r="AE111" s="94">
        <v>33</v>
      </c>
      <c r="AF111" s="94">
        <v>42</v>
      </c>
      <c r="AG111" s="108"/>
      <c r="AH111" s="48">
        <f t="shared" si="13"/>
        <v>49.4</v>
      </c>
      <c r="AI111" s="49">
        <f t="shared" si="14"/>
        <v>1.1000000000000001</v>
      </c>
    </row>
    <row r="112" spans="1:35" ht="15.75" thickBot="1" x14ac:dyDescent="0.3">
      <c r="A112" s="109" t="s">
        <v>114</v>
      </c>
      <c r="B112" s="94">
        <v>97.6</v>
      </c>
      <c r="C112" s="94">
        <v>95.2</v>
      </c>
      <c r="D112" s="94">
        <v>96.9</v>
      </c>
      <c r="E112" s="94">
        <v>96.8</v>
      </c>
      <c r="F112" s="94">
        <v>88.6</v>
      </c>
      <c r="G112" s="94">
        <v>88.7</v>
      </c>
      <c r="H112" s="94">
        <v>88.7</v>
      </c>
      <c r="I112" s="94">
        <v>64.099999999999994</v>
      </c>
      <c r="J112" s="94">
        <v>38.1</v>
      </c>
      <c r="K112" s="94">
        <v>23.4</v>
      </c>
      <c r="L112" s="94">
        <v>31.7</v>
      </c>
      <c r="M112" s="94">
        <v>26.9</v>
      </c>
      <c r="N112" s="94">
        <v>49.4</v>
      </c>
      <c r="O112" s="94">
        <v>55.5</v>
      </c>
      <c r="P112" s="94">
        <v>48</v>
      </c>
      <c r="Q112" s="94">
        <v>48</v>
      </c>
      <c r="R112" s="94">
        <v>62.2</v>
      </c>
      <c r="S112" s="94">
        <v>82.1</v>
      </c>
      <c r="T112" s="94">
        <v>56.6</v>
      </c>
      <c r="U112" s="94">
        <v>56.6</v>
      </c>
      <c r="V112" s="94">
        <v>39.4</v>
      </c>
      <c r="W112" s="94">
        <v>5</v>
      </c>
      <c r="X112" s="94">
        <v>16</v>
      </c>
      <c r="Y112" s="94">
        <v>18</v>
      </c>
      <c r="Z112" s="94">
        <v>40.299999999999997</v>
      </c>
      <c r="AA112" s="94">
        <v>65.8</v>
      </c>
      <c r="AB112" s="94">
        <v>70</v>
      </c>
      <c r="AC112" s="94">
        <v>75</v>
      </c>
      <c r="AD112" s="94">
        <v>85</v>
      </c>
      <c r="AE112" s="94">
        <v>70</v>
      </c>
      <c r="AF112" s="94">
        <v>78</v>
      </c>
      <c r="AG112" s="108"/>
      <c r="AH112" s="48">
        <f t="shared" si="13"/>
        <v>97.6</v>
      </c>
      <c r="AI112" s="49">
        <f t="shared" si="14"/>
        <v>5</v>
      </c>
    </row>
    <row r="113" spans="1:37" ht="15.75" thickBot="1" x14ac:dyDescent="0.3">
      <c r="A113" s="110" t="s">
        <v>115</v>
      </c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2"/>
      <c r="AH113" s="48"/>
      <c r="AI113" s="49"/>
      <c r="AK113" s="50"/>
    </row>
    <row r="114" spans="1:37" x14ac:dyDescent="0.25">
      <c r="A114" s="113" t="s">
        <v>116</v>
      </c>
      <c r="B114" s="114"/>
      <c r="C114" s="115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6">
        <v>9.94</v>
      </c>
      <c r="AH114" s="48"/>
      <c r="AI114" s="49"/>
      <c r="AK114" s="50"/>
    </row>
    <row r="115" spans="1:37" x14ac:dyDescent="0.25">
      <c r="A115" s="91" t="s">
        <v>117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/>
      <c r="AH115" s="48"/>
      <c r="AI115" s="49"/>
      <c r="AK115" s="50"/>
    </row>
    <row r="116" spans="1:37" x14ac:dyDescent="0.25">
      <c r="A116" s="91" t="s">
        <v>118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119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120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121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122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123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124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125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126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127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128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129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130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131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132</v>
      </c>
      <c r="B130" s="117"/>
      <c r="C130" s="118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9">
        <v>9.9</v>
      </c>
      <c r="AH130" s="48"/>
      <c r="AI130" s="49"/>
      <c r="AK130" s="50"/>
    </row>
    <row r="131" spans="1:37" x14ac:dyDescent="0.25">
      <c r="A131" s="105" t="s">
        <v>133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20">
        <v>9.6579999999999995</v>
      </c>
      <c r="AH131" s="48"/>
      <c r="AI131" s="49"/>
      <c r="AK131" s="50"/>
    </row>
    <row r="132" spans="1:37" x14ac:dyDescent="0.25">
      <c r="A132" s="105" t="s">
        <v>134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</v>
      </c>
      <c r="AH132" s="48"/>
      <c r="AI132" s="49"/>
      <c r="AK132" s="50"/>
    </row>
    <row r="133" spans="1:37" x14ac:dyDescent="0.25">
      <c r="A133" s="105" t="s">
        <v>135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9.51</v>
      </c>
      <c r="AH133" s="48"/>
      <c r="AI133" s="49"/>
      <c r="AK133" s="50"/>
    </row>
    <row r="134" spans="1:37" x14ac:dyDescent="0.25">
      <c r="A134" s="105" t="s">
        <v>136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9.4</v>
      </c>
      <c r="AH134" s="48"/>
      <c r="AI134" s="49"/>
      <c r="AK134" s="50"/>
    </row>
    <row r="135" spans="1:37" x14ac:dyDescent="0.25">
      <c r="A135" s="105" t="s">
        <v>137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8.8000000000000007</v>
      </c>
      <c r="AH135" s="48"/>
      <c r="AI135" s="49"/>
      <c r="AK135" s="50"/>
    </row>
    <row r="136" spans="1:37" x14ac:dyDescent="0.25">
      <c r="A136" s="105" t="s">
        <v>138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8.5</v>
      </c>
      <c r="AH136" s="48"/>
      <c r="AI136" s="49"/>
      <c r="AK136" s="50"/>
    </row>
    <row r="137" spans="1:37" x14ac:dyDescent="0.25">
      <c r="A137" s="105" t="s">
        <v>139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140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8.4</v>
      </c>
      <c r="AH138" s="48"/>
      <c r="AI138" s="49"/>
      <c r="AK138" s="50"/>
    </row>
    <row r="139" spans="1:37" ht="13.5" customHeight="1" x14ac:dyDescent="0.25">
      <c r="A139" s="105" t="s">
        <v>141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</v>
      </c>
      <c r="AH139" s="48"/>
      <c r="AI139" s="49"/>
      <c r="AK139" s="50"/>
    </row>
    <row r="140" spans="1:37" x14ac:dyDescent="0.25">
      <c r="A140" s="105" t="s">
        <v>142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143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144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7.8</v>
      </c>
      <c r="AH142" s="48"/>
      <c r="AI142" s="49"/>
      <c r="AK142" s="50"/>
    </row>
    <row r="143" spans="1:37" x14ac:dyDescent="0.25">
      <c r="A143" s="105" t="s">
        <v>145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7.6</v>
      </c>
      <c r="AH143" s="48"/>
      <c r="AI143" s="49"/>
      <c r="AK143" s="50"/>
    </row>
    <row r="144" spans="1:37" x14ac:dyDescent="0.25">
      <c r="A144" s="105" t="s">
        <v>146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7.5</v>
      </c>
      <c r="AH144" s="48"/>
      <c r="AI144" s="49"/>
      <c r="AK144" s="50"/>
    </row>
    <row r="145" spans="1:37" x14ac:dyDescent="0.25">
      <c r="A145" s="105" t="s">
        <v>147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148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</v>
      </c>
      <c r="AH146" s="48"/>
      <c r="AI146" s="49"/>
      <c r="AK146" s="50"/>
    </row>
    <row r="147" spans="1:37" x14ac:dyDescent="0.25">
      <c r="A147" s="105" t="s">
        <v>149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150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151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152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6.6</v>
      </c>
      <c r="AH150" s="48"/>
      <c r="AI150" s="49"/>
      <c r="AK150" s="50"/>
    </row>
    <row r="151" spans="1:37" x14ac:dyDescent="0.25">
      <c r="A151" s="105" t="s">
        <v>153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154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6.4</v>
      </c>
      <c r="AH152" s="48"/>
      <c r="AI152" s="49"/>
      <c r="AK152" s="50"/>
    </row>
    <row r="153" spans="1:37" x14ac:dyDescent="0.25">
      <c r="A153" s="105" t="s">
        <v>155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</v>
      </c>
      <c r="AH153" s="48"/>
      <c r="AI153" s="49"/>
      <c r="AK153" s="50"/>
    </row>
    <row r="154" spans="1:37" x14ac:dyDescent="0.25">
      <c r="A154" s="105" t="s">
        <v>156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5.0999999999999996</v>
      </c>
      <c r="AH154" s="48"/>
      <c r="AI154" s="49"/>
      <c r="AK154" s="50"/>
    </row>
    <row r="155" spans="1:37" x14ac:dyDescent="0.25">
      <c r="A155" s="105" t="s">
        <v>157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</v>
      </c>
      <c r="AH155" s="48"/>
      <c r="AI155" s="49"/>
      <c r="AK155" s="50"/>
    </row>
    <row r="156" spans="1:37" x14ac:dyDescent="0.25">
      <c r="A156" s="91" t="s">
        <v>158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9">
        <v>5</v>
      </c>
      <c r="AH156" s="48"/>
      <c r="AI156" s="49"/>
      <c r="AK156" s="50"/>
    </row>
    <row r="157" spans="1:37" x14ac:dyDescent="0.25">
      <c r="A157" s="105" t="s">
        <v>159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20">
        <v>5</v>
      </c>
      <c r="AH157" s="48"/>
      <c r="AI157" s="49"/>
      <c r="AK157" s="50"/>
    </row>
    <row r="158" spans="1:37" x14ac:dyDescent="0.25">
      <c r="A158" s="105" t="s">
        <v>160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161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162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163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164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4.9930000000000003</v>
      </c>
      <c r="AH162" s="48"/>
      <c r="AI162" s="49"/>
      <c r="AK162" s="50"/>
    </row>
    <row r="163" spans="1:37" x14ac:dyDescent="0.25">
      <c r="A163" s="105" t="s">
        <v>165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4.9800000000000004</v>
      </c>
      <c r="AH163" s="48"/>
      <c r="AI163" s="49"/>
      <c r="AK163" s="50"/>
    </row>
    <row r="164" spans="1:37" x14ac:dyDescent="0.25">
      <c r="A164" s="105" t="s">
        <v>166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4.95</v>
      </c>
      <c r="AH164" s="48"/>
      <c r="AI164" s="49"/>
      <c r="AK164" s="50"/>
    </row>
    <row r="165" spans="1:37" x14ac:dyDescent="0.25">
      <c r="A165" s="105" t="s">
        <v>167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168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4.8</v>
      </c>
      <c r="AH166" s="48"/>
      <c r="AI166" s="49"/>
      <c r="AK166" s="50"/>
    </row>
    <row r="167" spans="1:37" x14ac:dyDescent="0.25">
      <c r="A167" s="105" t="s">
        <v>169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170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171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4.5</v>
      </c>
      <c r="AH169" s="48"/>
      <c r="AI169" s="49"/>
      <c r="AK169" s="50"/>
    </row>
    <row r="170" spans="1:37" x14ac:dyDescent="0.25">
      <c r="A170" s="105" t="s">
        <v>172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173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4.4550000000000001</v>
      </c>
      <c r="AH171" s="48"/>
      <c r="AI171" s="49"/>
      <c r="AK171" s="50"/>
    </row>
    <row r="172" spans="1:37" x14ac:dyDescent="0.25">
      <c r="A172" s="105" t="s">
        <v>174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4.41</v>
      </c>
      <c r="AH172" s="48"/>
      <c r="AI172" s="49"/>
      <c r="AK172" s="50"/>
    </row>
    <row r="173" spans="1:37" x14ac:dyDescent="0.25">
      <c r="A173" s="105" t="s">
        <v>175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4.4000000000000004</v>
      </c>
      <c r="AH173" s="48"/>
      <c r="AI173" s="49"/>
      <c r="AK173" s="50"/>
    </row>
    <row r="174" spans="1:37" x14ac:dyDescent="0.25">
      <c r="A174" s="105" t="s">
        <v>176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4.3600000000000003</v>
      </c>
      <c r="AH174" s="48"/>
      <c r="AI174" s="49"/>
      <c r="AK174" s="50"/>
    </row>
    <row r="175" spans="1:37" x14ac:dyDescent="0.25">
      <c r="A175" s="105" t="s">
        <v>177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4.2</v>
      </c>
      <c r="AH175" s="48"/>
      <c r="AI175" s="49"/>
      <c r="AK175" s="50"/>
    </row>
    <row r="176" spans="1:37" x14ac:dyDescent="0.25">
      <c r="A176" s="105" t="s">
        <v>178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</v>
      </c>
      <c r="AH176" s="48"/>
      <c r="AI176" s="49"/>
      <c r="AK176" s="50"/>
    </row>
    <row r="177" spans="1:37" x14ac:dyDescent="0.25">
      <c r="A177" s="105" t="s">
        <v>179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180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181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182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183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184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185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186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3.75</v>
      </c>
      <c r="AH184" s="48"/>
      <c r="AI184" s="49"/>
      <c r="AK184" s="50"/>
    </row>
    <row r="185" spans="1:37" x14ac:dyDescent="0.25">
      <c r="A185" s="105" t="s">
        <v>187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3.52</v>
      </c>
      <c r="AH185" s="48"/>
      <c r="AI185" s="49"/>
      <c r="AK185" s="50"/>
    </row>
    <row r="186" spans="1:37" x14ac:dyDescent="0.25">
      <c r="A186" s="105" t="s">
        <v>188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3.33</v>
      </c>
      <c r="AH186" s="48"/>
      <c r="AI186" s="49"/>
      <c r="AK186" s="50"/>
    </row>
    <row r="187" spans="1:37" x14ac:dyDescent="0.25">
      <c r="A187" s="105" t="s">
        <v>189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3.2</v>
      </c>
      <c r="AH187" s="48"/>
      <c r="AI187" s="49"/>
      <c r="AK187" s="50"/>
    </row>
    <row r="188" spans="1:37" x14ac:dyDescent="0.25">
      <c r="A188" s="105" t="s">
        <v>190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</v>
      </c>
      <c r="AH188" s="48"/>
      <c r="AI188" s="49"/>
      <c r="AK188" s="50"/>
    </row>
    <row r="189" spans="1:37" x14ac:dyDescent="0.25">
      <c r="A189" s="105" t="s">
        <v>191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192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193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194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195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196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197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198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2.83</v>
      </c>
      <c r="AH196" s="48"/>
      <c r="AI196" s="49"/>
      <c r="AK196" s="50"/>
    </row>
    <row r="197" spans="1:37" x14ac:dyDescent="0.25">
      <c r="A197" s="105" t="s">
        <v>199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2.5</v>
      </c>
      <c r="AH197" s="48"/>
      <c r="AI197" s="49"/>
      <c r="AK197" s="50"/>
    </row>
    <row r="198" spans="1:37" x14ac:dyDescent="0.25">
      <c r="A198" s="105" t="s">
        <v>200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201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2.4</v>
      </c>
      <c r="AH199" s="48"/>
      <c r="AI199" s="49"/>
      <c r="AK199" s="50"/>
    </row>
    <row r="200" spans="1:37" x14ac:dyDescent="0.25">
      <c r="A200" s="105" t="s">
        <v>202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203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2.2000000000000002</v>
      </c>
      <c r="AH201" s="48"/>
      <c r="AI201" s="49"/>
      <c r="AK201" s="50"/>
    </row>
    <row r="202" spans="1:37" x14ac:dyDescent="0.25">
      <c r="A202" s="105" t="s">
        <v>204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</v>
      </c>
      <c r="AH202" s="48"/>
      <c r="AI202" s="49"/>
      <c r="AK202" s="50"/>
    </row>
    <row r="203" spans="1:37" x14ac:dyDescent="0.25">
      <c r="A203" s="105" t="s">
        <v>205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206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207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1.8</v>
      </c>
      <c r="AH205" s="48"/>
      <c r="AI205" s="49"/>
      <c r="AK205" s="50"/>
    </row>
    <row r="206" spans="1:37" x14ac:dyDescent="0.25">
      <c r="A206" s="105" t="s">
        <v>208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209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1.65</v>
      </c>
      <c r="AH207" s="48"/>
      <c r="AI207" s="49"/>
      <c r="AK207" s="50"/>
    </row>
    <row r="208" spans="1:37" x14ac:dyDescent="0.25">
      <c r="A208" s="105" t="s">
        <v>210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1.5</v>
      </c>
      <c r="AH208" s="48"/>
      <c r="AI208" s="49"/>
      <c r="AK208" s="50"/>
    </row>
    <row r="209" spans="1:37" x14ac:dyDescent="0.25">
      <c r="A209" s="105" t="s">
        <v>211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0.998</v>
      </c>
      <c r="AH209" s="48"/>
      <c r="AI209" s="49"/>
      <c r="AK209" s="50"/>
    </row>
    <row r="210" spans="1:37" x14ac:dyDescent="0.25">
      <c r="A210" s="105" t="s">
        <v>212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0.997</v>
      </c>
      <c r="AH210" s="48"/>
      <c r="AI210" s="49"/>
      <c r="AK210" s="50"/>
    </row>
    <row r="211" spans="1:37" x14ac:dyDescent="0.25">
      <c r="A211" s="105" t="s">
        <v>213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214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0.996</v>
      </c>
      <c r="AH212" s="48"/>
      <c r="AI212" s="49"/>
      <c r="AK212" s="50"/>
    </row>
    <row r="213" spans="1:37" x14ac:dyDescent="0.25">
      <c r="A213" s="105" t="s">
        <v>215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216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217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0.995</v>
      </c>
      <c r="AH215" s="48"/>
      <c r="AI215" s="49"/>
      <c r="AK215" s="50"/>
    </row>
    <row r="216" spans="1:37" x14ac:dyDescent="0.25">
      <c r="A216" s="105" t="s">
        <v>218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0.99299999999999999</v>
      </c>
      <c r="AH216" s="48"/>
      <c r="AI216" s="49"/>
      <c r="AK216" s="50"/>
    </row>
    <row r="217" spans="1:37" x14ac:dyDescent="0.25">
      <c r="A217" s="105" t="s">
        <v>219</v>
      </c>
      <c r="B217" s="117"/>
      <c r="C217" s="115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</v>
      </c>
      <c r="AH217" s="48"/>
      <c r="AI217" s="49"/>
      <c r="AK217" s="50"/>
    </row>
    <row r="218" spans="1:37" ht="15.75" thickBot="1" x14ac:dyDescent="0.3">
      <c r="A218" s="105" t="s">
        <v>220</v>
      </c>
      <c r="B218" s="121"/>
      <c r="C218" s="122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0">
        <v>0.97899999999999998</v>
      </c>
      <c r="AH218" s="48"/>
      <c r="AI218" s="49"/>
      <c r="AK218" s="50"/>
    </row>
    <row r="219" spans="1:37" ht="15.75" thickBot="1" x14ac:dyDescent="0.3">
      <c r="A219" s="123" t="s">
        <v>221</v>
      </c>
      <c r="B219" s="124">
        <f t="shared" ref="B219:AG219" si="36">SUM(B114:B218)</f>
        <v>0</v>
      </c>
      <c r="C219" s="125">
        <f t="shared" si="36"/>
        <v>0</v>
      </c>
      <c r="D219" s="125">
        <f t="shared" si="36"/>
        <v>0</v>
      </c>
      <c r="E219" s="125">
        <f t="shared" si="36"/>
        <v>0</v>
      </c>
      <c r="F219" s="125">
        <f t="shared" si="36"/>
        <v>0</v>
      </c>
      <c r="G219" s="125">
        <f t="shared" si="36"/>
        <v>0</v>
      </c>
      <c r="H219" s="125">
        <f t="shared" si="36"/>
        <v>0</v>
      </c>
      <c r="I219" s="125">
        <f t="shared" si="36"/>
        <v>0</v>
      </c>
      <c r="J219" s="125">
        <f t="shared" si="36"/>
        <v>0</v>
      </c>
      <c r="K219" s="125">
        <f t="shared" si="36"/>
        <v>0</v>
      </c>
      <c r="L219" s="125">
        <f t="shared" si="36"/>
        <v>0</v>
      </c>
      <c r="M219" s="125">
        <f t="shared" si="36"/>
        <v>0</v>
      </c>
      <c r="N219" s="125">
        <f t="shared" si="36"/>
        <v>0</v>
      </c>
      <c r="O219" s="125">
        <f t="shared" si="36"/>
        <v>0</v>
      </c>
      <c r="P219" s="125">
        <f t="shared" si="36"/>
        <v>0</v>
      </c>
      <c r="Q219" s="125">
        <f t="shared" si="36"/>
        <v>0</v>
      </c>
      <c r="R219" s="125">
        <f t="shared" si="36"/>
        <v>0</v>
      </c>
      <c r="S219" s="125">
        <f t="shared" si="36"/>
        <v>0</v>
      </c>
      <c r="T219" s="125">
        <f t="shared" si="36"/>
        <v>0</v>
      </c>
      <c r="U219" s="125">
        <f t="shared" si="36"/>
        <v>0</v>
      </c>
      <c r="V219" s="125">
        <f t="shared" si="36"/>
        <v>0</v>
      </c>
      <c r="W219" s="125">
        <f t="shared" si="36"/>
        <v>0</v>
      </c>
      <c r="X219" s="125">
        <f t="shared" si="36"/>
        <v>0</v>
      </c>
      <c r="Y219" s="125">
        <f t="shared" si="36"/>
        <v>0</v>
      </c>
      <c r="Z219" s="125">
        <f t="shared" si="36"/>
        <v>0</v>
      </c>
      <c r="AA219" s="125">
        <f t="shared" si="36"/>
        <v>0</v>
      </c>
      <c r="AB219" s="125">
        <f t="shared" si="36"/>
        <v>0</v>
      </c>
      <c r="AC219" s="125">
        <f t="shared" si="36"/>
        <v>0</v>
      </c>
      <c r="AD219" s="125">
        <f t="shared" si="36"/>
        <v>0</v>
      </c>
      <c r="AE219" s="125">
        <f t="shared" si="36"/>
        <v>0</v>
      </c>
      <c r="AF219" s="126">
        <f t="shared" si="36"/>
        <v>0</v>
      </c>
      <c r="AG219" s="127">
        <f t="shared" si="36"/>
        <v>412.72299999999984</v>
      </c>
      <c r="AH219" s="48"/>
      <c r="AI219" s="49"/>
      <c r="AK219" s="50"/>
    </row>
    <row r="220" spans="1:37" ht="15.75" thickBot="1" x14ac:dyDescent="0.3">
      <c r="A220" s="26" t="s">
        <v>65</v>
      </c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08"/>
      <c r="AH220" s="48"/>
      <c r="AI220" s="49"/>
      <c r="AK220" s="50"/>
    </row>
    <row r="221" spans="1:37" x14ac:dyDescent="0.25">
      <c r="A221" s="88" t="s">
        <v>222</v>
      </c>
      <c r="B221" s="129">
        <f t="shared" ref="B221:B226" si="37">AF221</f>
        <v>0</v>
      </c>
      <c r="C221" s="129">
        <v>0.3</v>
      </c>
      <c r="D221" s="129">
        <f t="shared" ref="D221:P226" si="38">C221</f>
        <v>0.3</v>
      </c>
      <c r="E221" s="129">
        <f t="shared" si="38"/>
        <v>0.3</v>
      </c>
      <c r="F221" s="129">
        <f t="shared" si="38"/>
        <v>0.3</v>
      </c>
      <c r="G221" s="129">
        <f t="shared" si="38"/>
        <v>0.3</v>
      </c>
      <c r="H221" s="129">
        <f t="shared" si="38"/>
        <v>0.3</v>
      </c>
      <c r="I221" s="129">
        <f t="shared" si="38"/>
        <v>0.3</v>
      </c>
      <c r="J221" s="129">
        <f t="shared" si="38"/>
        <v>0.3</v>
      </c>
      <c r="K221" s="129">
        <f t="shared" si="38"/>
        <v>0.3</v>
      </c>
      <c r="L221" s="129">
        <f t="shared" si="38"/>
        <v>0.3</v>
      </c>
      <c r="M221" s="129">
        <f t="shared" si="38"/>
        <v>0.3</v>
      </c>
      <c r="N221" s="129">
        <f t="shared" si="38"/>
        <v>0.3</v>
      </c>
      <c r="O221" s="129">
        <f t="shared" si="38"/>
        <v>0.3</v>
      </c>
      <c r="P221" s="129">
        <f t="shared" si="38"/>
        <v>0.3</v>
      </c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30">
        <v>2.4</v>
      </c>
      <c r="AH221" s="48"/>
      <c r="AI221" s="49"/>
      <c r="AK221" s="50"/>
    </row>
    <row r="222" spans="1:37" x14ac:dyDescent="0.25">
      <c r="A222" s="91" t="s">
        <v>223</v>
      </c>
      <c r="B222" s="117">
        <f t="shared" si="37"/>
        <v>0</v>
      </c>
      <c r="C222" s="117">
        <v>0.4</v>
      </c>
      <c r="D222" s="117">
        <f t="shared" si="38"/>
        <v>0.4</v>
      </c>
      <c r="E222" s="117">
        <f t="shared" si="38"/>
        <v>0.4</v>
      </c>
      <c r="F222" s="117">
        <f t="shared" si="38"/>
        <v>0.4</v>
      </c>
      <c r="G222" s="117">
        <f t="shared" si="38"/>
        <v>0.4</v>
      </c>
      <c r="H222" s="117">
        <f t="shared" si="38"/>
        <v>0.4</v>
      </c>
      <c r="I222" s="117">
        <f t="shared" si="38"/>
        <v>0.4</v>
      </c>
      <c r="J222" s="117">
        <f t="shared" si="38"/>
        <v>0.4</v>
      </c>
      <c r="K222" s="117">
        <f t="shared" si="38"/>
        <v>0.4</v>
      </c>
      <c r="L222" s="117">
        <f t="shared" si="38"/>
        <v>0.4</v>
      </c>
      <c r="M222" s="117">
        <f t="shared" si="38"/>
        <v>0.4</v>
      </c>
      <c r="N222" s="117">
        <f t="shared" si="38"/>
        <v>0.4</v>
      </c>
      <c r="O222" s="117">
        <f t="shared" si="38"/>
        <v>0.4</v>
      </c>
      <c r="P222" s="117">
        <f t="shared" si="38"/>
        <v>0.4</v>
      </c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31">
        <v>2</v>
      </c>
      <c r="AH222" s="48"/>
      <c r="AI222" s="49"/>
      <c r="AK222" s="50"/>
    </row>
    <row r="223" spans="1:37" x14ac:dyDescent="0.25">
      <c r="A223" s="91" t="s">
        <v>224</v>
      </c>
      <c r="B223" s="117">
        <f t="shared" si="37"/>
        <v>0</v>
      </c>
      <c r="C223" s="117">
        <v>1.5</v>
      </c>
      <c r="D223" s="117">
        <f t="shared" si="38"/>
        <v>1.5</v>
      </c>
      <c r="E223" s="117">
        <f t="shared" si="38"/>
        <v>1.5</v>
      </c>
      <c r="F223" s="117">
        <f t="shared" si="38"/>
        <v>1.5</v>
      </c>
      <c r="G223" s="117">
        <f t="shared" si="38"/>
        <v>1.5</v>
      </c>
      <c r="H223" s="117">
        <f t="shared" si="38"/>
        <v>1.5</v>
      </c>
      <c r="I223" s="117">
        <f t="shared" si="38"/>
        <v>1.5</v>
      </c>
      <c r="J223" s="117">
        <f t="shared" si="38"/>
        <v>1.5</v>
      </c>
      <c r="K223" s="117">
        <f t="shared" si="38"/>
        <v>1.5</v>
      </c>
      <c r="L223" s="117">
        <f t="shared" si="38"/>
        <v>1.5</v>
      </c>
      <c r="M223" s="117">
        <f t="shared" si="38"/>
        <v>1.5</v>
      </c>
      <c r="N223" s="117">
        <f t="shared" si="38"/>
        <v>1.5</v>
      </c>
      <c r="O223" s="117">
        <f t="shared" si="38"/>
        <v>1.5</v>
      </c>
      <c r="P223" s="117">
        <f t="shared" si="38"/>
        <v>1.5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1.5</v>
      </c>
      <c r="AH223" s="48"/>
      <c r="AI223" s="49"/>
      <c r="AK223" s="50"/>
    </row>
    <row r="224" spans="1:37" x14ac:dyDescent="0.25">
      <c r="A224" s="91" t="s">
        <v>225</v>
      </c>
      <c r="B224" s="117">
        <f t="shared" si="37"/>
        <v>0</v>
      </c>
      <c r="C224" s="117">
        <v>0.3</v>
      </c>
      <c r="D224" s="117">
        <f t="shared" si="38"/>
        <v>0.3</v>
      </c>
      <c r="E224" s="117">
        <f t="shared" si="38"/>
        <v>0.3</v>
      </c>
      <c r="F224" s="117">
        <f t="shared" si="38"/>
        <v>0.3</v>
      </c>
      <c r="G224" s="117">
        <f t="shared" si="38"/>
        <v>0.3</v>
      </c>
      <c r="H224" s="117">
        <f t="shared" si="38"/>
        <v>0.3</v>
      </c>
      <c r="I224" s="117">
        <f t="shared" si="38"/>
        <v>0.3</v>
      </c>
      <c r="J224" s="117">
        <f t="shared" si="38"/>
        <v>0.3</v>
      </c>
      <c r="K224" s="117">
        <f t="shared" si="38"/>
        <v>0.3</v>
      </c>
      <c r="L224" s="117">
        <f t="shared" si="38"/>
        <v>0.3</v>
      </c>
      <c r="M224" s="117">
        <f t="shared" si="38"/>
        <v>0.3</v>
      </c>
      <c r="N224" s="117">
        <f t="shared" si="38"/>
        <v>0.3</v>
      </c>
      <c r="O224" s="117">
        <f t="shared" si="38"/>
        <v>0.3</v>
      </c>
      <c r="P224" s="117">
        <f t="shared" si="38"/>
        <v>0.3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</v>
      </c>
      <c r="AH224" s="48"/>
      <c r="AI224" s="49"/>
      <c r="AK224" s="50"/>
    </row>
    <row r="225" spans="1:50" x14ac:dyDescent="0.25">
      <c r="A225" s="91" t="s">
        <v>226</v>
      </c>
      <c r="B225" s="117">
        <f t="shared" si="37"/>
        <v>0</v>
      </c>
      <c r="C225" s="117">
        <v>0.4</v>
      </c>
      <c r="D225" s="117">
        <f t="shared" si="38"/>
        <v>0.4</v>
      </c>
      <c r="E225" s="117">
        <f t="shared" si="38"/>
        <v>0.4</v>
      </c>
      <c r="F225" s="117">
        <f t="shared" si="38"/>
        <v>0.4</v>
      </c>
      <c r="G225" s="117">
        <f t="shared" si="38"/>
        <v>0.4</v>
      </c>
      <c r="H225" s="117">
        <f t="shared" si="38"/>
        <v>0.4</v>
      </c>
      <c r="I225" s="117">
        <f t="shared" si="38"/>
        <v>0.4</v>
      </c>
      <c r="J225" s="117">
        <f t="shared" si="38"/>
        <v>0.4</v>
      </c>
      <c r="K225" s="117">
        <f t="shared" si="38"/>
        <v>0.4</v>
      </c>
      <c r="L225" s="117">
        <f t="shared" si="38"/>
        <v>0.4</v>
      </c>
      <c r="M225" s="117">
        <f t="shared" si="38"/>
        <v>0.4</v>
      </c>
      <c r="N225" s="117">
        <f t="shared" si="38"/>
        <v>0.4</v>
      </c>
      <c r="O225" s="117">
        <f t="shared" si="38"/>
        <v>0.4</v>
      </c>
      <c r="P225" s="117">
        <f t="shared" si="38"/>
        <v>0.4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50" ht="15.75" thickBot="1" x14ac:dyDescent="0.3">
      <c r="A226" s="105" t="s">
        <v>227</v>
      </c>
      <c r="B226" s="121">
        <f t="shared" si="37"/>
        <v>0</v>
      </c>
      <c r="C226" s="121">
        <v>0.64</v>
      </c>
      <c r="D226" s="121">
        <f t="shared" si="38"/>
        <v>0.64</v>
      </c>
      <c r="E226" s="121">
        <f t="shared" si="38"/>
        <v>0.64</v>
      </c>
      <c r="F226" s="121">
        <f t="shared" si="38"/>
        <v>0.64</v>
      </c>
      <c r="G226" s="121">
        <f t="shared" si="38"/>
        <v>0.64</v>
      </c>
      <c r="H226" s="121">
        <f t="shared" si="38"/>
        <v>0.64</v>
      </c>
      <c r="I226" s="121">
        <f t="shared" si="38"/>
        <v>0.64</v>
      </c>
      <c r="J226" s="121">
        <f t="shared" si="38"/>
        <v>0.64</v>
      </c>
      <c r="K226" s="121">
        <f t="shared" si="38"/>
        <v>0.64</v>
      </c>
      <c r="L226" s="121">
        <f t="shared" si="38"/>
        <v>0.64</v>
      </c>
      <c r="M226" s="121">
        <f t="shared" si="38"/>
        <v>0.64</v>
      </c>
      <c r="N226" s="121">
        <f t="shared" si="38"/>
        <v>0.64</v>
      </c>
      <c r="O226" s="121">
        <f t="shared" si="38"/>
        <v>0.64</v>
      </c>
      <c r="P226" s="121">
        <f t="shared" si="38"/>
        <v>0.64</v>
      </c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32">
        <v>0.66</v>
      </c>
      <c r="AH226" s="48"/>
      <c r="AI226" s="49"/>
    </row>
    <row r="227" spans="1:50" ht="15.75" thickBot="1" x14ac:dyDescent="0.3">
      <c r="A227" s="133" t="s">
        <v>65</v>
      </c>
      <c r="B227" s="125">
        <f t="shared" ref="B227:AG227" si="39">SUM(B221:B226)</f>
        <v>0</v>
      </c>
      <c r="C227" s="125">
        <f t="shared" si="39"/>
        <v>3.54</v>
      </c>
      <c r="D227" s="125">
        <f t="shared" si="39"/>
        <v>3.54</v>
      </c>
      <c r="E227" s="125">
        <f t="shared" si="39"/>
        <v>3.54</v>
      </c>
      <c r="F227" s="125">
        <f t="shared" si="39"/>
        <v>3.54</v>
      </c>
      <c r="G227" s="125">
        <f t="shared" si="39"/>
        <v>3.54</v>
      </c>
      <c r="H227" s="125">
        <f t="shared" si="39"/>
        <v>3.54</v>
      </c>
      <c r="I227" s="125">
        <f t="shared" si="39"/>
        <v>3.54</v>
      </c>
      <c r="J227" s="125">
        <f t="shared" si="39"/>
        <v>3.54</v>
      </c>
      <c r="K227" s="125">
        <f t="shared" si="39"/>
        <v>3.54</v>
      </c>
      <c r="L227" s="125">
        <f t="shared" si="39"/>
        <v>3.54</v>
      </c>
      <c r="M227" s="125">
        <f t="shared" si="39"/>
        <v>3.54</v>
      </c>
      <c r="N227" s="125">
        <f t="shared" si="39"/>
        <v>3.54</v>
      </c>
      <c r="O227" s="125">
        <f t="shared" si="39"/>
        <v>3.54</v>
      </c>
      <c r="P227" s="125">
        <f t="shared" si="39"/>
        <v>3.54</v>
      </c>
      <c r="Q227" s="125">
        <f t="shared" si="39"/>
        <v>0</v>
      </c>
      <c r="R227" s="125">
        <f t="shared" si="39"/>
        <v>0</v>
      </c>
      <c r="S227" s="125">
        <f t="shared" si="39"/>
        <v>0</v>
      </c>
      <c r="T227" s="125">
        <f t="shared" si="39"/>
        <v>0</v>
      </c>
      <c r="U227" s="125">
        <f t="shared" si="39"/>
        <v>0</v>
      </c>
      <c r="V227" s="125">
        <f t="shared" si="39"/>
        <v>0</v>
      </c>
      <c r="W227" s="125">
        <f t="shared" si="39"/>
        <v>0</v>
      </c>
      <c r="X227" s="125">
        <f t="shared" si="39"/>
        <v>0</v>
      </c>
      <c r="Y227" s="125">
        <f t="shared" si="39"/>
        <v>0</v>
      </c>
      <c r="Z227" s="125">
        <f t="shared" si="39"/>
        <v>0</v>
      </c>
      <c r="AA227" s="125">
        <f t="shared" si="39"/>
        <v>0</v>
      </c>
      <c r="AB227" s="125">
        <f t="shared" si="39"/>
        <v>0</v>
      </c>
      <c r="AC227" s="125">
        <f t="shared" si="39"/>
        <v>0</v>
      </c>
      <c r="AD227" s="125">
        <f t="shared" si="39"/>
        <v>0</v>
      </c>
      <c r="AE227" s="125">
        <f t="shared" si="39"/>
        <v>0</v>
      </c>
      <c r="AF227" s="125">
        <f t="shared" si="39"/>
        <v>0</v>
      </c>
      <c r="AG227" s="134">
        <f t="shared" si="39"/>
        <v>8.56</v>
      </c>
      <c r="AH227" s="48"/>
      <c r="AI227" s="49"/>
    </row>
    <row r="228" spans="1:50" ht="15.75" thickBot="1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128"/>
      <c r="AH228" s="43"/>
    </row>
    <row r="229" spans="1:50" x14ac:dyDescent="0.25">
      <c r="A229" s="135" t="s">
        <v>228</v>
      </c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7"/>
      <c r="AG229" s="43"/>
      <c r="AH229" s="48"/>
      <c r="AI229" s="49"/>
    </row>
    <row r="230" spans="1:50" x14ac:dyDescent="0.25">
      <c r="A230" s="138" t="s">
        <v>229</v>
      </c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  <c r="Z230" s="139"/>
      <c r="AA230" s="139"/>
      <c r="AB230" s="139"/>
      <c r="AC230" s="139"/>
      <c r="AD230" s="139"/>
      <c r="AE230" s="139"/>
      <c r="AF230" s="140"/>
      <c r="AG230" s="141"/>
      <c r="AH230" s="48"/>
      <c r="AI230" s="49"/>
    </row>
    <row r="231" spans="1:50" x14ac:dyDescent="0.25">
      <c r="A231" s="142" t="s">
        <v>230</v>
      </c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4"/>
      <c r="AG231" s="141"/>
      <c r="AH231" s="48"/>
      <c r="AI231" s="49"/>
    </row>
    <row r="232" spans="1:50" x14ac:dyDescent="0.25">
      <c r="A232" s="142" t="s">
        <v>231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50" ht="15.75" thickBot="1" x14ac:dyDescent="0.3">
      <c r="A233" s="145" t="s">
        <v>232</v>
      </c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7"/>
      <c r="AG233" s="141"/>
      <c r="AH233" s="48"/>
      <c r="AI233" s="49"/>
    </row>
    <row r="234" spans="1:50" x14ac:dyDescent="0.25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</row>
    <row r="235" spans="1:50" x14ac:dyDescent="0.2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50" x14ac:dyDescent="0.25">
      <c r="A236" s="148" t="s">
        <v>233</v>
      </c>
      <c r="B236" s="149">
        <f>MAX(G84:N84)</f>
        <v>1621.7400000000002</v>
      </c>
      <c r="C236" s="150">
        <f>INDEX(G9:N9,1,MATCH(MAX(G84:N84),G84:N84,0))</f>
        <v>0.3125</v>
      </c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50" x14ac:dyDescent="0.25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151" t="str">
        <f ca="1">MID(CELL("filename",C7),FIND("]",CELL("filename",C7))+1,600)</f>
        <v>19</v>
      </c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50" x14ac:dyDescent="0.25">
      <c r="A238" s="235" t="s">
        <v>234</v>
      </c>
      <c r="B238" s="235"/>
      <c r="C238" s="43"/>
      <c r="D238" s="151" t="str">
        <f ca="1">"Pie Chart of Daily Peak Demand(Inclusive of Export) of Nepal ("&amp;A4&amp;" "&amp;B4&amp;")"</f>
        <v>Pie Chart of Daily Peak Demand(Inclusive of Export) of Nepal (Nepali Date: 2079/08/19)</v>
      </c>
      <c r="E238" s="43"/>
      <c r="F238" s="43"/>
      <c r="G238" s="151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"Daily Load Curve(Excluding of Export) of Nepal ("&amp;A4&amp;" "&amp;B4&amp;")"</f>
        <v>Daily Load Curve(Excluding of Export) of Nepal (Nepali Date: 2079/08/19)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50" ht="12.75" customHeight="1" thickBot="1" x14ac:dyDescent="0.3">
      <c r="A239" s="152" t="s">
        <v>7</v>
      </c>
      <c r="B239" s="153"/>
      <c r="C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50" ht="15.75" thickTop="1" x14ac:dyDescent="0.25">
      <c r="A240" s="152" t="s">
        <v>235</v>
      </c>
      <c r="B240" s="15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154" t="s">
        <v>236</v>
      </c>
      <c r="T240" s="155">
        <v>0</v>
      </c>
      <c r="U240" s="156">
        <v>4.1666666666666664E-2</v>
      </c>
      <c r="V240" s="157">
        <v>8.3333333333333301E-2</v>
      </c>
      <c r="W240" s="157">
        <v>0.125</v>
      </c>
      <c r="X240" s="157">
        <v>0.16666666666666699</v>
      </c>
      <c r="Y240" s="157">
        <v>0.20833333333333301</v>
      </c>
      <c r="Z240" s="157">
        <v>0.22916666666666666</v>
      </c>
      <c r="AA240" s="157">
        <v>0.25</v>
      </c>
      <c r="AB240" s="157">
        <v>0.27083333333333331</v>
      </c>
      <c r="AC240" s="157">
        <v>0.29166666666666669</v>
      </c>
      <c r="AD240" s="157">
        <v>0.3125</v>
      </c>
      <c r="AE240" s="158">
        <v>0.33333333333333331</v>
      </c>
      <c r="AF240" s="158">
        <v>0.375</v>
      </c>
      <c r="AG240" s="158">
        <v>0.41666666666666702</v>
      </c>
      <c r="AH240" s="158">
        <v>0.45833333333333298</v>
      </c>
      <c r="AI240" s="158">
        <v>0.5</v>
      </c>
      <c r="AJ240" s="158">
        <v>0.54166666666666696</v>
      </c>
      <c r="AK240" s="158">
        <v>0.58333333333333304</v>
      </c>
      <c r="AL240" s="158">
        <v>0.625</v>
      </c>
      <c r="AM240" s="158">
        <v>0.66666666666666696</v>
      </c>
      <c r="AN240" s="158">
        <v>0.70833333333333304</v>
      </c>
      <c r="AO240" s="158">
        <v>0.72916666666666663</v>
      </c>
      <c r="AP240" s="158">
        <v>0.75</v>
      </c>
      <c r="AQ240" s="158">
        <v>0.77083333333333337</v>
      </c>
      <c r="AR240" s="158">
        <v>0.79166666666666663</v>
      </c>
      <c r="AS240" s="158">
        <v>0.8125</v>
      </c>
      <c r="AT240" s="157">
        <v>0.83333333333333337</v>
      </c>
      <c r="AU240" s="157">
        <v>0.85416666666666663</v>
      </c>
      <c r="AV240" s="157">
        <v>0.875</v>
      </c>
      <c r="AW240" s="157">
        <v>0.91666666666666696</v>
      </c>
      <c r="AX240" s="157">
        <v>0.95833333333333304</v>
      </c>
    </row>
    <row r="241" spans="1:50" x14ac:dyDescent="0.25">
      <c r="A241" s="152" t="s">
        <v>237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 t="s">
        <v>238</v>
      </c>
      <c r="T241" s="159">
        <f t="shared" ref="T241:AX241" si="40">B84</f>
        <v>1054.6399999999999</v>
      </c>
      <c r="U241" s="159">
        <f t="shared" si="40"/>
        <v>1054.6399999999999</v>
      </c>
      <c r="V241" s="159">
        <f t="shared" si="40"/>
        <v>1016.6400000000001</v>
      </c>
      <c r="W241" s="159">
        <f t="shared" si="40"/>
        <v>1011.24</v>
      </c>
      <c r="X241" s="159">
        <f t="shared" si="40"/>
        <v>981.94</v>
      </c>
      <c r="Y241" s="159">
        <f t="shared" si="40"/>
        <v>1077.04</v>
      </c>
      <c r="Z241" s="159">
        <f t="shared" si="40"/>
        <v>1156.94</v>
      </c>
      <c r="AA241" s="159">
        <f t="shared" si="40"/>
        <v>1220.94</v>
      </c>
      <c r="AB241" s="159">
        <f t="shared" si="40"/>
        <v>1336.94</v>
      </c>
      <c r="AC241" s="159">
        <f t="shared" si="40"/>
        <v>1523.1400000000003</v>
      </c>
      <c r="AD241" s="159">
        <f t="shared" si="40"/>
        <v>1621.7400000000002</v>
      </c>
      <c r="AE241" s="159">
        <f t="shared" si="40"/>
        <v>1621.24</v>
      </c>
      <c r="AF241" s="159">
        <f t="shared" si="40"/>
        <v>1576.24</v>
      </c>
      <c r="AG241" s="159">
        <f t="shared" si="40"/>
        <v>1313.54</v>
      </c>
      <c r="AH241" s="159">
        <f t="shared" si="40"/>
        <v>1259.94</v>
      </c>
      <c r="AI241" s="159">
        <f t="shared" si="40"/>
        <v>1211.94</v>
      </c>
      <c r="AJ241" s="159">
        <f t="shared" si="40"/>
        <v>1170.44</v>
      </c>
      <c r="AK241" s="159">
        <f t="shared" si="40"/>
        <v>1184.2400000000002</v>
      </c>
      <c r="AL241" s="159">
        <f t="shared" si="40"/>
        <v>1203.94</v>
      </c>
      <c r="AM241" s="159">
        <f t="shared" si="40"/>
        <v>1238.5400000000002</v>
      </c>
      <c r="AN241" s="159">
        <f t="shared" si="40"/>
        <v>1282.539</v>
      </c>
      <c r="AO241" s="159">
        <f t="shared" si="40"/>
        <v>1685.34</v>
      </c>
      <c r="AP241" s="159">
        <f t="shared" si="40"/>
        <v>1679.44</v>
      </c>
      <c r="AQ241" s="159">
        <f t="shared" si="40"/>
        <v>1705.6389999999999</v>
      </c>
      <c r="AR241" s="159">
        <f t="shared" si="40"/>
        <v>1604.8390000000002</v>
      </c>
      <c r="AS241" s="159">
        <f t="shared" si="40"/>
        <v>1534.04</v>
      </c>
      <c r="AT241" s="159">
        <f t="shared" si="40"/>
        <v>1493.3400000000001</v>
      </c>
      <c r="AU241" s="159">
        <f t="shared" si="40"/>
        <v>1326.94</v>
      </c>
      <c r="AV241" s="159">
        <f t="shared" si="40"/>
        <v>1318.44</v>
      </c>
      <c r="AW241" s="159">
        <f t="shared" si="40"/>
        <v>1164.94</v>
      </c>
      <c r="AX241" s="159">
        <f t="shared" si="40"/>
        <v>1102.1399999999999</v>
      </c>
    </row>
    <row r="242" spans="1:50" x14ac:dyDescent="0.25">
      <c r="A242" s="152" t="s">
        <v>239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</row>
    <row r="243" spans="1:50" x14ac:dyDescent="0.25">
      <c r="A243" s="152" t="s">
        <v>240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241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242</v>
      </c>
      <c r="B245" s="160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243</v>
      </c>
      <c r="B246" s="15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A262" s="161" t="s">
        <v>228</v>
      </c>
      <c r="B262" s="162">
        <f t="shared" ref="B262:AE262" si="41">C226</f>
        <v>0.64</v>
      </c>
      <c r="C262" s="162">
        <f t="shared" si="41"/>
        <v>0.64</v>
      </c>
      <c r="D262" s="162">
        <f t="shared" si="41"/>
        <v>0.64</v>
      </c>
      <c r="E262" s="162">
        <f t="shared" si="41"/>
        <v>0.64</v>
      </c>
      <c r="F262" s="162">
        <f t="shared" si="41"/>
        <v>0.64</v>
      </c>
      <c r="G262" s="162">
        <f t="shared" si="41"/>
        <v>0.64</v>
      </c>
      <c r="H262" s="162">
        <f t="shared" si="41"/>
        <v>0.64</v>
      </c>
      <c r="I262" s="162">
        <f t="shared" si="41"/>
        <v>0.64</v>
      </c>
      <c r="J262" s="162">
        <f t="shared" si="41"/>
        <v>0.64</v>
      </c>
      <c r="K262" s="162">
        <f t="shared" si="41"/>
        <v>0.64</v>
      </c>
      <c r="L262" s="162">
        <f t="shared" si="41"/>
        <v>0.64</v>
      </c>
      <c r="M262" s="162">
        <f t="shared" si="41"/>
        <v>0.64</v>
      </c>
      <c r="N262" s="162">
        <f t="shared" si="41"/>
        <v>0.64</v>
      </c>
      <c r="O262" s="162">
        <f t="shared" si="41"/>
        <v>0.64</v>
      </c>
      <c r="P262" s="162">
        <f t="shared" si="41"/>
        <v>0</v>
      </c>
      <c r="Q262" s="162">
        <f t="shared" si="41"/>
        <v>0</v>
      </c>
      <c r="R262" s="162">
        <f t="shared" si="41"/>
        <v>0</v>
      </c>
      <c r="S262" s="162">
        <f t="shared" si="41"/>
        <v>0</v>
      </c>
      <c r="T262" s="162">
        <f t="shared" si="41"/>
        <v>0</v>
      </c>
      <c r="U262" s="162">
        <f t="shared" si="41"/>
        <v>0</v>
      </c>
      <c r="V262" s="162">
        <f t="shared" si="41"/>
        <v>0</v>
      </c>
      <c r="W262" s="162">
        <f t="shared" si="41"/>
        <v>0</v>
      </c>
      <c r="X262" s="162">
        <f t="shared" si="41"/>
        <v>0</v>
      </c>
      <c r="Y262" s="162">
        <f t="shared" si="41"/>
        <v>0</v>
      </c>
      <c r="Z262" s="162">
        <f t="shared" si="41"/>
        <v>0</v>
      </c>
      <c r="AA262" s="162">
        <f t="shared" si="41"/>
        <v>0</v>
      </c>
      <c r="AB262" s="162">
        <f t="shared" si="41"/>
        <v>0</v>
      </c>
      <c r="AC262" s="162">
        <f t="shared" si="41"/>
        <v>0</v>
      </c>
      <c r="AD262" s="162">
        <f t="shared" si="41"/>
        <v>0</v>
      </c>
      <c r="AE262" s="162">
        <f t="shared" si="41"/>
        <v>0</v>
      </c>
      <c r="AF262" s="162">
        <f>B226</f>
        <v>0</v>
      </c>
      <c r="AG262" s="43"/>
      <c r="AH262" s="43"/>
    </row>
    <row r="263" spans="1:34" x14ac:dyDescent="0.25">
      <c r="A263" s="163" t="str">
        <f>A230</f>
        <v>KGA</v>
      </c>
      <c r="B263" s="163" t="str">
        <f t="shared" ref="B263:AF263" si="42">IF(B230&lt;100,"",B230-520)</f>
        <v/>
      </c>
      <c r="C263" s="163" t="str">
        <f t="shared" si="42"/>
        <v/>
      </c>
      <c r="D263" s="163" t="str">
        <f t="shared" si="42"/>
        <v/>
      </c>
      <c r="E263" s="163" t="str">
        <f t="shared" si="42"/>
        <v/>
      </c>
      <c r="F263" s="163" t="str">
        <f t="shared" si="42"/>
        <v/>
      </c>
      <c r="G263" s="163" t="str">
        <f t="shared" si="42"/>
        <v/>
      </c>
      <c r="H263" s="163" t="str">
        <f t="shared" si="42"/>
        <v/>
      </c>
      <c r="I263" s="163" t="str">
        <f t="shared" si="42"/>
        <v/>
      </c>
      <c r="J263" s="163" t="str">
        <f t="shared" si="42"/>
        <v/>
      </c>
      <c r="K263" s="163" t="str">
        <f t="shared" si="42"/>
        <v/>
      </c>
      <c r="L263" s="163" t="str">
        <f t="shared" si="42"/>
        <v/>
      </c>
      <c r="M263" s="163" t="str">
        <f t="shared" si="42"/>
        <v/>
      </c>
      <c r="N263" s="163" t="str">
        <f t="shared" si="42"/>
        <v/>
      </c>
      <c r="O263" s="163" t="str">
        <f t="shared" si="42"/>
        <v/>
      </c>
      <c r="P263" s="163" t="str">
        <f t="shared" si="42"/>
        <v/>
      </c>
      <c r="Q263" s="163" t="str">
        <f t="shared" si="42"/>
        <v/>
      </c>
      <c r="R263" s="163" t="str">
        <f t="shared" si="42"/>
        <v/>
      </c>
      <c r="S263" s="163" t="str">
        <f t="shared" si="42"/>
        <v/>
      </c>
      <c r="T263" s="163" t="str">
        <f t="shared" si="42"/>
        <v/>
      </c>
      <c r="U263" s="163" t="str">
        <f t="shared" si="42"/>
        <v/>
      </c>
      <c r="V263" s="163" t="str">
        <f t="shared" si="42"/>
        <v/>
      </c>
      <c r="W263" s="163" t="str">
        <f t="shared" si="42"/>
        <v/>
      </c>
      <c r="X263" s="163" t="str">
        <f t="shared" si="42"/>
        <v/>
      </c>
      <c r="Y263" s="163" t="str">
        <f t="shared" si="42"/>
        <v/>
      </c>
      <c r="Z263" s="163" t="str">
        <f t="shared" si="42"/>
        <v/>
      </c>
      <c r="AA263" s="163" t="str">
        <f t="shared" si="42"/>
        <v/>
      </c>
      <c r="AB263" s="163" t="str">
        <f t="shared" si="42"/>
        <v/>
      </c>
      <c r="AC263" s="163" t="str">
        <f t="shared" si="42"/>
        <v/>
      </c>
      <c r="AD263" s="163" t="str">
        <f t="shared" si="42"/>
        <v/>
      </c>
      <c r="AE263" s="163" t="str">
        <f t="shared" si="42"/>
        <v/>
      </c>
      <c r="AF263" s="163" t="str">
        <f t="shared" si="42"/>
        <v/>
      </c>
      <c r="AG263" s="43"/>
      <c r="AH263" s="43"/>
    </row>
    <row r="264" spans="1:34" x14ac:dyDescent="0.25">
      <c r="A264" s="163" t="str">
        <f>A231</f>
        <v>MMRS</v>
      </c>
      <c r="B264" s="163" t="str">
        <f t="shared" ref="B264:AF264" si="43">IF(B231&lt;100,"",B231-620)</f>
        <v/>
      </c>
      <c r="C264" s="163" t="str">
        <f t="shared" si="43"/>
        <v/>
      </c>
      <c r="D264" s="163" t="str">
        <f t="shared" si="43"/>
        <v/>
      </c>
      <c r="E264" s="163" t="str">
        <f t="shared" si="43"/>
        <v/>
      </c>
      <c r="F264" s="163" t="str">
        <f t="shared" si="43"/>
        <v/>
      </c>
      <c r="G264" s="163" t="str">
        <f t="shared" si="43"/>
        <v/>
      </c>
      <c r="H264" s="163" t="str">
        <f t="shared" si="43"/>
        <v/>
      </c>
      <c r="I264" s="163" t="str">
        <f t="shared" si="43"/>
        <v/>
      </c>
      <c r="J264" s="163" t="str">
        <f t="shared" si="43"/>
        <v/>
      </c>
      <c r="K264" s="163" t="str">
        <f t="shared" si="43"/>
        <v/>
      </c>
      <c r="L264" s="163" t="str">
        <f t="shared" si="43"/>
        <v/>
      </c>
      <c r="M264" s="163" t="str">
        <f t="shared" si="43"/>
        <v/>
      </c>
      <c r="N264" s="163" t="str">
        <f t="shared" si="43"/>
        <v/>
      </c>
      <c r="O264" s="163" t="str">
        <f t="shared" si="43"/>
        <v/>
      </c>
      <c r="P264" s="163" t="str">
        <f t="shared" si="43"/>
        <v/>
      </c>
      <c r="Q264" s="163" t="str">
        <f t="shared" si="43"/>
        <v/>
      </c>
      <c r="R264" s="163" t="str">
        <f t="shared" si="43"/>
        <v/>
      </c>
      <c r="S264" s="163" t="str">
        <f t="shared" si="43"/>
        <v/>
      </c>
      <c r="T264" s="163" t="str">
        <f t="shared" si="43"/>
        <v/>
      </c>
      <c r="U264" s="163" t="str">
        <f t="shared" si="43"/>
        <v/>
      </c>
      <c r="V264" s="163" t="str">
        <f t="shared" si="43"/>
        <v/>
      </c>
      <c r="W264" s="163" t="str">
        <f t="shared" si="43"/>
        <v/>
      </c>
      <c r="X264" s="163" t="str">
        <f t="shared" si="43"/>
        <v/>
      </c>
      <c r="Y264" s="163" t="str">
        <f t="shared" si="43"/>
        <v/>
      </c>
      <c r="Z264" s="163" t="str">
        <f t="shared" si="43"/>
        <v/>
      </c>
      <c r="AA264" s="163" t="str">
        <f t="shared" si="43"/>
        <v/>
      </c>
      <c r="AB264" s="163" t="str">
        <f t="shared" si="43"/>
        <v/>
      </c>
      <c r="AC264" s="163" t="str">
        <f t="shared" si="43"/>
        <v/>
      </c>
      <c r="AD264" s="163" t="str">
        <f t="shared" si="43"/>
        <v/>
      </c>
      <c r="AE264" s="163" t="str">
        <f t="shared" si="43"/>
        <v/>
      </c>
      <c r="AF264" s="163" t="str">
        <f t="shared" si="43"/>
        <v/>
      </c>
      <c r="AG264" s="43"/>
      <c r="AH264" s="43"/>
    </row>
    <row r="265" spans="1:34" x14ac:dyDescent="0.25">
      <c r="A265" s="163" t="str">
        <f>A232</f>
        <v>MRS</v>
      </c>
      <c r="B265" s="163" t="str">
        <f t="shared" ref="B265:AF265" si="44">IF(B232&lt;100,"",B232-330)</f>
        <v/>
      </c>
      <c r="C265" s="163" t="str">
        <f t="shared" si="44"/>
        <v/>
      </c>
      <c r="D265" s="163" t="str">
        <f t="shared" si="44"/>
        <v/>
      </c>
      <c r="E265" s="163" t="str">
        <f t="shared" si="44"/>
        <v/>
      </c>
      <c r="F265" s="163" t="str">
        <f t="shared" si="44"/>
        <v/>
      </c>
      <c r="G265" s="163" t="str">
        <f t="shared" si="44"/>
        <v/>
      </c>
      <c r="H265" s="163" t="str">
        <f t="shared" si="44"/>
        <v/>
      </c>
      <c r="I265" s="163" t="str">
        <f t="shared" si="44"/>
        <v/>
      </c>
      <c r="J265" s="163" t="str">
        <f t="shared" si="44"/>
        <v/>
      </c>
      <c r="K265" s="163" t="str">
        <f t="shared" si="44"/>
        <v/>
      </c>
      <c r="L265" s="163" t="str">
        <f t="shared" si="44"/>
        <v/>
      </c>
      <c r="M265" s="163" t="str">
        <f t="shared" si="44"/>
        <v/>
      </c>
      <c r="N265" s="163" t="str">
        <f t="shared" si="44"/>
        <v/>
      </c>
      <c r="O265" s="163" t="str">
        <f t="shared" si="44"/>
        <v/>
      </c>
      <c r="P265" s="163" t="str">
        <f t="shared" si="44"/>
        <v/>
      </c>
      <c r="Q265" s="163" t="str">
        <f t="shared" si="44"/>
        <v/>
      </c>
      <c r="R265" s="163" t="str">
        <f t="shared" si="44"/>
        <v/>
      </c>
      <c r="S265" s="163" t="str">
        <f t="shared" si="44"/>
        <v/>
      </c>
      <c r="T265" s="163" t="str">
        <f t="shared" si="44"/>
        <v/>
      </c>
      <c r="U265" s="163" t="str">
        <f t="shared" si="44"/>
        <v/>
      </c>
      <c r="V265" s="163" t="str">
        <f t="shared" si="44"/>
        <v/>
      </c>
      <c r="W265" s="163" t="str">
        <f t="shared" si="44"/>
        <v/>
      </c>
      <c r="X265" s="163" t="str">
        <f t="shared" si="44"/>
        <v/>
      </c>
      <c r="Y265" s="163" t="str">
        <f t="shared" si="44"/>
        <v/>
      </c>
      <c r="Z265" s="163" t="str">
        <f t="shared" si="44"/>
        <v/>
      </c>
      <c r="AA265" s="163" t="str">
        <f t="shared" si="44"/>
        <v/>
      </c>
      <c r="AB265" s="163" t="str">
        <f t="shared" si="44"/>
        <v/>
      </c>
      <c r="AC265" s="163" t="str">
        <f t="shared" si="44"/>
        <v/>
      </c>
      <c r="AD265" s="163" t="str">
        <f t="shared" si="44"/>
        <v/>
      </c>
      <c r="AE265" s="163" t="str">
        <f t="shared" si="44"/>
        <v/>
      </c>
      <c r="AF265" s="163" t="str">
        <f t="shared" si="44"/>
        <v/>
      </c>
      <c r="AG265" s="43"/>
      <c r="AH265" s="43"/>
    </row>
    <row r="266" spans="1:34" x14ac:dyDescent="0.25">
      <c r="A266" s="163" t="str">
        <f>A233</f>
        <v>KL 1</v>
      </c>
      <c r="B266" s="163" t="str">
        <f t="shared" ref="B266:AF266" si="45">IF(B233&lt;100,"",B233-1500)</f>
        <v/>
      </c>
      <c r="C266" s="163" t="str">
        <f t="shared" si="45"/>
        <v/>
      </c>
      <c r="D266" s="163" t="str">
        <f t="shared" si="45"/>
        <v/>
      </c>
      <c r="E266" s="163" t="str">
        <f t="shared" si="45"/>
        <v/>
      </c>
      <c r="F266" s="163" t="str">
        <f t="shared" si="45"/>
        <v/>
      </c>
      <c r="G266" s="163" t="str">
        <f t="shared" si="45"/>
        <v/>
      </c>
      <c r="H266" s="163" t="str">
        <f t="shared" si="45"/>
        <v/>
      </c>
      <c r="I266" s="163" t="str">
        <f t="shared" si="45"/>
        <v/>
      </c>
      <c r="J266" s="163" t="str">
        <f t="shared" si="45"/>
        <v/>
      </c>
      <c r="K266" s="163" t="str">
        <f t="shared" si="45"/>
        <v/>
      </c>
      <c r="L266" s="163" t="str">
        <f t="shared" si="45"/>
        <v/>
      </c>
      <c r="M266" s="163" t="str">
        <f t="shared" si="45"/>
        <v/>
      </c>
      <c r="N266" s="163" t="str">
        <f t="shared" si="45"/>
        <v/>
      </c>
      <c r="O266" s="163" t="str">
        <f t="shared" si="45"/>
        <v/>
      </c>
      <c r="P266" s="163" t="str">
        <f t="shared" si="45"/>
        <v/>
      </c>
      <c r="Q266" s="163" t="str">
        <f t="shared" si="45"/>
        <v/>
      </c>
      <c r="R266" s="163" t="str">
        <f t="shared" si="45"/>
        <v/>
      </c>
      <c r="S266" s="163" t="str">
        <f t="shared" si="45"/>
        <v/>
      </c>
      <c r="T266" s="163" t="str">
        <f t="shared" si="45"/>
        <v/>
      </c>
      <c r="U266" s="163" t="str">
        <f t="shared" si="45"/>
        <v/>
      </c>
      <c r="V266" s="163" t="str">
        <f t="shared" si="45"/>
        <v/>
      </c>
      <c r="W266" s="163" t="str">
        <f t="shared" si="45"/>
        <v/>
      </c>
      <c r="X266" s="163" t="str">
        <f t="shared" si="45"/>
        <v/>
      </c>
      <c r="Y266" s="163" t="str">
        <f t="shared" si="45"/>
        <v/>
      </c>
      <c r="Z266" s="163" t="str">
        <f t="shared" si="45"/>
        <v/>
      </c>
      <c r="AA266" s="163" t="str">
        <f t="shared" si="45"/>
        <v/>
      </c>
      <c r="AB266" s="163" t="str">
        <f t="shared" si="45"/>
        <v/>
      </c>
      <c r="AC266" s="163" t="str">
        <f t="shared" si="45"/>
        <v/>
      </c>
      <c r="AD266" s="163" t="str">
        <f t="shared" si="45"/>
        <v/>
      </c>
      <c r="AE266" s="163" t="str">
        <f t="shared" si="45"/>
        <v/>
      </c>
      <c r="AF266" s="163" t="str">
        <f t="shared" si="45"/>
        <v/>
      </c>
      <c r="AG266" s="43"/>
      <c r="AH266" s="43"/>
    </row>
    <row r="267" spans="1:34" x14ac:dyDescent="0.25"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2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8:B238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D221:AF227 B221:B227 B219:AF219 U240:AF240 B9:AF10 C104:AF104 C106:AF111 V11:AF11 M15:AF15 M22:AF26 M17:AF18">
    <cfRule type="expression" dxfId="4534" priority="361">
      <formula>B$9&gt;=20/24</formula>
    </cfRule>
    <cfRule type="expression" dxfId="4533" priority="362">
      <formula>AND(B$9&gt;=14/24,B$9&lt;20/24)</formula>
    </cfRule>
    <cfRule type="expression" dxfId="4532" priority="363">
      <formula>AND(B$9&gt;=8/24,B$9&lt;14/24)</formula>
    </cfRule>
    <cfRule type="expression" dxfId="4531" priority="364">
      <formula>B$9&lt;8/24</formula>
    </cfRule>
  </conditionalFormatting>
  <conditionalFormatting sqref="AL4:AL6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S42:AF42">
    <cfRule type="expression" dxfId="4530" priority="356">
      <formula>S$9&gt;=20/24</formula>
    </cfRule>
    <cfRule type="expression" dxfId="4529" priority="357">
      <formula>AND(S$9&gt;=14/24,S$9&lt;20/24)</formula>
    </cfRule>
    <cfRule type="expression" dxfId="4528" priority="358">
      <formula>AND(S$9&gt;=8/24,S$9&lt;14/24)</formula>
    </cfRule>
    <cfRule type="expression" dxfId="4527" priority="359">
      <formula>S$9&lt;8/24</formula>
    </cfRule>
  </conditionalFormatting>
  <conditionalFormatting sqref="AG60 M12:U18 S42:AF42 M20:AF20 M22:AF26 M40:AF40 V11:AF18">
    <cfRule type="expression" dxfId="4526" priority="355">
      <formula>M11&gt;$AG11</formula>
    </cfRule>
  </conditionalFormatting>
  <conditionalFormatting sqref="A94:A104 A54:A81 A90:A92 A197:A227 A41:A52 A113:A184 A37:A38 A86:A88 A83:A84 A106:A108 A34:A35 A20:A32 A17:A18 A11:A15">
    <cfRule type="expression" dxfId="4525" priority="354">
      <formula>$AH11=0</formula>
    </cfRule>
  </conditionalFormatting>
  <conditionalFormatting sqref="A109">
    <cfRule type="expression" dxfId="4524" priority="353">
      <formula>$AH109=0</formula>
    </cfRule>
  </conditionalFormatting>
  <conditionalFormatting sqref="AL38">
    <cfRule type="iconSet" priority="352">
      <iconSet iconSet="3TrafficLights2" reverse="1">
        <cfvo type="percent" val="0"/>
        <cfvo type="num" val="1"/>
        <cfvo type="num" val="1"/>
      </iconSet>
    </cfRule>
  </conditionalFormatting>
  <conditionalFormatting sqref="A40">
    <cfRule type="expression" dxfId="4523" priority="351">
      <formula>$AH40=0</formula>
    </cfRule>
  </conditionalFormatting>
  <conditionalFormatting sqref="A93">
    <cfRule type="expression" dxfId="4522" priority="350">
      <formula>$AH93=0</formula>
    </cfRule>
  </conditionalFormatting>
  <conditionalFormatting sqref="A16">
    <cfRule type="expression" dxfId="4521" priority="349">
      <formula>$AH16=0</formula>
    </cfRule>
  </conditionalFormatting>
  <conditionalFormatting sqref="A191:A196">
    <cfRule type="expression" dxfId="4520" priority="348">
      <formula>$AH191=0</formula>
    </cfRule>
  </conditionalFormatting>
  <conditionalFormatting sqref="A185:A190">
    <cfRule type="expression" dxfId="4519" priority="347">
      <formula>$AH185=0</formula>
    </cfRule>
  </conditionalFormatting>
  <conditionalFormatting sqref="A53">
    <cfRule type="expression" dxfId="4518" priority="346">
      <formula>$AH53=0</formula>
    </cfRule>
  </conditionalFormatting>
  <conditionalFormatting sqref="A89">
    <cfRule type="expression" dxfId="4517" priority="345">
      <formula>$AH89=0</formula>
    </cfRule>
  </conditionalFormatting>
  <conditionalFormatting sqref="C94:AF94">
    <cfRule type="expression" dxfId="4516" priority="341">
      <formula>C$9&gt;=20/24</formula>
    </cfRule>
    <cfRule type="expression" dxfId="4515" priority="342">
      <formula>AND(C$9&gt;=14/24,C$9&lt;20/24)</formula>
    </cfRule>
    <cfRule type="expression" dxfId="4514" priority="343">
      <formula>AND(C$9&gt;=8/24,C$9&lt;14/24)</formula>
    </cfRule>
    <cfRule type="expression" dxfId="4513" priority="344">
      <formula>C$9&lt;8/24</formula>
    </cfRule>
  </conditionalFormatting>
  <conditionalFormatting sqref="AL39">
    <cfRule type="iconSet" priority="34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12" priority="367">
      <formula>C$9&gt;=20/24</formula>
    </cfRule>
    <cfRule type="expression" dxfId="4511" priority="368">
      <formula>AND(C$9&gt;=14/24,C$9&lt;20/24)</formula>
    </cfRule>
    <cfRule type="expression" dxfId="4510" priority="369">
      <formula>AND(C$9&gt;=8/24,C$9&lt;14/24)</formula>
    </cfRule>
    <cfRule type="expression" dxfId="4509" priority="370">
      <formula>C$9&lt;8/24</formula>
    </cfRule>
  </conditionalFormatting>
  <conditionalFormatting sqref="A228">
    <cfRule type="expression" dxfId="4508" priority="371">
      <formula>$AH228=0</formula>
    </cfRule>
  </conditionalFormatting>
  <conditionalFormatting sqref="AG240">
    <cfRule type="expression" dxfId="4507" priority="372">
      <formula>B$9&gt;=20/24</formula>
    </cfRule>
    <cfRule type="expression" dxfId="4506" priority="373">
      <formula>AND(B$9&gt;=14/24,B$9&lt;20/24)</formula>
    </cfRule>
    <cfRule type="expression" dxfId="4505" priority="374">
      <formula>AND(B$9&gt;=8/24,B$9&lt;14/24)</formula>
    </cfRule>
    <cfRule type="expression" dxfId="4504" priority="375">
      <formula>B$9&lt;8/24</formula>
    </cfRule>
  </conditionalFormatting>
  <conditionalFormatting sqref="S8">
    <cfRule type="expression" dxfId="4503" priority="336">
      <formula>U$9&gt;=20/24</formula>
    </cfRule>
    <cfRule type="expression" dxfId="4502" priority="337">
      <formula>AND(U$9&gt;=14/24,U$9&lt;20/24)</formula>
    </cfRule>
    <cfRule type="expression" dxfId="4501" priority="338">
      <formula>AND(U$9&gt;=8/24,U$9&lt;14/24)</formula>
    </cfRule>
    <cfRule type="expression" dxfId="4500" priority="339">
      <formula>U$9&lt;8/24</formula>
    </cfRule>
  </conditionalFormatting>
  <conditionalFormatting sqref="AB8">
    <cfRule type="expression" dxfId="4499" priority="332">
      <formula>AD$9&gt;=20/24</formula>
    </cfRule>
    <cfRule type="expression" dxfId="4498" priority="333">
      <formula>AND(AD$9&gt;=14/24,AD$9&lt;20/24)</formula>
    </cfRule>
    <cfRule type="expression" dxfId="4497" priority="334">
      <formula>AND(AD$9&gt;=8/24,AD$9&lt;14/24)</formula>
    </cfRule>
    <cfRule type="expression" dxfId="4496" priority="335">
      <formula>AD$9&lt;8/24</formula>
    </cfRule>
  </conditionalFormatting>
  <conditionalFormatting sqref="AH240:AX240">
    <cfRule type="expression" dxfId="4495" priority="376">
      <formula>AG$9&gt;=20/24</formula>
    </cfRule>
    <cfRule type="expression" dxfId="4494" priority="377">
      <formula>AND(AG$9&gt;=14/24,AG$9&lt;20/24)</formula>
    </cfRule>
    <cfRule type="expression" dxfId="4493" priority="378">
      <formula>AND(AG$9&gt;=8/24,AG$9&lt;14/24)</formula>
    </cfRule>
    <cfRule type="expression" dxfId="4492" priority="379">
      <formula>AG$9&lt;8/24</formula>
    </cfRule>
  </conditionalFormatting>
  <conditionalFormatting sqref="T240">
    <cfRule type="expression" dxfId="4491" priority="380">
      <formula>AX$9&gt;=20/24</formula>
    </cfRule>
    <cfRule type="expression" dxfId="4490" priority="381">
      <formula>AND(AX$9&gt;=14/24,AX$9&lt;20/24)</formula>
    </cfRule>
    <cfRule type="expression" dxfId="4489" priority="382">
      <formula>AND(AX$9&gt;=8/24,AX$9&lt;14/24)</formula>
    </cfRule>
    <cfRule type="expression" dxfId="4488" priority="383">
      <formula>AX$9&lt;8/24</formula>
    </cfRule>
  </conditionalFormatting>
  <conditionalFormatting sqref="A110:A111">
    <cfRule type="expression" dxfId="4487" priority="331">
      <formula>$AH110=0</formula>
    </cfRule>
  </conditionalFormatting>
  <conditionalFormatting sqref="T49:W50 I49:L50 M49:O52 P52 E66:AF66 Y49:AF50">
    <cfRule type="expression" dxfId="4486" priority="327">
      <formula>E$9&gt;=20/24</formula>
    </cfRule>
    <cfRule type="expression" dxfId="4485" priority="328">
      <formula>AND(E$9&gt;=14/24,E$9&lt;20/24)</formula>
    </cfRule>
    <cfRule type="expression" dxfId="4484" priority="329">
      <formula>AND(E$9&gt;=8/24,E$9&lt;14/24)</formula>
    </cfRule>
    <cfRule type="expression" dxfId="4483" priority="330">
      <formula>E$9&lt;8/24</formula>
    </cfRule>
  </conditionalFormatting>
  <conditionalFormatting sqref="T48:W48 E48:L48 Y48:AF48">
    <cfRule type="expression" dxfId="4482" priority="323">
      <formula>E$9&gt;=20/24</formula>
    </cfRule>
    <cfRule type="expression" dxfId="4481" priority="324">
      <formula>AND(E$9&gt;=14/24,E$9&lt;20/24)</formula>
    </cfRule>
    <cfRule type="expression" dxfId="4480" priority="325">
      <formula>AND(E$9&gt;=8/24,E$9&lt;14/24)</formula>
    </cfRule>
    <cfRule type="expression" dxfId="4479" priority="326">
      <formula>E$9&lt;8/24</formula>
    </cfRule>
  </conditionalFormatting>
  <conditionalFormatting sqref="T48:W50 I49:I50 E48:I48 J48:L50 M49:O52 P52 Y48:AF50">
    <cfRule type="expression" dxfId="4478" priority="322">
      <formula>E48&gt;$AG48</formula>
    </cfRule>
  </conditionalFormatting>
  <conditionalFormatting sqref="C91:AF91 C78:AF81 M42:R42 E67:S68 S62:W64 Z62:AF64 V12:AF14 V20:AF20 V32:AF32 V34:AF37 V28:AF30 T67:AF76 D95:AF101">
    <cfRule type="expression" dxfId="4477" priority="318">
      <formula>C$9&gt;=20/24</formula>
    </cfRule>
    <cfRule type="expression" dxfId="4476" priority="319">
      <formula>AND(C$9&gt;=14/24,C$9&lt;20/24)</formula>
    </cfRule>
    <cfRule type="expression" dxfId="4475" priority="320">
      <formula>AND(C$9&gt;=8/24,C$9&lt;14/24)</formula>
    </cfRule>
    <cfRule type="expression" dxfId="4474" priority="321">
      <formula>C$9&lt;8/24</formula>
    </cfRule>
  </conditionalFormatting>
  <conditionalFormatting sqref="V38:AF38">
    <cfRule type="expression" dxfId="4473" priority="314">
      <formula>V$9&gt;=20/24</formula>
    </cfRule>
    <cfRule type="expression" dxfId="4472" priority="315">
      <formula>AND(V$9&gt;=14/24,V$9&lt;20/24)</formula>
    </cfRule>
    <cfRule type="expression" dxfId="4471" priority="316">
      <formula>AND(V$9&gt;=8/24,V$9&lt;14/24)</formula>
    </cfRule>
    <cfRule type="expression" dxfId="4470" priority="317">
      <formula>V$9&lt;8/24</formula>
    </cfRule>
  </conditionalFormatting>
  <conditionalFormatting sqref="C60:AF60 K51:L51 M42:R42 S62:W64 Z62:AF64 V34:AF38 V28:AF32 AB51:AF52">
    <cfRule type="expression" dxfId="4469" priority="313">
      <formula>C28&gt;$AG28</formula>
    </cfRule>
  </conditionalFormatting>
  <conditionalFormatting sqref="V40:AF40">
    <cfRule type="expression" dxfId="4468" priority="309">
      <formula>V$9&gt;=20/24</formula>
    </cfRule>
    <cfRule type="expression" dxfId="4467" priority="310">
      <formula>AND(V$9&gt;=14/24,V$9&lt;20/24)</formula>
    </cfRule>
    <cfRule type="expression" dxfId="4466" priority="311">
      <formula>AND(V$9&gt;=8/24,V$9&lt;14/24)</formula>
    </cfRule>
    <cfRule type="expression" dxfId="4465" priority="312">
      <formula>V$9&lt;8/24</formula>
    </cfRule>
  </conditionalFormatting>
  <conditionalFormatting sqref="V16:AF16">
    <cfRule type="expression" dxfId="4464" priority="305">
      <formula>V$9&gt;=20/24</formula>
    </cfRule>
    <cfRule type="expression" dxfId="4463" priority="306">
      <formula>AND(V$9&gt;=14/24,V$9&lt;20/24)</formula>
    </cfRule>
    <cfRule type="expression" dxfId="4462" priority="307">
      <formula>AND(V$9&gt;=8/24,V$9&lt;14/24)</formula>
    </cfRule>
    <cfRule type="expression" dxfId="4461" priority="308">
      <formula>V$9&lt;8/24</formula>
    </cfRule>
  </conditionalFormatting>
  <conditionalFormatting sqref="V39:AF39">
    <cfRule type="expression" dxfId="4460" priority="301">
      <formula>V$9&gt;=20/24</formula>
    </cfRule>
    <cfRule type="expression" dxfId="4459" priority="302">
      <formula>AND(V$9&gt;=14/24,V$9&lt;20/24)</formula>
    </cfRule>
    <cfRule type="expression" dxfId="4458" priority="303">
      <formula>AND(V$9&gt;=8/24,V$9&lt;14/24)</formula>
    </cfRule>
    <cfRule type="expression" dxfId="4457" priority="304">
      <formula>V$9&lt;8/24</formula>
    </cfRule>
  </conditionalFormatting>
  <conditionalFormatting sqref="V39:AF39">
    <cfRule type="expression" dxfId="4456" priority="300">
      <formula>V39&gt;$AG39</formula>
    </cfRule>
  </conditionalFormatting>
  <conditionalFormatting sqref="V51:AA52 AB53:AF53">
    <cfRule type="expression" dxfId="4455" priority="296">
      <formula>V$9&gt;=20/24</formula>
    </cfRule>
    <cfRule type="expression" dxfId="4454" priority="297">
      <formula>AND(V$9&gt;=14/24,V$9&lt;20/24)</formula>
    </cfRule>
    <cfRule type="expression" dxfId="4453" priority="298">
      <formula>AND(V$9&gt;=8/24,V$9&lt;14/24)</formula>
    </cfRule>
    <cfRule type="expression" dxfId="4452" priority="299">
      <formula>V$9&lt;8/24</formula>
    </cfRule>
  </conditionalFormatting>
  <conditionalFormatting sqref="V51:AA52 AB53:AF53">
    <cfRule type="expression" dxfId="4451" priority="295">
      <formula>V51&gt;$AG51</formula>
    </cfRule>
  </conditionalFormatting>
  <conditionalFormatting sqref="P48:Q51 M48:O48 Q52 R48:S52 T51:U52 V53:AA54 AB54:AF54">
    <cfRule type="expression" dxfId="4450" priority="291">
      <formula>M$9&gt;=20/24</formula>
    </cfRule>
    <cfRule type="expression" dxfId="4449" priority="292">
      <formula>AND(M$9&gt;=14/24,M$9&lt;20/24)</formula>
    </cfRule>
    <cfRule type="expression" dxfId="4448" priority="293">
      <formula>AND(M$9&gt;=8/24,M$9&lt;14/24)</formula>
    </cfRule>
    <cfRule type="expression" dxfId="4447" priority="294">
      <formula>M$9&lt;8/24</formula>
    </cfRule>
  </conditionalFormatting>
  <conditionalFormatting sqref="P48:Q51 M48:O48 Q52 R48:S52 T51:U52 V53:AA54 AB54:AF54">
    <cfRule type="expression" dxfId="4446" priority="290">
      <formula>M48&gt;$AG48</formula>
    </cfRule>
  </conditionalFormatting>
  <conditionalFormatting sqref="V31:AF31">
    <cfRule type="expression" dxfId="4445" priority="286">
      <formula>V$9&gt;=20/24</formula>
    </cfRule>
    <cfRule type="expression" dxfId="4444" priority="287">
      <formula>AND(V$9&gt;=14/24,V$9&lt;20/24)</formula>
    </cfRule>
    <cfRule type="expression" dxfId="4443" priority="288">
      <formula>AND(V$9&gt;=8/24,V$9&lt;14/24)</formula>
    </cfRule>
    <cfRule type="expression" dxfId="4442" priority="289">
      <formula>V$9&lt;8/24</formula>
    </cfRule>
  </conditionalFormatting>
  <conditionalFormatting sqref="M34:U34 V21:AF21 V27:AF27">
    <cfRule type="expression" dxfId="4441" priority="282">
      <formula>M$9&gt;=20/24</formula>
    </cfRule>
    <cfRule type="expression" dxfId="4440" priority="283">
      <formula>AND(M$9&gt;=14/24,M$9&lt;20/24)</formula>
    </cfRule>
    <cfRule type="expression" dxfId="4439" priority="284">
      <formula>AND(M$9&gt;=8/24,M$9&lt;14/24)</formula>
    </cfRule>
    <cfRule type="expression" dxfId="4438" priority="285">
      <formula>M$9&lt;8/24</formula>
    </cfRule>
  </conditionalFormatting>
  <conditionalFormatting sqref="M34:U34 V21:AF21 V27:AF27">
    <cfRule type="expression" dxfId="4437" priority="281">
      <formula>M21&gt;$AG21</formula>
    </cfRule>
  </conditionalFormatting>
  <conditionalFormatting sqref="D48">
    <cfRule type="expression" dxfId="4436" priority="277">
      <formula>D$9&gt;=20/24</formula>
    </cfRule>
    <cfRule type="expression" dxfId="4435" priority="278">
      <formula>AND(D$9&gt;=14/24,D$9&lt;20/24)</formula>
    </cfRule>
    <cfRule type="expression" dxfId="4434" priority="279">
      <formula>AND(D$9&gt;=8/24,D$9&lt;14/24)</formula>
    </cfRule>
    <cfRule type="expression" dxfId="4433" priority="280">
      <formula>D$9&lt;8/24</formula>
    </cfRule>
  </conditionalFormatting>
  <conditionalFormatting sqref="D48">
    <cfRule type="expression" dxfId="4432" priority="276">
      <formula>D48&gt;$AG48</formula>
    </cfRule>
  </conditionalFormatting>
  <conditionalFormatting sqref="X49:X50">
    <cfRule type="expression" dxfId="4431" priority="272">
      <formula>X$9&gt;=20/24</formula>
    </cfRule>
    <cfRule type="expression" dxfId="4430" priority="273">
      <formula>AND(X$9&gt;=14/24,X$9&lt;20/24)</formula>
    </cfRule>
    <cfRule type="expression" dxfId="4429" priority="274">
      <formula>AND(X$9&gt;=8/24,X$9&lt;14/24)</formula>
    </cfRule>
    <cfRule type="expression" dxfId="4428" priority="275">
      <formula>X$9&lt;8/24</formula>
    </cfRule>
  </conditionalFormatting>
  <conditionalFormatting sqref="X48">
    <cfRule type="expression" dxfId="4427" priority="268">
      <formula>X$9&gt;=20/24</formula>
    </cfRule>
    <cfRule type="expression" dxfId="4426" priority="269">
      <formula>AND(X$9&gt;=14/24,X$9&lt;20/24)</formula>
    </cfRule>
    <cfRule type="expression" dxfId="4425" priority="270">
      <formula>AND(X$9&gt;=8/24,X$9&lt;14/24)</formula>
    </cfRule>
    <cfRule type="expression" dxfId="4424" priority="271">
      <formula>X$9&lt;8/24</formula>
    </cfRule>
  </conditionalFormatting>
  <conditionalFormatting sqref="X48:X50">
    <cfRule type="expression" dxfId="4423" priority="267">
      <formula>X48&gt;$AG48</formula>
    </cfRule>
  </conditionalFormatting>
  <conditionalFormatting sqref="C83:AF83 C92:AF92 M11:U11">
    <cfRule type="expression" dxfId="4422" priority="263">
      <formula>C$9&gt;=20/24</formula>
    </cfRule>
    <cfRule type="expression" dxfId="4421" priority="264">
      <formula>AND(C$9&gt;=14/24,C$9&lt;20/24)</formula>
    </cfRule>
    <cfRule type="expression" dxfId="4420" priority="265">
      <formula>AND(C$9&gt;=8/24,C$9&lt;14/24)</formula>
    </cfRule>
    <cfRule type="expression" dxfId="4419" priority="266">
      <formula>C$9&lt;8/24</formula>
    </cfRule>
  </conditionalFormatting>
  <conditionalFormatting sqref="C42:L42">
    <cfRule type="expression" dxfId="4418" priority="259">
      <formula>C$9&gt;=20/24</formula>
    </cfRule>
    <cfRule type="expression" dxfId="4417" priority="260">
      <formula>AND(C$9&gt;=14/24,C$9&lt;20/24)</formula>
    </cfRule>
    <cfRule type="expression" dxfId="4416" priority="261">
      <formula>AND(C$9&gt;=8/24,C$9&lt;14/24)</formula>
    </cfRule>
    <cfRule type="expression" dxfId="4415" priority="262">
      <formula>C$9&lt;8/24</formula>
    </cfRule>
  </conditionalFormatting>
  <conditionalFormatting sqref="C42:L42 M11:U11">
    <cfRule type="expression" dxfId="4414" priority="258">
      <formula>C11&gt;$AG11</formula>
    </cfRule>
  </conditionalFormatting>
  <conditionalFormatting sqref="C66:D66 D49:H50 C41:AF41">
    <cfRule type="expression" dxfId="4413" priority="250">
      <formula>C$9&gt;=20/24</formula>
    </cfRule>
    <cfRule type="expression" dxfId="4412" priority="251">
      <formula>AND(C$9&gt;=14/24,C$9&lt;20/24)</formula>
    </cfRule>
    <cfRule type="expression" dxfId="4411" priority="252">
      <formula>AND(C$9&gt;=8/24,C$9&lt;14/24)</formula>
    </cfRule>
    <cfRule type="expression" dxfId="4410" priority="253">
      <formula>C$9&lt;8/24</formula>
    </cfRule>
  </conditionalFormatting>
  <conditionalFormatting sqref="D49:H50 C41:AF41">
    <cfRule type="expression" dxfId="4409" priority="245">
      <formula>C41&gt;$AG41</formula>
    </cfRule>
  </conditionalFormatting>
  <conditionalFormatting sqref="C84:AF84 C65:AG65 C82:AG82 C93:AF93 C95:C101 C67:D76 E69:S76 C62:R64 M12:U14 M20:U20 M28:U30 M32:U32 M35:U37">
    <cfRule type="expression" dxfId="4408" priority="241">
      <formula>C$9&gt;=20/24</formula>
    </cfRule>
    <cfRule type="expression" dxfId="4407" priority="242">
      <formula>AND(C$9&gt;=14/24,C$9&lt;20/24)</formula>
    </cfRule>
    <cfRule type="expression" dxfId="4406" priority="243">
      <formula>AND(C$9&gt;=8/24,C$9&lt;14/24)</formula>
    </cfRule>
    <cfRule type="expression" dxfId="4405" priority="244">
      <formula>C$9&lt;8/24</formula>
    </cfRule>
  </conditionalFormatting>
  <conditionalFormatting sqref="M38:U38">
    <cfRule type="expression" dxfId="4404" priority="237">
      <formula>M$9&gt;=20/24</formula>
    </cfRule>
    <cfRule type="expression" dxfId="4403" priority="238">
      <formula>AND(M$9&gt;=14/24,M$9&lt;20/24)</formula>
    </cfRule>
    <cfRule type="expression" dxfId="4402" priority="239">
      <formula>AND(M$9&gt;=8/24,M$9&lt;14/24)</formula>
    </cfRule>
    <cfRule type="expression" dxfId="4401" priority="240">
      <formula>M$9&lt;8/24</formula>
    </cfRule>
  </conditionalFormatting>
  <conditionalFormatting sqref="C43:AG43 C61:AG61 C65:AG65 K52:L52 C62:R64 M28:U32 M35:U38">
    <cfRule type="expression" dxfId="4400" priority="236">
      <formula>C28&gt;$AG28</formula>
    </cfRule>
  </conditionalFormatting>
  <conditionalFormatting sqref="M40:U40">
    <cfRule type="expression" dxfId="4399" priority="232">
      <formula>M$9&gt;=20/24</formula>
    </cfRule>
    <cfRule type="expression" dxfId="4398" priority="233">
      <formula>AND(M$9&gt;=14/24,M$9&lt;20/24)</formula>
    </cfRule>
    <cfRule type="expression" dxfId="4397" priority="234">
      <formula>AND(M$9&gt;=8/24,M$9&lt;14/24)</formula>
    </cfRule>
    <cfRule type="expression" dxfId="4396" priority="235">
      <formula>M$9&lt;8/24</formula>
    </cfRule>
  </conditionalFormatting>
  <conditionalFormatting sqref="M16:U16">
    <cfRule type="expression" dxfId="4395" priority="228">
      <formula>M$9&gt;=20/24</formula>
    </cfRule>
    <cfRule type="expression" dxfId="4394" priority="229">
      <formula>AND(M$9&gt;=14/24,M$9&lt;20/24)</formula>
    </cfRule>
    <cfRule type="expression" dxfId="4393" priority="230">
      <formula>AND(M$9&gt;=8/24,M$9&lt;14/24)</formula>
    </cfRule>
    <cfRule type="expression" dxfId="4392" priority="231">
      <formula>M$9&lt;8/24</formula>
    </cfRule>
  </conditionalFormatting>
  <conditionalFormatting sqref="M39:U39">
    <cfRule type="expression" dxfId="4391" priority="224">
      <formula>M$9&gt;=20/24</formula>
    </cfRule>
    <cfRule type="expression" dxfId="4390" priority="225">
      <formula>AND(M$9&gt;=14/24,M$9&lt;20/24)</formula>
    </cfRule>
    <cfRule type="expression" dxfId="4389" priority="226">
      <formula>AND(M$9&gt;=8/24,M$9&lt;14/24)</formula>
    </cfRule>
    <cfRule type="expression" dxfId="4388" priority="227">
      <formula>M$9&lt;8/24</formula>
    </cfRule>
  </conditionalFormatting>
  <conditionalFormatting sqref="M39:U39">
    <cfRule type="expression" dxfId="4387" priority="223">
      <formula>M39&gt;$AG39</formula>
    </cfRule>
  </conditionalFormatting>
  <conditionalFormatting sqref="K53:L53 M53:U59">
    <cfRule type="expression" dxfId="4386" priority="219">
      <formula>K$9&gt;=20/24</formula>
    </cfRule>
    <cfRule type="expression" dxfId="4385" priority="220">
      <formula>AND(K$9&gt;=14/24,K$9&lt;20/24)</formula>
    </cfRule>
    <cfRule type="expression" dxfId="4384" priority="221">
      <formula>AND(K$9&gt;=8/24,K$9&lt;14/24)</formula>
    </cfRule>
    <cfRule type="expression" dxfId="4383" priority="222">
      <formula>K$9&lt;8/24</formula>
    </cfRule>
  </conditionalFormatting>
  <conditionalFormatting sqref="K53:L53 M53:U59">
    <cfRule type="expression" dxfId="4382" priority="218">
      <formula>K53&gt;$AG53</formula>
    </cfRule>
  </conditionalFormatting>
  <conditionalFormatting sqref="M31:U31">
    <cfRule type="expression" dxfId="4381" priority="214">
      <formula>M$9&gt;=20/24</formula>
    </cfRule>
    <cfRule type="expression" dxfId="4380" priority="215">
      <formula>AND(M$9&gt;=14/24,M$9&lt;20/24)</formula>
    </cfRule>
    <cfRule type="expression" dxfId="4379" priority="216">
      <formula>AND(M$9&gt;=8/24,M$9&lt;14/24)</formula>
    </cfRule>
    <cfRule type="expression" dxfId="4378" priority="217">
      <formula>M$9&lt;8/24</formula>
    </cfRule>
  </conditionalFormatting>
  <conditionalFormatting sqref="M21:U21 M27:U27">
    <cfRule type="expression" dxfId="4377" priority="210">
      <formula>M$9&gt;=20/24</formula>
    </cfRule>
    <cfRule type="expression" dxfId="4376" priority="211">
      <formula>AND(M$9&gt;=14/24,M$9&lt;20/24)</formula>
    </cfRule>
    <cfRule type="expression" dxfId="4375" priority="212">
      <formula>AND(M$9&gt;=8/24,M$9&lt;14/24)</formula>
    </cfRule>
    <cfRule type="expression" dxfId="4374" priority="213">
      <formula>M$9&lt;8/24</formula>
    </cfRule>
  </conditionalFormatting>
  <conditionalFormatting sqref="M21:U21 M27:U27">
    <cfRule type="expression" dxfId="4373" priority="209">
      <formula>M21&gt;$AG21</formula>
    </cfRule>
  </conditionalFormatting>
  <conditionalFormatting sqref="A39">
    <cfRule type="expression" dxfId="4372" priority="208">
      <formula>$AH39=0</formula>
    </cfRule>
  </conditionalFormatting>
  <conditionalFormatting sqref="C77:AF77">
    <cfRule type="expression" dxfId="4371" priority="204">
      <formula>C$9&gt;=20/24</formula>
    </cfRule>
    <cfRule type="expression" dxfId="4370" priority="205">
      <formula>AND(C$9&gt;=14/24,C$9&lt;20/24)</formula>
    </cfRule>
    <cfRule type="expression" dxfId="4369" priority="206">
      <formula>AND(C$9&gt;=8/24,C$9&lt;14/24)</formula>
    </cfRule>
    <cfRule type="expression" dxfId="4368" priority="207">
      <formula>C$9&lt;8/24</formula>
    </cfRule>
  </conditionalFormatting>
  <conditionalFormatting sqref="C86:AF90">
    <cfRule type="expression" dxfId="4367" priority="200">
      <formula>C$9&gt;=20/24</formula>
    </cfRule>
    <cfRule type="expression" dxfId="4366" priority="201">
      <formula>AND(C$9&gt;=14/24,C$9&lt;20/24)</formula>
    </cfRule>
    <cfRule type="expression" dxfId="4365" priority="202">
      <formula>AND(C$9&gt;=8/24,C$9&lt;14/24)</formula>
    </cfRule>
    <cfRule type="expression" dxfId="4364" priority="203">
      <formula>C$9&lt;8/24</formula>
    </cfRule>
  </conditionalFormatting>
  <conditionalFormatting sqref="AL40 AL37 AL20:AL32 AL34:AL35 AL7:AL18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D44:F44 F45 G44:I45 J44:AF46">
    <cfRule type="expression" dxfId="4363" priority="196">
      <formula>D$9&gt;=20/24</formula>
    </cfRule>
    <cfRule type="expression" dxfId="4362" priority="197">
      <formula>AND(D$9&gt;=14/24,D$9&lt;20/24)</formula>
    </cfRule>
    <cfRule type="expression" dxfId="4361" priority="198">
      <formula>AND(D$9&gt;=8/24,D$9&lt;14/24)</formula>
    </cfRule>
    <cfRule type="expression" dxfId="4360" priority="199">
      <formula>D$9&lt;8/24</formula>
    </cfRule>
  </conditionalFormatting>
  <conditionalFormatting sqref="D44:F44 F45 G44:I45 J44:AF46">
    <cfRule type="expression" dxfId="4359" priority="195">
      <formula>D44&gt;$AG44</formula>
    </cfRule>
  </conditionalFormatting>
  <conditionalFormatting sqref="C47:AG47">
    <cfRule type="expression" dxfId="4358" priority="191">
      <formula>C$9&gt;=20/24</formula>
    </cfRule>
    <cfRule type="expression" dxfId="4357" priority="192">
      <formula>AND(C$9&gt;=14/24,C$9&lt;20/24)</formula>
    </cfRule>
    <cfRule type="expression" dxfId="4356" priority="193">
      <formula>AND(C$9&gt;=8/24,C$9&lt;14/24)</formula>
    </cfRule>
    <cfRule type="expression" dxfId="4355" priority="194">
      <formula>C$9&lt;8/24</formula>
    </cfRule>
  </conditionalFormatting>
  <conditionalFormatting sqref="C47:AG47">
    <cfRule type="expression" dxfId="4354" priority="190">
      <formula>C47&gt;$AG47</formula>
    </cfRule>
  </conditionalFormatting>
  <conditionalFormatting sqref="C102:AF102">
    <cfRule type="expression" dxfId="4353" priority="186">
      <formula>C$9&gt;=20/24</formula>
    </cfRule>
    <cfRule type="expression" dxfId="4352" priority="187">
      <formula>AND(C$9&gt;=14/24,C$9&lt;20/24)</formula>
    </cfRule>
    <cfRule type="expression" dxfId="4351" priority="188">
      <formula>AND(C$9&gt;=8/24,C$9&lt;14/24)</formula>
    </cfRule>
    <cfRule type="expression" dxfId="4350" priority="189">
      <formula>C$9&lt;8/24</formula>
    </cfRule>
  </conditionalFormatting>
  <conditionalFormatting sqref="AL36">
    <cfRule type="iconSet" priority="181">
      <iconSet iconSet="3TrafficLights2" reverse="1">
        <cfvo type="percent" val="0"/>
        <cfvo type="num" val="1"/>
        <cfvo type="num" val="1"/>
      </iconSet>
    </cfRule>
  </conditionalFormatting>
  <conditionalFormatting sqref="A36">
    <cfRule type="expression" dxfId="4349" priority="176">
      <formula>$AH36=0</formula>
    </cfRule>
  </conditionalFormatting>
  <conditionalFormatting sqref="A85">
    <cfRule type="expression" dxfId="4348" priority="174">
      <formula>$AH85=0</formula>
    </cfRule>
  </conditionalFormatting>
  <conditionalFormatting sqref="A82">
    <cfRule type="expression" dxfId="4347" priority="175">
      <formula>$AH82=0</formula>
    </cfRule>
  </conditionalFormatting>
  <conditionalFormatting sqref="A112">
    <cfRule type="expression" dxfId="4346" priority="165">
      <formula>$AH112=0</formula>
    </cfRule>
  </conditionalFormatting>
  <conditionalFormatting sqref="C105:AF105">
    <cfRule type="expression" dxfId="4345" priority="161">
      <formula>C$9&gt;=20/24</formula>
    </cfRule>
    <cfRule type="expression" dxfId="4344" priority="162">
      <formula>AND(C$9&gt;=14/24,C$9&lt;20/24)</formula>
    </cfRule>
    <cfRule type="expression" dxfId="4343" priority="163">
      <formula>AND(C$9&gt;=8/24,C$9&lt;14/24)</formula>
    </cfRule>
    <cfRule type="expression" dxfId="4342" priority="164">
      <formula>C$9&lt;8/24</formula>
    </cfRule>
  </conditionalFormatting>
  <conditionalFormatting sqref="A105">
    <cfRule type="expression" dxfId="4341" priority="160">
      <formula>$AH105=0</formula>
    </cfRule>
  </conditionalFormatting>
  <conditionalFormatting sqref="B44:C46 D45:E46 F46:I46">
    <cfRule type="expression" dxfId="4340" priority="34">
      <formula>B$9&gt;=20/24</formula>
    </cfRule>
    <cfRule type="expression" dxfId="4339" priority="35">
      <formula>AND(B$9&gt;=14/24,B$9&lt;20/24)</formula>
    </cfRule>
    <cfRule type="expression" dxfId="4338" priority="36">
      <formula>AND(B$9&gt;=8/24,B$9&lt;14/24)</formula>
    </cfRule>
    <cfRule type="expression" dxfId="4337" priority="37">
      <formula>B$9&lt;8/24</formula>
    </cfRule>
  </conditionalFormatting>
  <conditionalFormatting sqref="V55:AF59">
    <cfRule type="expression" dxfId="4336" priority="152">
      <formula>V$9&gt;=20/24</formula>
    </cfRule>
    <cfRule type="expression" dxfId="4335" priority="153">
      <formula>AND(V$9&gt;=14/24,V$9&lt;20/24)</formula>
    </cfRule>
    <cfRule type="expression" dxfId="4334" priority="154">
      <formula>AND(V$9&gt;=8/24,V$9&lt;14/24)</formula>
    </cfRule>
    <cfRule type="expression" dxfId="4333" priority="155">
      <formula>V$9&lt;8/24</formula>
    </cfRule>
  </conditionalFormatting>
  <conditionalFormatting sqref="V55:AF59">
    <cfRule type="expression" dxfId="4332" priority="151">
      <formula>V55&gt;$AG55</formula>
    </cfRule>
  </conditionalFormatting>
  <conditionalFormatting sqref="M19:AF19">
    <cfRule type="expression" dxfId="4331" priority="149">
      <formula>M19&gt;$AG19</formula>
    </cfRule>
  </conditionalFormatting>
  <conditionalFormatting sqref="A19">
    <cfRule type="expression" dxfId="4330" priority="148">
      <formula>$AH19=0</formula>
    </cfRule>
  </conditionalFormatting>
  <conditionalFormatting sqref="V19:AF19">
    <cfRule type="expression" dxfId="4329" priority="144">
      <formula>V$9&gt;=20/24</formula>
    </cfRule>
    <cfRule type="expression" dxfId="4328" priority="145">
      <formula>AND(V$9&gt;=14/24,V$9&lt;20/24)</formula>
    </cfRule>
    <cfRule type="expression" dxfId="4327" priority="146">
      <formula>AND(V$9&gt;=8/24,V$9&lt;14/24)</formula>
    </cfRule>
    <cfRule type="expression" dxfId="4326" priority="147">
      <formula>V$9&lt;8/24</formula>
    </cfRule>
  </conditionalFormatting>
  <conditionalFormatting sqref="M19:U19">
    <cfRule type="expression" dxfId="4325" priority="140">
      <formula>M$9&gt;=20/24</formula>
    </cfRule>
    <cfRule type="expression" dxfId="4324" priority="141">
      <formula>AND(M$9&gt;=14/24,M$9&lt;20/24)</formula>
    </cfRule>
    <cfRule type="expression" dxfId="4323" priority="142">
      <formula>AND(M$9&gt;=8/24,M$9&lt;14/24)</formula>
    </cfRule>
    <cfRule type="expression" dxfId="4322" priority="143">
      <formula>M$9&lt;8/24</formula>
    </cfRule>
  </conditionalFormatting>
  <conditionalFormatting sqref="AL19">
    <cfRule type="iconSet" priority="15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321" priority="138">
      <formula>$AH33=0</formula>
    </cfRule>
  </conditionalFormatting>
  <conditionalFormatting sqref="V33:AF33">
    <cfRule type="expression" dxfId="4320" priority="134">
      <formula>V$9&gt;=20/24</formula>
    </cfRule>
    <cfRule type="expression" dxfId="4319" priority="135">
      <formula>AND(V$9&gt;=14/24,V$9&lt;20/24)</formula>
    </cfRule>
    <cfRule type="expression" dxfId="4318" priority="136">
      <formula>AND(V$9&gt;=8/24,V$9&lt;14/24)</formula>
    </cfRule>
    <cfRule type="expression" dxfId="4317" priority="137">
      <formula>V$9&lt;8/24</formula>
    </cfRule>
  </conditionalFormatting>
  <conditionalFormatting sqref="V33:AF33">
    <cfRule type="expression" dxfId="4316" priority="133">
      <formula>V33&gt;$AG33</formula>
    </cfRule>
  </conditionalFormatting>
  <conditionalFormatting sqref="M33:U33">
    <cfRule type="expression" dxfId="4315" priority="129">
      <formula>M$9&gt;=20/24</formula>
    </cfRule>
    <cfRule type="expression" dxfId="4314" priority="130">
      <formula>AND(M$9&gt;=14/24,M$9&lt;20/24)</formula>
    </cfRule>
    <cfRule type="expression" dxfId="4313" priority="131">
      <formula>AND(M$9&gt;=8/24,M$9&lt;14/24)</formula>
    </cfRule>
    <cfRule type="expression" dxfId="4312" priority="132">
      <formula>M$9&lt;8/24</formula>
    </cfRule>
  </conditionalFormatting>
  <conditionalFormatting sqref="M33:U33">
    <cfRule type="expression" dxfId="4311" priority="128">
      <formula>M33&gt;$AG33</formula>
    </cfRule>
  </conditionalFormatting>
  <conditionalFormatting sqref="AL33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B104 B106:B111 B11:L11 B22:L26 B17:L18 B15:L15">
    <cfRule type="expression" dxfId="4310" priority="119">
      <formula>B$9&gt;=20/24</formula>
    </cfRule>
    <cfRule type="expression" dxfId="4309" priority="120">
      <formula>AND(B$9&gt;=14/24,B$9&lt;20/24)</formula>
    </cfRule>
    <cfRule type="expression" dxfId="4308" priority="121">
      <formula>AND(B$9&gt;=8/24,B$9&lt;14/24)</formula>
    </cfRule>
    <cfRule type="expression" dxfId="4307" priority="122">
      <formula>B$9&lt;8/24</formula>
    </cfRule>
  </conditionalFormatting>
  <conditionalFormatting sqref="B42">
    <cfRule type="expression" dxfId="4306" priority="115">
      <formula>B$9&gt;=20/24</formula>
    </cfRule>
    <cfRule type="expression" dxfId="4305" priority="116">
      <formula>AND(B$9&gt;=14/24,B$9&lt;20/24)</formula>
    </cfRule>
    <cfRule type="expression" dxfId="4304" priority="117">
      <formula>AND(B$9&gt;=8/24,B$9&lt;14/24)</formula>
    </cfRule>
    <cfRule type="expression" dxfId="4303" priority="118">
      <formula>B$9&lt;8/24</formula>
    </cfRule>
  </conditionalFormatting>
  <conditionalFormatting sqref="B42 B11:L18 B40:L40 B20:L20 B22:L26">
    <cfRule type="expression" dxfId="4302" priority="114">
      <formula>B11&gt;$AG11</formula>
    </cfRule>
  </conditionalFormatting>
  <conditionalFormatting sqref="B94">
    <cfRule type="expression" dxfId="4301" priority="110">
      <formula>B$9&gt;=20/24</formula>
    </cfRule>
    <cfRule type="expression" dxfId="4300" priority="111">
      <formula>AND(B$9&gt;=14/24,B$9&lt;20/24)</formula>
    </cfRule>
    <cfRule type="expression" dxfId="4299" priority="112">
      <formula>AND(B$9&gt;=8/24,B$9&lt;14/24)</formula>
    </cfRule>
    <cfRule type="expression" dxfId="4298" priority="113">
      <formula>B$9&lt;8/24</formula>
    </cfRule>
  </conditionalFormatting>
  <conditionalFormatting sqref="B66 B49:C50">
    <cfRule type="expression" dxfId="4297" priority="106">
      <formula>B$9&gt;=20/24</formula>
    </cfRule>
    <cfRule type="expression" dxfId="4296" priority="107">
      <formula>AND(B$9&gt;=14/24,B$9&lt;20/24)</formula>
    </cfRule>
    <cfRule type="expression" dxfId="4295" priority="108">
      <formula>AND(B$9&gt;=8/24,B$9&lt;14/24)</formula>
    </cfRule>
    <cfRule type="expression" dxfId="4294" priority="109">
      <formula>B$9&lt;8/24</formula>
    </cfRule>
  </conditionalFormatting>
  <conditionalFormatting sqref="B48:C48">
    <cfRule type="expression" dxfId="4293" priority="102">
      <formula>B$9&gt;=20/24</formula>
    </cfRule>
    <cfRule type="expression" dxfId="4292" priority="103">
      <formula>AND(B$9&gt;=14/24,B$9&lt;20/24)</formula>
    </cfRule>
    <cfRule type="expression" dxfId="4291" priority="104">
      <formula>AND(B$9&gt;=8/24,B$9&lt;14/24)</formula>
    </cfRule>
    <cfRule type="expression" dxfId="4290" priority="105">
      <formula>B$9&lt;8/24</formula>
    </cfRule>
  </conditionalFormatting>
  <conditionalFormatting sqref="B48:C50">
    <cfRule type="expression" dxfId="4289" priority="101">
      <formula>B48&gt;$AG48</formula>
    </cfRule>
  </conditionalFormatting>
  <conditionalFormatting sqref="B91 B78:B81 B67:B76 B62:B64 B95:B101 B28:L30 B32:L32 B12:L14 B34:L37 B20:L20">
    <cfRule type="expression" dxfId="4288" priority="97">
      <formula>B$9&gt;=20/24</formula>
    </cfRule>
    <cfRule type="expression" dxfId="4287" priority="98">
      <formula>AND(B$9&gt;=14/24,B$9&lt;20/24)</formula>
    </cfRule>
    <cfRule type="expression" dxfId="4286" priority="99">
      <formula>AND(B$9&gt;=8/24,B$9&lt;14/24)</formula>
    </cfRule>
    <cfRule type="expression" dxfId="4285" priority="100">
      <formula>B$9&lt;8/24</formula>
    </cfRule>
  </conditionalFormatting>
  <conditionalFormatting sqref="B38:L38">
    <cfRule type="expression" dxfId="4284" priority="93">
      <formula>B$9&gt;=20/24</formula>
    </cfRule>
    <cfRule type="expression" dxfId="4283" priority="94">
      <formula>AND(B$9&gt;=14/24,B$9&lt;20/24)</formula>
    </cfRule>
    <cfRule type="expression" dxfId="4282" priority="95">
      <formula>AND(B$9&gt;=8/24,B$9&lt;14/24)</formula>
    </cfRule>
    <cfRule type="expression" dxfId="4281" priority="96">
      <formula>B$9&lt;8/24</formula>
    </cfRule>
  </conditionalFormatting>
  <conditionalFormatting sqref="B60 B62:B64 B51:J52 B28:L32 B34:L38">
    <cfRule type="expression" dxfId="4280" priority="92">
      <formula>B28&gt;$AG28</formula>
    </cfRule>
  </conditionalFormatting>
  <conditionalFormatting sqref="B40:L40">
    <cfRule type="expression" dxfId="4279" priority="88">
      <formula>B$9&gt;=20/24</formula>
    </cfRule>
    <cfRule type="expression" dxfId="4278" priority="89">
      <formula>AND(B$9&gt;=14/24,B$9&lt;20/24)</formula>
    </cfRule>
    <cfRule type="expression" dxfId="4277" priority="90">
      <formula>AND(B$9&gt;=8/24,B$9&lt;14/24)</formula>
    </cfRule>
    <cfRule type="expression" dxfId="4276" priority="91">
      <formula>B$9&lt;8/24</formula>
    </cfRule>
  </conditionalFormatting>
  <conditionalFormatting sqref="B16:L16">
    <cfRule type="expression" dxfId="4275" priority="84">
      <formula>B$9&gt;=20/24</formula>
    </cfRule>
    <cfRule type="expression" dxfId="4274" priority="85">
      <formula>AND(B$9&gt;=14/24,B$9&lt;20/24)</formula>
    </cfRule>
    <cfRule type="expression" dxfId="4273" priority="86">
      <formula>AND(B$9&gt;=8/24,B$9&lt;14/24)</formula>
    </cfRule>
    <cfRule type="expression" dxfId="4272" priority="87">
      <formula>B$9&lt;8/24</formula>
    </cfRule>
  </conditionalFormatting>
  <conditionalFormatting sqref="B39:L39">
    <cfRule type="expression" dxfId="4271" priority="80">
      <formula>B$9&gt;=20/24</formula>
    </cfRule>
    <cfRule type="expression" dxfId="4270" priority="81">
      <formula>AND(B$9&gt;=14/24,B$9&lt;20/24)</formula>
    </cfRule>
    <cfRule type="expression" dxfId="4269" priority="82">
      <formula>AND(B$9&gt;=8/24,B$9&lt;14/24)</formula>
    </cfRule>
    <cfRule type="expression" dxfId="4268" priority="83">
      <formula>B$9&lt;8/24</formula>
    </cfRule>
  </conditionalFormatting>
  <conditionalFormatting sqref="B39:L39">
    <cfRule type="expression" dxfId="4267" priority="79">
      <formula>B39&gt;$AG39</formula>
    </cfRule>
  </conditionalFormatting>
  <conditionalFormatting sqref="B53:J54 K54:L54">
    <cfRule type="expression" dxfId="4266" priority="75">
      <formula>B$9&gt;=20/24</formula>
    </cfRule>
    <cfRule type="expression" dxfId="4265" priority="76">
      <formula>AND(B$9&gt;=14/24,B$9&lt;20/24)</formula>
    </cfRule>
    <cfRule type="expression" dxfId="4264" priority="77">
      <formula>AND(B$9&gt;=8/24,B$9&lt;14/24)</formula>
    </cfRule>
    <cfRule type="expression" dxfId="4263" priority="78">
      <formula>B$9&lt;8/24</formula>
    </cfRule>
  </conditionalFormatting>
  <conditionalFormatting sqref="B53:J54 K54:L54">
    <cfRule type="expression" dxfId="4262" priority="74">
      <formula>B53&gt;$AG53</formula>
    </cfRule>
  </conditionalFormatting>
  <conditionalFormatting sqref="B31:L31">
    <cfRule type="expression" dxfId="4261" priority="70">
      <formula>B$9&gt;=20/24</formula>
    </cfRule>
    <cfRule type="expression" dxfId="4260" priority="71">
      <formula>AND(B$9&gt;=14/24,B$9&lt;20/24)</formula>
    </cfRule>
    <cfRule type="expression" dxfId="4259" priority="72">
      <formula>AND(B$9&gt;=8/24,B$9&lt;14/24)</formula>
    </cfRule>
    <cfRule type="expression" dxfId="4258" priority="73">
      <formula>B$9&lt;8/24</formula>
    </cfRule>
  </conditionalFormatting>
  <conditionalFormatting sqref="B21:L21 B27:L27">
    <cfRule type="expression" dxfId="4257" priority="66">
      <formula>B$9&gt;=20/24</formula>
    </cfRule>
    <cfRule type="expression" dxfId="4256" priority="67">
      <formula>AND(B$9&gt;=14/24,B$9&lt;20/24)</formula>
    </cfRule>
    <cfRule type="expression" dxfId="4255" priority="68">
      <formula>AND(B$9&gt;=8/24,B$9&lt;14/24)</formula>
    </cfRule>
    <cfRule type="expression" dxfId="4254" priority="69">
      <formula>B$9&lt;8/24</formula>
    </cfRule>
  </conditionalFormatting>
  <conditionalFormatting sqref="B21:L21 B27:L27">
    <cfRule type="expression" dxfId="4253" priority="65">
      <formula>B21&gt;$AG21</formula>
    </cfRule>
  </conditionalFormatting>
  <conditionalFormatting sqref="B83 B92">
    <cfRule type="expression" dxfId="4252" priority="61">
      <formula>B$9&gt;=20/24</formula>
    </cfRule>
    <cfRule type="expression" dxfId="4251" priority="62">
      <formula>AND(B$9&gt;=14/24,B$9&lt;20/24)</formula>
    </cfRule>
    <cfRule type="expression" dxfId="4250" priority="63">
      <formula>AND(B$9&gt;=8/24,B$9&lt;14/24)</formula>
    </cfRule>
    <cfRule type="expression" dxfId="4249" priority="64">
      <formula>B$9&lt;8/24</formula>
    </cfRule>
  </conditionalFormatting>
  <conditionalFormatting sqref="B41">
    <cfRule type="expression" dxfId="4248" priority="57">
      <formula>B$9&gt;=20/24</formula>
    </cfRule>
    <cfRule type="expression" dxfId="4247" priority="58">
      <formula>AND(B$9&gt;=14/24,B$9&lt;20/24)</formula>
    </cfRule>
    <cfRule type="expression" dxfId="4246" priority="59">
      <formula>AND(B$9&gt;=8/24,B$9&lt;14/24)</formula>
    </cfRule>
    <cfRule type="expression" dxfId="4245" priority="60">
      <formula>B$9&lt;8/24</formula>
    </cfRule>
  </conditionalFormatting>
  <conditionalFormatting sqref="B41">
    <cfRule type="expression" dxfId="4244" priority="56">
      <formula>B41&gt;$AG41</formula>
    </cfRule>
  </conditionalFormatting>
  <conditionalFormatting sqref="B84 B65 B82 B93">
    <cfRule type="expression" dxfId="4243" priority="52">
      <formula>B$9&gt;=20/24</formula>
    </cfRule>
    <cfRule type="expression" dxfId="4242" priority="53">
      <formula>AND(B$9&gt;=14/24,B$9&lt;20/24)</formula>
    </cfRule>
    <cfRule type="expression" dxfId="4241" priority="54">
      <formula>AND(B$9&gt;=8/24,B$9&lt;14/24)</formula>
    </cfRule>
    <cfRule type="expression" dxfId="4240" priority="55">
      <formula>B$9&lt;8/24</formula>
    </cfRule>
  </conditionalFormatting>
  <conditionalFormatting sqref="B43 B61 B65">
    <cfRule type="expression" dxfId="4239" priority="51">
      <formula>B43&gt;$AG43</formula>
    </cfRule>
  </conditionalFormatting>
  <conditionalFormatting sqref="B55:L59">
    <cfRule type="expression" dxfId="4238" priority="47">
      <formula>B$9&gt;=20/24</formula>
    </cfRule>
    <cfRule type="expression" dxfId="4237" priority="48">
      <formula>AND(B$9&gt;=14/24,B$9&lt;20/24)</formula>
    </cfRule>
    <cfRule type="expression" dxfId="4236" priority="49">
      <formula>AND(B$9&gt;=8/24,B$9&lt;14/24)</formula>
    </cfRule>
    <cfRule type="expression" dxfId="4235" priority="50">
      <formula>B$9&lt;8/24</formula>
    </cfRule>
  </conditionalFormatting>
  <conditionalFormatting sqref="B55:L59">
    <cfRule type="expression" dxfId="4234" priority="46">
      <formula>B55&gt;$AG55</formula>
    </cfRule>
  </conditionalFormatting>
  <conditionalFormatting sqref="B77">
    <cfRule type="expression" dxfId="4233" priority="42">
      <formula>B$9&gt;=20/24</formula>
    </cfRule>
    <cfRule type="expression" dxfId="4232" priority="43">
      <formula>AND(B$9&gt;=14/24,B$9&lt;20/24)</formula>
    </cfRule>
    <cfRule type="expression" dxfId="4231" priority="44">
      <formula>AND(B$9&gt;=8/24,B$9&lt;14/24)</formula>
    </cfRule>
    <cfRule type="expression" dxfId="4230" priority="45">
      <formula>B$9&lt;8/24</formula>
    </cfRule>
  </conditionalFormatting>
  <conditionalFormatting sqref="B86:B90">
    <cfRule type="expression" dxfId="4229" priority="38">
      <formula>B$9&gt;=20/24</formula>
    </cfRule>
    <cfRule type="expression" dxfId="4228" priority="39">
      <formula>AND(B$9&gt;=14/24,B$9&lt;20/24)</formula>
    </cfRule>
    <cfRule type="expression" dxfId="4227" priority="40">
      <formula>AND(B$9&gt;=8/24,B$9&lt;14/24)</formula>
    </cfRule>
    <cfRule type="expression" dxfId="4226" priority="41">
      <formula>B$9&lt;8/24</formula>
    </cfRule>
  </conditionalFormatting>
  <conditionalFormatting sqref="B44:C46 D45:E46 F46:I46">
    <cfRule type="expression" dxfId="4225" priority="33">
      <formula>B44&gt;$AG44</formula>
    </cfRule>
  </conditionalFormatting>
  <conditionalFormatting sqref="B47">
    <cfRule type="expression" dxfId="4224" priority="29">
      <formula>B$9&gt;=20/24</formula>
    </cfRule>
    <cfRule type="expression" dxfId="4223" priority="30">
      <formula>AND(B$9&gt;=14/24,B$9&lt;20/24)</formula>
    </cfRule>
    <cfRule type="expression" dxfId="4222" priority="31">
      <formula>AND(B$9&gt;=8/24,B$9&lt;14/24)</formula>
    </cfRule>
    <cfRule type="expression" dxfId="4221" priority="32">
      <formula>B$9&lt;8/24</formula>
    </cfRule>
  </conditionalFormatting>
  <conditionalFormatting sqref="B47">
    <cfRule type="expression" dxfId="4220" priority="28">
      <formula>B47&gt;$AG47</formula>
    </cfRule>
  </conditionalFormatting>
  <conditionalFormatting sqref="B102">
    <cfRule type="expression" dxfId="4219" priority="24">
      <formula>B$9&gt;=20/24</formula>
    </cfRule>
    <cfRule type="expression" dxfId="4218" priority="25">
      <formula>AND(B$9&gt;=14/24,B$9&lt;20/24)</formula>
    </cfRule>
    <cfRule type="expression" dxfId="4217" priority="26">
      <formula>AND(B$9&gt;=8/24,B$9&lt;14/24)</formula>
    </cfRule>
    <cfRule type="expression" dxfId="4216" priority="27">
      <formula>B$9&lt;8/24</formula>
    </cfRule>
  </conditionalFormatting>
  <conditionalFormatting sqref="B105">
    <cfRule type="expression" dxfId="4215" priority="12">
      <formula>B$9&gt;=20/24</formula>
    </cfRule>
    <cfRule type="expression" dxfId="4214" priority="13">
      <formula>AND(B$9&gt;=14/24,B$9&lt;20/24)</formula>
    </cfRule>
    <cfRule type="expression" dxfId="4213" priority="14">
      <formula>AND(B$9&gt;=8/24,B$9&lt;14/24)</formula>
    </cfRule>
    <cfRule type="expression" dxfId="4212" priority="15">
      <formula>B$9&lt;8/24</formula>
    </cfRule>
  </conditionalFormatting>
  <conditionalFormatting sqref="B19:L19">
    <cfRule type="expression" dxfId="4211" priority="11">
      <formula>B19&gt;$AG19</formula>
    </cfRule>
  </conditionalFormatting>
  <conditionalFormatting sqref="B19:L19">
    <cfRule type="expression" dxfId="4210" priority="7">
      <formula>B$9&gt;=20/24</formula>
    </cfRule>
    <cfRule type="expression" dxfId="4209" priority="8">
      <formula>AND(B$9&gt;=14/24,B$9&lt;20/24)</formula>
    </cfRule>
    <cfRule type="expression" dxfId="4208" priority="9">
      <formula>AND(B$9&gt;=8/24,B$9&lt;14/24)</formula>
    </cfRule>
    <cfRule type="expression" dxfId="4207" priority="10">
      <formula>B$9&lt;8/24</formula>
    </cfRule>
  </conditionalFormatting>
  <conditionalFormatting sqref="B33:L33">
    <cfRule type="expression" dxfId="4206" priority="3">
      <formula>B$9&gt;=20/24</formula>
    </cfRule>
    <cfRule type="expression" dxfId="4205" priority="4">
      <formula>AND(B$9&gt;=14/24,B$9&lt;20/24)</formula>
    </cfRule>
    <cfRule type="expression" dxfId="4204" priority="5">
      <formula>AND(B$9&gt;=8/24,B$9&lt;14/24)</formula>
    </cfRule>
    <cfRule type="expression" dxfId="4203" priority="6">
      <formula>B$9&lt;8/24</formula>
    </cfRule>
  </conditionalFormatting>
  <conditionalFormatting sqref="B33:L33">
    <cfRule type="expression" dxfId="4202" priority="2">
      <formula>B33&gt;$AG33</formula>
    </cfRule>
  </conditionalFormatting>
  <conditionalFormatting sqref="X62:Y64">
    <cfRule type="expression" dxfId="4201" priority="1">
      <formula>X$9="PEAK"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7" id="{DD67B2ED-714E-4D42-9DA4-BFA60E81904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8" id="{1ACEAE32-8719-462D-8BEA-64BDF4025CE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9" id="{E2F87D67-6F37-4D6A-86A2-FDA4BFA2621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0" id="{0EFE3EC4-61F4-4B1C-A8A2-8F7B4DE5A6D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C85:AF85</xm:sqref>
        </x14:conditionalFormatting>
        <x14:conditionalFormatting xmlns:xm="http://schemas.microsoft.com/office/excel/2006/main">
          <x14:cfRule type="expression" priority="170" id="{41BE983A-09CF-42B8-B2EF-C632160864E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1" id="{7E7050C0-EB07-4857-8E92-7FC7C50ABDC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2" id="{A1E18AED-8C11-4FBB-86AF-012E8380B8F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3" id="{2A268E05-365C-4289-A5C8-B38C5DD17AA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C112:AF112</xm:sqref>
        </x14:conditionalFormatting>
        <x14:conditionalFormatting xmlns:xm="http://schemas.microsoft.com/office/excel/2006/main">
          <x14:cfRule type="expression" priority="20" id="{F7B0DCFC-0182-47B2-9024-4EB404BE4EC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875A8748-05B3-4C0E-AB7E-C248C7BF554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4AF5FC1D-D702-431C-B896-B9496950CA2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" id="{E7940B44-1386-4DEA-9A1F-BE82AC569AB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B85</xm:sqref>
        </x14:conditionalFormatting>
        <x14:conditionalFormatting xmlns:xm="http://schemas.microsoft.com/office/excel/2006/main">
          <x14:cfRule type="expression" priority="16" id="{60EE92D1-2EE8-4128-9CC6-BFE93B2544C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" id="{B883BFB6-EDDE-4D16-B3D3-3578A84B44B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" id="{CEA14E8D-2C47-43B4-9AEE-5F320EF238E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" id="{80579A8B-4FE3-43AE-B3A1-B1B13B6354C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274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AJ65" sqref="AJ6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2079/08/20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17</v>
      </c>
      <c r="H5" s="30">
        <f t="shared" si="0"/>
        <v>17</v>
      </c>
      <c r="I5" s="30">
        <f t="shared" si="0"/>
        <v>17</v>
      </c>
      <c r="J5" s="30">
        <f t="shared" si="0"/>
        <v>24.4</v>
      </c>
      <c r="K5" s="30">
        <f t="shared" si="0"/>
        <v>52.9</v>
      </c>
      <c r="L5" s="30">
        <f t="shared" si="0"/>
        <v>29.4</v>
      </c>
      <c r="M5" s="30">
        <f t="shared" si="0"/>
        <v>52</v>
      </c>
      <c r="N5" s="30">
        <f t="shared" si="0"/>
        <v>30.3</v>
      </c>
      <c r="O5" s="30">
        <f t="shared" si="0"/>
        <v>32</v>
      </c>
      <c r="P5" s="30">
        <f t="shared" si="0"/>
        <v>25</v>
      </c>
      <c r="Q5" s="30">
        <f t="shared" si="0"/>
        <v>22</v>
      </c>
      <c r="R5" s="30">
        <f t="shared" si="0"/>
        <v>22</v>
      </c>
      <c r="S5" s="30">
        <f t="shared" si="0"/>
        <v>22.4</v>
      </c>
      <c r="T5" s="30">
        <f t="shared" si="0"/>
        <v>15.6</v>
      </c>
      <c r="U5" s="30">
        <f t="shared" si="0"/>
        <v>42.2</v>
      </c>
      <c r="V5" s="30">
        <f t="shared" si="0"/>
        <v>41.9</v>
      </c>
      <c r="W5" s="30">
        <f t="shared" si="0"/>
        <v>38.1</v>
      </c>
      <c r="X5" s="30">
        <f t="shared" si="0"/>
        <v>46.5</v>
      </c>
      <c r="Y5" s="30">
        <f t="shared" si="0"/>
        <v>42.8</v>
      </c>
      <c r="Z5" s="30">
        <f t="shared" si="0"/>
        <v>27.6</v>
      </c>
      <c r="AA5" s="30">
        <f t="shared" si="0"/>
        <v>22.4</v>
      </c>
      <c r="AB5" s="30">
        <f t="shared" si="0"/>
        <v>14</v>
      </c>
      <c r="AC5" s="30">
        <f t="shared" si="0"/>
        <v>24.1</v>
      </c>
      <c r="AD5" s="30">
        <f t="shared" si="0"/>
        <v>0</v>
      </c>
      <c r="AE5" s="30">
        <f t="shared" si="0"/>
        <v>0</v>
      </c>
      <c r="AF5" s="30">
        <f>B78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1623MW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Load=930</v>
      </c>
      <c r="B7" s="35">
        <f t="shared" ref="B7:AF7" si="1">B85</f>
        <v>1057.1400000000001</v>
      </c>
      <c r="C7" s="35">
        <f t="shared" si="1"/>
        <v>976.24</v>
      </c>
      <c r="D7" s="35">
        <f t="shared" si="1"/>
        <v>929.83999999999992</v>
      </c>
      <c r="E7" s="35">
        <f t="shared" si="1"/>
        <v>935.93999999999994</v>
      </c>
      <c r="F7" s="35">
        <f t="shared" si="1"/>
        <v>950.24</v>
      </c>
      <c r="G7" s="35">
        <f t="shared" si="1"/>
        <v>950.24</v>
      </c>
      <c r="H7" s="35">
        <f t="shared" si="1"/>
        <v>1042.24</v>
      </c>
      <c r="I7" s="35">
        <f t="shared" si="1"/>
        <v>1187.24</v>
      </c>
      <c r="J7" s="35">
        <f t="shared" si="1"/>
        <v>1294.8400000000001</v>
      </c>
      <c r="K7" s="35">
        <f t="shared" si="1"/>
        <v>1385.94</v>
      </c>
      <c r="L7" s="35">
        <f t="shared" si="1"/>
        <v>1622.5400000000002</v>
      </c>
      <c r="M7" s="35">
        <f t="shared" si="1"/>
        <v>1614.0399999999997</v>
      </c>
      <c r="N7" s="35">
        <f t="shared" si="1"/>
        <v>1543.04</v>
      </c>
      <c r="O7" s="35">
        <f t="shared" si="1"/>
        <v>1355.74</v>
      </c>
      <c r="P7" s="35">
        <f t="shared" si="1"/>
        <v>1325.64</v>
      </c>
      <c r="Q7" s="35">
        <f t="shared" si="1"/>
        <v>1270.24</v>
      </c>
      <c r="R7" s="35">
        <f t="shared" si="1"/>
        <v>1219.24</v>
      </c>
      <c r="S7" s="35">
        <f t="shared" si="1"/>
        <v>1200.54</v>
      </c>
      <c r="T7" s="35">
        <f t="shared" si="1"/>
        <v>1193.54</v>
      </c>
      <c r="U7" s="35">
        <f t="shared" si="1"/>
        <v>1212.6399999999999</v>
      </c>
      <c r="V7" s="35">
        <f t="shared" si="1"/>
        <v>1281.8399999999999</v>
      </c>
      <c r="W7" s="35">
        <f t="shared" si="1"/>
        <v>1493.44</v>
      </c>
      <c r="X7" s="35">
        <f t="shared" si="1"/>
        <v>1668.2399999999998</v>
      </c>
      <c r="Y7" s="35">
        <f t="shared" si="1"/>
        <v>1602.44</v>
      </c>
      <c r="Z7" s="35">
        <f t="shared" si="1"/>
        <v>1558.74</v>
      </c>
      <c r="AA7" s="35">
        <f t="shared" si="1"/>
        <v>1453.54</v>
      </c>
      <c r="AB7" s="35">
        <f t="shared" si="1"/>
        <v>1400.2400000000002</v>
      </c>
      <c r="AC7" s="35">
        <f t="shared" si="1"/>
        <v>1314.1399999999999</v>
      </c>
      <c r="AD7" s="35">
        <f t="shared" si="1"/>
        <v>1304.7399999999998</v>
      </c>
      <c r="AE7" s="35">
        <f t="shared" si="1"/>
        <v>1139.74</v>
      </c>
      <c r="AF7" s="35">
        <f t="shared" si="1"/>
        <v>1096.54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28.9</v>
      </c>
      <c r="C11" s="45">
        <v>28.9</v>
      </c>
      <c r="D11" s="45">
        <v>28.9</v>
      </c>
      <c r="E11" s="45">
        <v>28.9</v>
      </c>
      <c r="F11" s="45">
        <v>28.9</v>
      </c>
      <c r="G11" s="45">
        <v>28.9</v>
      </c>
      <c r="H11" s="45">
        <v>28.9</v>
      </c>
      <c r="I11" s="45">
        <v>28.9</v>
      </c>
      <c r="J11" s="45">
        <v>28.9</v>
      </c>
      <c r="K11" s="45">
        <v>28.9</v>
      </c>
      <c r="L11" s="45">
        <v>28.9</v>
      </c>
      <c r="M11" s="45">
        <v>27.2</v>
      </c>
      <c r="N11" s="45">
        <v>27.2</v>
      </c>
      <c r="O11" s="45">
        <v>27.2</v>
      </c>
      <c r="P11" s="45">
        <v>27.2</v>
      </c>
      <c r="Q11" s="45">
        <v>27.2</v>
      </c>
      <c r="R11" s="45">
        <v>27.2</v>
      </c>
      <c r="S11" s="45">
        <v>27.2</v>
      </c>
      <c r="T11" s="45">
        <v>27.2</v>
      </c>
      <c r="U11" s="45">
        <v>27.2</v>
      </c>
      <c r="V11" s="45">
        <v>27.2</v>
      </c>
      <c r="W11" s="45">
        <v>27.2</v>
      </c>
      <c r="X11" s="46">
        <v>27.2</v>
      </c>
      <c r="Y11" s="46">
        <v>27.2</v>
      </c>
      <c r="Z11" s="46">
        <v>27.2</v>
      </c>
      <c r="AA11" s="46">
        <v>27.2</v>
      </c>
      <c r="AB11" s="46">
        <v>27.2</v>
      </c>
      <c r="AC11" s="46">
        <v>27.2</v>
      </c>
      <c r="AD11" s="46">
        <v>27.2</v>
      </c>
      <c r="AE11" s="46">
        <v>27.2</v>
      </c>
      <c r="AF11" s="46">
        <v>27.2</v>
      </c>
      <c r="AG11" s="47">
        <v>52.4</v>
      </c>
      <c r="AH11" s="48">
        <f>MAX(B11:AF11)</f>
        <v>28.9</v>
      </c>
      <c r="AI11" s="49">
        <f>MIN(B11:AF11)</f>
        <v>27.2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50.4</v>
      </c>
      <c r="C12" s="45">
        <v>50.4</v>
      </c>
      <c r="D12" s="45">
        <v>50.4</v>
      </c>
      <c r="E12" s="45">
        <v>50.4</v>
      </c>
      <c r="F12" s="45">
        <v>50.4</v>
      </c>
      <c r="G12" s="45">
        <v>50.4</v>
      </c>
      <c r="H12" s="45">
        <v>50.4</v>
      </c>
      <c r="I12" s="45">
        <v>50.4</v>
      </c>
      <c r="J12" s="45">
        <v>50.4</v>
      </c>
      <c r="K12" s="45">
        <v>50.4</v>
      </c>
      <c r="L12" s="45">
        <v>50.4</v>
      </c>
      <c r="M12" s="45">
        <v>50.3</v>
      </c>
      <c r="N12" s="45">
        <v>50.3</v>
      </c>
      <c r="O12" s="45">
        <v>50.3</v>
      </c>
      <c r="P12" s="45">
        <v>50.3</v>
      </c>
      <c r="Q12" s="45">
        <v>50.3</v>
      </c>
      <c r="R12" s="45">
        <v>50.3</v>
      </c>
      <c r="S12" s="45">
        <v>50.3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9" si="2">MAX(B12:AF12)</f>
        <v>50.4</v>
      </c>
      <c r="AI12" s="49">
        <f t="shared" ref="AI12:AI79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28.9</v>
      </c>
      <c r="C13" s="45">
        <v>28.9</v>
      </c>
      <c r="D13" s="45">
        <v>28.9</v>
      </c>
      <c r="E13" s="45">
        <v>28.9</v>
      </c>
      <c r="F13" s="45">
        <v>28.9</v>
      </c>
      <c r="G13" s="45">
        <v>28.9</v>
      </c>
      <c r="H13" s="45">
        <v>28.9</v>
      </c>
      <c r="I13" s="45">
        <v>28.9</v>
      </c>
      <c r="J13" s="45">
        <v>28.9</v>
      </c>
      <c r="K13" s="45">
        <v>28.9</v>
      </c>
      <c r="L13" s="45">
        <v>28.9</v>
      </c>
      <c r="M13" s="45">
        <v>24.1</v>
      </c>
      <c r="N13" s="45">
        <v>24.1</v>
      </c>
      <c r="O13" s="45">
        <v>24.1</v>
      </c>
      <c r="P13" s="45">
        <v>24.1</v>
      </c>
      <c r="Q13" s="45">
        <v>24.1</v>
      </c>
      <c r="R13" s="45">
        <v>24.1</v>
      </c>
      <c r="S13" s="45">
        <v>24.1</v>
      </c>
      <c r="T13" s="45">
        <v>24.1</v>
      </c>
      <c r="U13" s="45">
        <v>24.1</v>
      </c>
      <c r="V13" s="45">
        <v>24.1</v>
      </c>
      <c r="W13" s="45">
        <v>24.1</v>
      </c>
      <c r="X13" s="45">
        <v>30</v>
      </c>
      <c r="Y13" s="45">
        <v>30</v>
      </c>
      <c r="Z13" s="45">
        <v>30</v>
      </c>
      <c r="AA13" s="45">
        <v>30</v>
      </c>
      <c r="AB13" s="45">
        <v>30</v>
      </c>
      <c r="AC13" s="45">
        <v>30</v>
      </c>
      <c r="AD13" s="45">
        <v>27.1</v>
      </c>
      <c r="AE13" s="45">
        <v>27.1</v>
      </c>
      <c r="AF13" s="45">
        <v>27.1</v>
      </c>
      <c r="AG13" s="51">
        <v>45</v>
      </c>
      <c r="AH13" s="48">
        <f t="shared" si="2"/>
        <v>30</v>
      </c>
      <c r="AI13" s="49">
        <f t="shared" si="3"/>
        <v>24.1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14.6</v>
      </c>
      <c r="C14" s="45">
        <v>14.6</v>
      </c>
      <c r="D14" s="45">
        <v>14.6</v>
      </c>
      <c r="E14" s="45">
        <v>14.6</v>
      </c>
      <c r="F14" s="45">
        <v>14.6</v>
      </c>
      <c r="G14" s="45">
        <v>14.6</v>
      </c>
      <c r="H14" s="45">
        <v>14.6</v>
      </c>
      <c r="I14" s="45">
        <v>14.6</v>
      </c>
      <c r="J14" s="45">
        <v>14.6</v>
      </c>
      <c r="K14" s="45">
        <v>14.6</v>
      </c>
      <c r="L14" s="45">
        <v>14.6</v>
      </c>
      <c r="M14" s="45">
        <v>14.6</v>
      </c>
      <c r="N14" s="45">
        <v>14.6</v>
      </c>
      <c r="O14" s="45">
        <v>14.6</v>
      </c>
      <c r="P14" s="45">
        <v>14.6</v>
      </c>
      <c r="Q14" s="45">
        <v>14.6</v>
      </c>
      <c r="R14" s="45">
        <v>14.6</v>
      </c>
      <c r="S14" s="45">
        <v>14.6</v>
      </c>
      <c r="T14" s="45">
        <v>14.6</v>
      </c>
      <c r="U14" s="45">
        <v>14.6</v>
      </c>
      <c r="V14" s="45">
        <v>14.6</v>
      </c>
      <c r="W14" s="45">
        <v>14.6</v>
      </c>
      <c r="X14" s="45">
        <v>14.6</v>
      </c>
      <c r="Y14" s="45">
        <v>14.6</v>
      </c>
      <c r="Z14" s="45">
        <v>14.6</v>
      </c>
      <c r="AA14" s="45">
        <v>14.6</v>
      </c>
      <c r="AB14" s="45">
        <v>14.6</v>
      </c>
      <c r="AC14" s="45">
        <v>14.6</v>
      </c>
      <c r="AD14" s="45">
        <v>14.6</v>
      </c>
      <c r="AE14" s="45">
        <v>14.6</v>
      </c>
      <c r="AF14" s="45">
        <v>14.6</v>
      </c>
      <c r="AG14" s="51">
        <v>42</v>
      </c>
      <c r="AH14" s="48">
        <f t="shared" si="2"/>
        <v>14.6</v>
      </c>
      <c r="AI14" s="49">
        <f t="shared" si="3"/>
        <v>14.6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24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15.7</v>
      </c>
      <c r="C16" s="45">
        <v>15.7</v>
      </c>
      <c r="D16" s="45">
        <v>15.7</v>
      </c>
      <c r="E16" s="45">
        <v>15.7</v>
      </c>
      <c r="F16" s="45">
        <v>15.7</v>
      </c>
      <c r="G16" s="45">
        <v>15.7</v>
      </c>
      <c r="H16" s="45">
        <v>15.7</v>
      </c>
      <c r="I16" s="45">
        <v>15.7</v>
      </c>
      <c r="J16" s="45">
        <v>15.7</v>
      </c>
      <c r="K16" s="45">
        <v>15.7</v>
      </c>
      <c r="L16" s="45">
        <v>15.7</v>
      </c>
      <c r="M16" s="45">
        <v>15.4</v>
      </c>
      <c r="N16" s="45">
        <v>15.4</v>
      </c>
      <c r="O16" s="45">
        <v>15.4</v>
      </c>
      <c r="P16" s="45">
        <v>15.4</v>
      </c>
      <c r="Q16" s="45">
        <v>15.4</v>
      </c>
      <c r="R16" s="45">
        <v>15.4</v>
      </c>
      <c r="S16" s="45">
        <v>15.4</v>
      </c>
      <c r="T16" s="45">
        <v>15.4</v>
      </c>
      <c r="U16" s="45">
        <v>15.4</v>
      </c>
      <c r="V16" s="45">
        <v>15.4</v>
      </c>
      <c r="W16" s="45">
        <v>15.4</v>
      </c>
      <c r="X16" s="45">
        <v>15.4</v>
      </c>
      <c r="Y16" s="45">
        <v>15.4</v>
      </c>
      <c r="Z16" s="45">
        <v>15.4</v>
      </c>
      <c r="AA16" s="45">
        <v>15.4</v>
      </c>
      <c r="AB16" s="45">
        <v>15.4</v>
      </c>
      <c r="AC16" s="45">
        <v>15.4</v>
      </c>
      <c r="AD16" s="45">
        <v>15.4</v>
      </c>
      <c r="AE16" s="45">
        <v>15.4</v>
      </c>
      <c r="AF16" s="45">
        <v>15.4</v>
      </c>
      <c r="AG16" s="52">
        <v>30</v>
      </c>
      <c r="AH16" s="48">
        <f t="shared" si="2"/>
        <v>15.7</v>
      </c>
      <c r="AI16" s="49">
        <f t="shared" si="3"/>
        <v>15.4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13.6</v>
      </c>
      <c r="C17" s="45">
        <v>13.6</v>
      </c>
      <c r="D17" s="45">
        <v>13.6</v>
      </c>
      <c r="E17" s="45">
        <v>13.6</v>
      </c>
      <c r="F17" s="45">
        <v>13.6</v>
      </c>
      <c r="G17" s="45">
        <v>13.6</v>
      </c>
      <c r="H17" s="45">
        <v>13.6</v>
      </c>
      <c r="I17" s="45">
        <v>13.6</v>
      </c>
      <c r="J17" s="45">
        <v>13.6</v>
      </c>
      <c r="K17" s="45">
        <v>13.6</v>
      </c>
      <c r="L17" s="45">
        <v>13.6</v>
      </c>
      <c r="M17" s="45">
        <v>13.6</v>
      </c>
      <c r="N17" s="45">
        <v>13.6</v>
      </c>
      <c r="O17" s="45">
        <v>13.6</v>
      </c>
      <c r="P17" s="45">
        <v>13.6</v>
      </c>
      <c r="Q17" s="45">
        <v>13.6</v>
      </c>
      <c r="R17" s="45">
        <v>13.6</v>
      </c>
      <c r="S17" s="45">
        <v>13.6</v>
      </c>
      <c r="T17" s="45">
        <v>13.6</v>
      </c>
      <c r="U17" s="45">
        <v>13.6</v>
      </c>
      <c r="V17" s="45">
        <v>13.6</v>
      </c>
      <c r="W17" s="45">
        <v>13.6</v>
      </c>
      <c r="X17" s="45">
        <v>13.6</v>
      </c>
      <c r="Y17" s="45">
        <v>13.6</v>
      </c>
      <c r="Z17" s="45">
        <v>13.6</v>
      </c>
      <c r="AA17" s="45">
        <v>13.6</v>
      </c>
      <c r="AB17" s="45">
        <v>13.6</v>
      </c>
      <c r="AC17" s="45">
        <v>13.6</v>
      </c>
      <c r="AD17" s="45">
        <v>13.6</v>
      </c>
      <c r="AE17" s="45">
        <v>13.6</v>
      </c>
      <c r="AF17" s="45">
        <v>13.6</v>
      </c>
      <c r="AG17" s="51">
        <v>24.2</v>
      </c>
      <c r="AH17" s="48">
        <f t="shared" si="2"/>
        <v>13.6</v>
      </c>
      <c r="AI17" s="49">
        <f t="shared" si="3"/>
        <v>13.6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15.5</v>
      </c>
      <c r="O18" s="45">
        <v>15.5</v>
      </c>
      <c r="P18" s="45">
        <v>15.5</v>
      </c>
      <c r="Q18" s="45">
        <v>15.5</v>
      </c>
      <c r="R18" s="45">
        <v>15.5</v>
      </c>
      <c r="S18" s="45">
        <v>15.5</v>
      </c>
      <c r="T18" s="45">
        <v>15.5</v>
      </c>
      <c r="U18" s="45">
        <v>15.5</v>
      </c>
      <c r="V18" s="45">
        <v>15.5</v>
      </c>
      <c r="W18" s="45">
        <v>15.5</v>
      </c>
      <c r="X18" s="45">
        <v>15.5</v>
      </c>
      <c r="Y18" s="45">
        <v>15.5</v>
      </c>
      <c r="Z18" s="45">
        <v>15.5</v>
      </c>
      <c r="AA18" s="45">
        <v>15.5</v>
      </c>
      <c r="AB18" s="45">
        <v>15.5</v>
      </c>
      <c r="AC18" s="45">
        <v>15.5</v>
      </c>
      <c r="AD18" s="45">
        <v>15.5</v>
      </c>
      <c r="AE18" s="45">
        <v>15.5</v>
      </c>
      <c r="AF18" s="45">
        <v>15.5</v>
      </c>
      <c r="AG18" s="51">
        <v>28</v>
      </c>
      <c r="AH18" s="48">
        <f t="shared" si="2"/>
        <v>15.5</v>
      </c>
      <c r="AI18" s="49">
        <f t="shared" si="3"/>
        <v>15.5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17</v>
      </c>
      <c r="H19" s="45">
        <v>17</v>
      </c>
      <c r="I19" s="45">
        <v>17</v>
      </c>
      <c r="J19" s="45">
        <v>17</v>
      </c>
      <c r="K19" s="45">
        <v>17</v>
      </c>
      <c r="L19" s="45">
        <v>17</v>
      </c>
      <c r="M19" s="45">
        <v>17</v>
      </c>
      <c r="N19" s="45">
        <v>17</v>
      </c>
      <c r="O19" s="45">
        <v>17</v>
      </c>
      <c r="P19" s="45">
        <v>17</v>
      </c>
      <c r="Q19" s="45">
        <v>17</v>
      </c>
      <c r="R19" s="45">
        <v>17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17</v>
      </c>
      <c r="AE19" s="45">
        <v>17</v>
      </c>
      <c r="AF19" s="45">
        <v>17</v>
      </c>
      <c r="AG19" s="52">
        <v>30</v>
      </c>
      <c r="AH19" s="48">
        <f t="shared" si="2"/>
        <v>17</v>
      </c>
      <c r="AI19" s="49">
        <f t="shared" si="3"/>
        <v>17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</v>
      </c>
      <c r="C20" s="45">
        <v>14</v>
      </c>
      <c r="D20" s="45">
        <v>14</v>
      </c>
      <c r="E20" s="45">
        <v>14</v>
      </c>
      <c r="F20" s="45">
        <v>14</v>
      </c>
      <c r="G20" s="45">
        <v>14</v>
      </c>
      <c r="H20" s="45">
        <v>14</v>
      </c>
      <c r="I20" s="45">
        <v>14</v>
      </c>
      <c r="J20" s="45">
        <v>14</v>
      </c>
      <c r="K20" s="45">
        <v>14</v>
      </c>
      <c r="L20" s="45">
        <v>14</v>
      </c>
      <c r="M20" s="45">
        <v>14</v>
      </c>
      <c r="N20" s="45">
        <v>14</v>
      </c>
      <c r="O20" s="45">
        <v>14</v>
      </c>
      <c r="P20" s="45">
        <v>14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14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13.9</v>
      </c>
      <c r="C24" s="45">
        <v>13.9</v>
      </c>
      <c r="D24" s="45">
        <v>13.9</v>
      </c>
      <c r="E24" s="45">
        <v>13.9</v>
      </c>
      <c r="F24" s="45">
        <v>13.9</v>
      </c>
      <c r="G24" s="45">
        <v>13.9</v>
      </c>
      <c r="H24" s="45">
        <v>13.9</v>
      </c>
      <c r="I24" s="45">
        <v>13.9</v>
      </c>
      <c r="J24" s="45">
        <v>13.9</v>
      </c>
      <c r="K24" s="45">
        <v>13.9</v>
      </c>
      <c r="L24" s="45">
        <v>13.9</v>
      </c>
      <c r="M24" s="45">
        <v>13.9</v>
      </c>
      <c r="N24" s="45">
        <v>13.9</v>
      </c>
      <c r="O24" s="45">
        <v>13.9</v>
      </c>
      <c r="P24" s="45">
        <v>13.9</v>
      </c>
      <c r="Q24" s="45">
        <v>13.9</v>
      </c>
      <c r="R24" s="45">
        <v>13.9</v>
      </c>
      <c r="S24" s="45">
        <v>13.9</v>
      </c>
      <c r="T24" s="45">
        <v>13.9</v>
      </c>
      <c r="U24" s="45">
        <v>13.9</v>
      </c>
      <c r="V24" s="45">
        <v>13.9</v>
      </c>
      <c r="W24" s="45">
        <v>13.9</v>
      </c>
      <c r="X24" s="45">
        <v>13.9</v>
      </c>
      <c r="Y24" s="45">
        <v>13.9</v>
      </c>
      <c r="Z24" s="45">
        <v>13.9</v>
      </c>
      <c r="AA24" s="45">
        <v>13.9</v>
      </c>
      <c r="AB24" s="45">
        <v>13.9</v>
      </c>
      <c r="AC24" s="45">
        <v>13.9</v>
      </c>
      <c r="AD24" s="45">
        <v>13.9</v>
      </c>
      <c r="AE24" s="45">
        <v>13.9</v>
      </c>
      <c r="AF24" s="45">
        <v>13.9</v>
      </c>
      <c r="AG24" s="51">
        <v>23.5</v>
      </c>
      <c r="AH24" s="48">
        <f t="shared" si="2"/>
        <v>13.9</v>
      </c>
      <c r="AI24" s="49">
        <f t="shared" si="3"/>
        <v>13.9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>
        <v>4</v>
      </c>
      <c r="AC30" s="45">
        <v>4</v>
      </c>
      <c r="AD30" s="45">
        <v>4</v>
      </c>
      <c r="AE30" s="45">
        <v>0</v>
      </c>
      <c r="AF30" s="45">
        <v>0</v>
      </c>
      <c r="AG30" s="51">
        <v>18</v>
      </c>
      <c r="AH30" s="48">
        <f t="shared" ref="AH30" si="4">MAX(B30:AF30)</f>
        <v>4</v>
      </c>
      <c r="AI30" s="49">
        <f t="shared" ref="AI30" si="5">MIN(B30:AF30)</f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6.3</v>
      </c>
      <c r="C31" s="45">
        <v>6.3</v>
      </c>
      <c r="D31" s="45">
        <v>6.3</v>
      </c>
      <c r="E31" s="45">
        <v>6.3</v>
      </c>
      <c r="F31" s="45">
        <v>6.3</v>
      </c>
      <c r="G31" s="45">
        <v>6.3</v>
      </c>
      <c r="H31" s="45">
        <v>6.3</v>
      </c>
      <c r="I31" s="45">
        <v>6.3</v>
      </c>
      <c r="J31" s="45">
        <v>6.3</v>
      </c>
      <c r="K31" s="45">
        <v>6.3</v>
      </c>
      <c r="L31" s="45">
        <v>6.3</v>
      </c>
      <c r="M31" s="45">
        <v>6.3</v>
      </c>
      <c r="N31" s="45">
        <v>6.3</v>
      </c>
      <c r="O31" s="45">
        <v>6.3</v>
      </c>
      <c r="P31" s="45">
        <v>6.3</v>
      </c>
      <c r="Q31" s="45">
        <v>6.3</v>
      </c>
      <c r="R31" s="45">
        <v>6.3</v>
      </c>
      <c r="S31" s="45">
        <v>6.3</v>
      </c>
      <c r="T31" s="45">
        <v>6.3</v>
      </c>
      <c r="U31" s="45">
        <v>6.3</v>
      </c>
      <c r="V31" s="45">
        <v>6.3</v>
      </c>
      <c r="W31" s="45">
        <v>6.3</v>
      </c>
      <c r="X31" s="45">
        <v>6.3</v>
      </c>
      <c r="Y31" s="45">
        <v>6.3</v>
      </c>
      <c r="Z31" s="45">
        <v>6.3</v>
      </c>
      <c r="AA31" s="45">
        <v>6.3</v>
      </c>
      <c r="AB31" s="45">
        <v>6.3</v>
      </c>
      <c r="AC31" s="45">
        <v>6.3</v>
      </c>
      <c r="AD31" s="45">
        <v>6.3</v>
      </c>
      <c r="AE31" s="45">
        <v>6.3</v>
      </c>
      <c r="AF31" s="45">
        <v>6.3</v>
      </c>
      <c r="AG31" s="51">
        <v>14.9</v>
      </c>
      <c r="AH31" s="48">
        <f t="shared" si="2"/>
        <v>6.3</v>
      </c>
      <c r="AI31" s="49">
        <f t="shared" si="3"/>
        <v>6.3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1">
        <v>12</v>
      </c>
      <c r="AH34" s="48">
        <f t="shared" si="2"/>
        <v>8</v>
      </c>
      <c r="AI34" s="49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7</v>
      </c>
      <c r="C40" s="45">
        <v>7</v>
      </c>
      <c r="D40" s="45">
        <v>7</v>
      </c>
      <c r="E40" s="45">
        <v>7</v>
      </c>
      <c r="F40" s="45">
        <v>7</v>
      </c>
      <c r="G40" s="45">
        <v>7</v>
      </c>
      <c r="H40" s="45">
        <v>7</v>
      </c>
      <c r="I40" s="45">
        <v>7</v>
      </c>
      <c r="J40" s="45">
        <v>7</v>
      </c>
      <c r="K40" s="45">
        <v>7</v>
      </c>
      <c r="L40" s="45">
        <v>7</v>
      </c>
      <c r="M40" s="45">
        <v>7</v>
      </c>
      <c r="N40" s="45">
        <v>7</v>
      </c>
      <c r="O40" s="45">
        <v>7</v>
      </c>
      <c r="P40" s="45">
        <v>7</v>
      </c>
      <c r="Q40" s="45">
        <v>7</v>
      </c>
      <c r="R40" s="45">
        <v>7</v>
      </c>
      <c r="S40" s="45">
        <v>7</v>
      </c>
      <c r="T40" s="45">
        <v>7</v>
      </c>
      <c r="U40" s="45">
        <v>7</v>
      </c>
      <c r="V40" s="45">
        <v>7</v>
      </c>
      <c r="W40" s="45">
        <v>7</v>
      </c>
      <c r="X40" s="45">
        <v>7</v>
      </c>
      <c r="Y40" s="45">
        <v>7</v>
      </c>
      <c r="Z40" s="45">
        <v>7</v>
      </c>
      <c r="AA40" s="45">
        <v>7</v>
      </c>
      <c r="AB40" s="45">
        <v>7</v>
      </c>
      <c r="AC40" s="45">
        <v>7</v>
      </c>
      <c r="AD40" s="45">
        <v>7</v>
      </c>
      <c r="AE40" s="45">
        <v>7</v>
      </c>
      <c r="AF40" s="45">
        <v>7</v>
      </c>
      <c r="AG40" s="55">
        <v>10</v>
      </c>
      <c r="AH40" s="48">
        <f t="shared" si="2"/>
        <v>7</v>
      </c>
      <c r="AI40" s="49">
        <f t="shared" si="3"/>
        <v>7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2</v>
      </c>
      <c r="T41" s="45">
        <v>2</v>
      </c>
      <c r="U41" s="45">
        <v>2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2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220</v>
      </c>
      <c r="C42" s="57">
        <v>220</v>
      </c>
      <c r="D42" s="57">
        <v>220</v>
      </c>
      <c r="E42" s="57">
        <v>220</v>
      </c>
      <c r="F42" s="57">
        <v>220</v>
      </c>
      <c r="G42" s="57">
        <v>220</v>
      </c>
      <c r="H42" s="57">
        <v>220</v>
      </c>
      <c r="I42" s="57">
        <v>220</v>
      </c>
      <c r="J42" s="57">
        <v>220</v>
      </c>
      <c r="K42" s="57">
        <v>220</v>
      </c>
      <c r="L42" s="57">
        <v>220</v>
      </c>
      <c r="M42" s="57">
        <v>220</v>
      </c>
      <c r="N42" s="57">
        <v>220</v>
      </c>
      <c r="O42" s="57">
        <v>220</v>
      </c>
      <c r="P42" s="57">
        <v>220</v>
      </c>
      <c r="Q42" s="57">
        <v>220</v>
      </c>
      <c r="R42" s="57">
        <v>220</v>
      </c>
      <c r="S42" s="57">
        <v>220</v>
      </c>
      <c r="T42" s="57">
        <v>220</v>
      </c>
      <c r="U42" s="57">
        <v>220</v>
      </c>
      <c r="V42" s="57">
        <v>220</v>
      </c>
      <c r="W42" s="57">
        <v>220</v>
      </c>
      <c r="X42" s="57">
        <v>220</v>
      </c>
      <c r="Y42" s="57">
        <v>220</v>
      </c>
      <c r="Z42" s="57">
        <v>220</v>
      </c>
      <c r="AA42" s="57">
        <v>220</v>
      </c>
      <c r="AB42" s="57">
        <v>220</v>
      </c>
      <c r="AC42" s="57">
        <v>220</v>
      </c>
      <c r="AD42" s="57">
        <v>220</v>
      </c>
      <c r="AE42" s="57">
        <v>220</v>
      </c>
      <c r="AF42" s="57">
        <v>220</v>
      </c>
      <c r="AG42" s="55">
        <v>85</v>
      </c>
      <c r="AH42" s="48">
        <f t="shared" si="2"/>
        <v>220</v>
      </c>
      <c r="AI42" s="49">
        <f t="shared" si="3"/>
        <v>220</v>
      </c>
      <c r="AK42" s="50"/>
    </row>
    <row r="43" spans="1:88" ht="15.75" thickBot="1" x14ac:dyDescent="0.3">
      <c r="A43" s="58" t="s">
        <v>47</v>
      </c>
      <c r="B43" s="59"/>
      <c r="C43" s="59">
        <v>69</v>
      </c>
      <c r="D43" s="59">
        <v>70</v>
      </c>
      <c r="E43" s="59">
        <v>70</v>
      </c>
      <c r="F43" s="59">
        <v>70</v>
      </c>
      <c r="G43" s="59">
        <v>70</v>
      </c>
      <c r="H43" s="59">
        <v>70</v>
      </c>
      <c r="I43" s="59">
        <v>70</v>
      </c>
      <c r="J43" s="59">
        <f>35.1+37.9</f>
        <v>73</v>
      </c>
      <c r="K43" s="59">
        <f>35.4+36.5</f>
        <v>71.900000000000006</v>
      </c>
      <c r="L43" s="59">
        <f>35.5+38.5</f>
        <v>74</v>
      </c>
      <c r="M43" s="57">
        <v>73.400000000000006</v>
      </c>
      <c r="N43" s="57">
        <v>72.599999999999994</v>
      </c>
      <c r="O43" s="57">
        <v>72.599999999999994</v>
      </c>
      <c r="P43" s="57">
        <v>75.099999999999994</v>
      </c>
      <c r="Q43" s="57">
        <v>75.099999999999994</v>
      </c>
      <c r="R43" s="57">
        <v>75.099999999999994</v>
      </c>
      <c r="S43" s="59">
        <f>35+38.9</f>
        <v>73.900000000000006</v>
      </c>
      <c r="T43" s="59">
        <f>35+38</f>
        <v>73</v>
      </c>
      <c r="U43" s="59">
        <f>34.3+40.4</f>
        <v>74.699999999999989</v>
      </c>
      <c r="V43" s="59">
        <f>34+34</f>
        <v>68</v>
      </c>
      <c r="W43" s="59">
        <f>32.8+34.2</f>
        <v>67</v>
      </c>
      <c r="X43" s="59">
        <v>67</v>
      </c>
      <c r="Y43" s="59">
        <f>32+35</f>
        <v>67</v>
      </c>
      <c r="Z43" s="59">
        <f>32.4+35.6</f>
        <v>68</v>
      </c>
      <c r="AA43" s="59">
        <f>31.1+38.9</f>
        <v>70</v>
      </c>
      <c r="AB43" s="59">
        <v>70</v>
      </c>
      <c r="AC43" s="59">
        <f>32.8+37.9</f>
        <v>70.699999999999989</v>
      </c>
      <c r="AD43" s="59">
        <f>33+38.1</f>
        <v>71.099999999999994</v>
      </c>
      <c r="AE43" s="59">
        <f>33.8+37.1</f>
        <v>70.900000000000006</v>
      </c>
      <c r="AF43" s="59">
        <f>34+40</f>
        <v>74</v>
      </c>
      <c r="AG43" s="55">
        <v>240</v>
      </c>
      <c r="AH43" s="48">
        <f t="shared" si="2"/>
        <v>75.099999999999994</v>
      </c>
      <c r="AI43" s="49">
        <f t="shared" si="3"/>
        <v>67</v>
      </c>
      <c r="AK43" s="50"/>
    </row>
    <row r="44" spans="1:88" ht="15.75" thickBot="1" x14ac:dyDescent="0.3">
      <c r="A44" s="60" t="s">
        <v>48</v>
      </c>
      <c r="B44" s="61">
        <f t="shared" ref="B44:AG44" si="6">SUM(B11:B42)</f>
        <v>618.20000000000005</v>
      </c>
      <c r="C44" s="61">
        <f t="shared" si="6"/>
        <v>618.20000000000005</v>
      </c>
      <c r="D44" s="61">
        <f t="shared" si="6"/>
        <v>618.20000000000005</v>
      </c>
      <c r="E44" s="61">
        <f t="shared" si="6"/>
        <v>618.20000000000005</v>
      </c>
      <c r="F44" s="61">
        <f t="shared" si="6"/>
        <v>618.20000000000005</v>
      </c>
      <c r="G44" s="61">
        <f t="shared" si="6"/>
        <v>618.20000000000005</v>
      </c>
      <c r="H44" s="61">
        <f t="shared" si="6"/>
        <v>618.20000000000005</v>
      </c>
      <c r="I44" s="61">
        <f t="shared" si="6"/>
        <v>618.20000000000005</v>
      </c>
      <c r="J44" s="61">
        <f t="shared" si="6"/>
        <v>618.20000000000005</v>
      </c>
      <c r="K44" s="61">
        <f t="shared" si="6"/>
        <v>618.20000000000005</v>
      </c>
      <c r="L44" s="61">
        <f t="shared" si="6"/>
        <v>618.20000000000005</v>
      </c>
      <c r="M44" s="61">
        <f t="shared" si="6"/>
        <v>611.29999999999995</v>
      </c>
      <c r="N44" s="61">
        <f t="shared" si="6"/>
        <v>611.29999999999995</v>
      </c>
      <c r="O44" s="61">
        <f t="shared" si="6"/>
        <v>611.29999999999995</v>
      </c>
      <c r="P44" s="61">
        <f t="shared" si="6"/>
        <v>611.29999999999995</v>
      </c>
      <c r="Q44" s="61">
        <f t="shared" si="6"/>
        <v>611.29999999999995</v>
      </c>
      <c r="R44" s="61">
        <f t="shared" si="6"/>
        <v>611.29999999999995</v>
      </c>
      <c r="S44" s="61">
        <f t="shared" si="6"/>
        <v>613.29999999999995</v>
      </c>
      <c r="T44" s="61">
        <f t="shared" si="6"/>
        <v>613.29999999999995</v>
      </c>
      <c r="U44" s="61">
        <f t="shared" si="6"/>
        <v>613.29999999999995</v>
      </c>
      <c r="V44" s="61">
        <f t="shared" si="6"/>
        <v>611.29999999999995</v>
      </c>
      <c r="W44" s="61">
        <f t="shared" si="6"/>
        <v>611.29999999999995</v>
      </c>
      <c r="X44" s="61">
        <f t="shared" si="6"/>
        <v>617.20000000000005</v>
      </c>
      <c r="Y44" s="61">
        <f t="shared" si="6"/>
        <v>617.20000000000005</v>
      </c>
      <c r="Z44" s="61">
        <f t="shared" si="6"/>
        <v>617.20000000000005</v>
      </c>
      <c r="AA44" s="61">
        <f t="shared" si="6"/>
        <v>617.20000000000005</v>
      </c>
      <c r="AB44" s="61">
        <f t="shared" si="6"/>
        <v>621.20000000000005</v>
      </c>
      <c r="AC44" s="61">
        <f t="shared" si="6"/>
        <v>621.20000000000005</v>
      </c>
      <c r="AD44" s="61">
        <f t="shared" si="6"/>
        <v>618.29999999999995</v>
      </c>
      <c r="AE44" s="61">
        <f t="shared" si="6"/>
        <v>614.29999999999995</v>
      </c>
      <c r="AF44" s="61">
        <f t="shared" si="6"/>
        <v>614.29999999999995</v>
      </c>
      <c r="AG44" s="62">
        <f t="shared" si="6"/>
        <v>814.78000000000009</v>
      </c>
      <c r="AH44" s="48">
        <f t="shared" si="2"/>
        <v>621.20000000000005</v>
      </c>
      <c r="AI44" s="49">
        <f t="shared" si="3"/>
        <v>611.29999999999995</v>
      </c>
      <c r="AK44" s="50"/>
    </row>
    <row r="45" spans="1:88" x14ac:dyDescent="0.25">
      <c r="A45" s="63" t="s">
        <v>49</v>
      </c>
      <c r="B45" s="45">
        <v>100</v>
      </c>
      <c r="C45" s="45">
        <v>35</v>
      </c>
      <c r="D45" s="45">
        <v>15</v>
      </c>
      <c r="E45" s="45">
        <v>35</v>
      </c>
      <c r="F45" s="45">
        <v>45</v>
      </c>
      <c r="G45" s="45">
        <v>45</v>
      </c>
      <c r="H45" s="45">
        <v>120</v>
      </c>
      <c r="I45" s="45">
        <v>150</v>
      </c>
      <c r="J45" s="45">
        <v>190</v>
      </c>
      <c r="K45" s="45">
        <v>230</v>
      </c>
      <c r="L45" s="45">
        <v>370</v>
      </c>
      <c r="M45" s="45">
        <v>380</v>
      </c>
      <c r="N45" s="45">
        <v>300</v>
      </c>
      <c r="O45" s="45">
        <v>175</v>
      </c>
      <c r="P45" s="45">
        <v>165</v>
      </c>
      <c r="Q45" s="45">
        <v>125</v>
      </c>
      <c r="R45" s="45">
        <v>100</v>
      </c>
      <c r="S45" s="45">
        <v>35</v>
      </c>
      <c r="T45" s="45">
        <v>50</v>
      </c>
      <c r="U45" s="45">
        <v>30</v>
      </c>
      <c r="V45" s="45">
        <v>90</v>
      </c>
      <c r="W45" s="45">
        <v>250</v>
      </c>
      <c r="X45" s="45">
        <v>420</v>
      </c>
      <c r="Y45" s="45">
        <v>360</v>
      </c>
      <c r="Z45" s="45">
        <v>320</v>
      </c>
      <c r="AA45" s="45">
        <v>230</v>
      </c>
      <c r="AB45" s="45">
        <v>175</v>
      </c>
      <c r="AC45" s="45">
        <v>140</v>
      </c>
      <c r="AD45" s="45">
        <v>140</v>
      </c>
      <c r="AE45" s="45">
        <v>100</v>
      </c>
      <c r="AF45" s="45">
        <v>70</v>
      </c>
      <c r="AG45" s="52">
        <v>456</v>
      </c>
      <c r="AH45" s="48">
        <f t="shared" si="2"/>
        <v>420</v>
      </c>
      <c r="AI45" s="49">
        <f t="shared" si="3"/>
        <v>15</v>
      </c>
      <c r="AK45" s="50"/>
    </row>
    <row r="46" spans="1:88" x14ac:dyDescent="0.25">
      <c r="A46" s="64" t="s">
        <v>50</v>
      </c>
      <c r="B46" s="65">
        <v>51</v>
      </c>
      <c r="C46" s="65">
        <v>51</v>
      </c>
      <c r="D46" s="65">
        <v>51</v>
      </c>
      <c r="E46" s="65">
        <v>51</v>
      </c>
      <c r="F46" s="65">
        <v>51</v>
      </c>
      <c r="G46" s="65">
        <v>51</v>
      </c>
      <c r="H46" s="65">
        <v>51</v>
      </c>
      <c r="I46" s="65">
        <v>51</v>
      </c>
      <c r="J46" s="65">
        <v>51</v>
      </c>
      <c r="K46" s="65">
        <v>51</v>
      </c>
      <c r="L46" s="65">
        <v>51</v>
      </c>
      <c r="M46" s="65">
        <v>50</v>
      </c>
      <c r="N46" s="65">
        <v>50</v>
      </c>
      <c r="O46" s="65">
        <v>50</v>
      </c>
      <c r="P46" s="65">
        <v>50</v>
      </c>
      <c r="Q46" s="65">
        <v>50</v>
      </c>
      <c r="R46" s="65">
        <v>50</v>
      </c>
      <c r="S46" s="65">
        <v>50</v>
      </c>
      <c r="T46" s="65">
        <v>50</v>
      </c>
      <c r="U46" s="65">
        <v>50</v>
      </c>
      <c r="V46" s="65">
        <v>50</v>
      </c>
      <c r="W46" s="65">
        <v>50</v>
      </c>
      <c r="X46" s="65">
        <v>50</v>
      </c>
      <c r="Y46" s="65">
        <v>50</v>
      </c>
      <c r="Z46" s="65">
        <v>50</v>
      </c>
      <c r="AA46" s="65">
        <v>50</v>
      </c>
      <c r="AB46" s="65">
        <v>50</v>
      </c>
      <c r="AC46" s="65">
        <v>50</v>
      </c>
      <c r="AD46" s="65">
        <v>50</v>
      </c>
      <c r="AE46" s="65">
        <v>50</v>
      </c>
      <c r="AF46" s="65">
        <v>50</v>
      </c>
      <c r="AG46" s="55">
        <v>60</v>
      </c>
      <c r="AH46" s="48">
        <f t="shared" si="2"/>
        <v>51</v>
      </c>
      <c r="AI46" s="49">
        <f t="shared" si="3"/>
        <v>50</v>
      </c>
      <c r="AK46" s="50"/>
    </row>
    <row r="47" spans="1:88" ht="15.75" thickBot="1" x14ac:dyDescent="0.3">
      <c r="A47" s="66" t="s">
        <v>51</v>
      </c>
      <c r="B47" s="67">
        <v>21.8</v>
      </c>
      <c r="C47" s="67">
        <v>21.8</v>
      </c>
      <c r="D47" s="67">
        <v>21.8</v>
      </c>
      <c r="E47" s="67">
        <v>21.8</v>
      </c>
      <c r="F47" s="67">
        <v>21.8</v>
      </c>
      <c r="G47" s="67">
        <v>21.8</v>
      </c>
      <c r="H47" s="67">
        <v>21.8</v>
      </c>
      <c r="I47" s="67">
        <v>21.8</v>
      </c>
      <c r="J47" s="67">
        <v>21.8</v>
      </c>
      <c r="K47" s="67">
        <v>18.7</v>
      </c>
      <c r="L47" s="67">
        <v>18.7</v>
      </c>
      <c r="M47" s="67">
        <v>18.899999999999999</v>
      </c>
      <c r="N47" s="67">
        <v>18.7</v>
      </c>
      <c r="O47" s="67">
        <v>18.7</v>
      </c>
      <c r="P47" s="67">
        <v>18.7</v>
      </c>
      <c r="Q47" s="67">
        <v>18.7</v>
      </c>
      <c r="R47" s="67">
        <v>18.7</v>
      </c>
      <c r="S47" s="67">
        <v>18.7</v>
      </c>
      <c r="T47" s="67">
        <v>14.1</v>
      </c>
      <c r="U47" s="67">
        <v>12.2</v>
      </c>
      <c r="V47" s="67">
        <v>19.5</v>
      </c>
      <c r="W47" s="67">
        <v>19.5</v>
      </c>
      <c r="X47" s="67">
        <v>22.3</v>
      </c>
      <c r="Y47" s="67">
        <v>22.3</v>
      </c>
      <c r="Z47" s="67">
        <v>22.3</v>
      </c>
      <c r="AA47" s="67">
        <v>22.3</v>
      </c>
      <c r="AB47" s="67">
        <v>20.100000000000001</v>
      </c>
      <c r="AC47" s="67">
        <v>20.100000000000001</v>
      </c>
      <c r="AD47" s="67">
        <v>20.100000000000001</v>
      </c>
      <c r="AE47" s="67">
        <v>20.100000000000001</v>
      </c>
      <c r="AF47" s="67">
        <v>20.100000000000001</v>
      </c>
      <c r="AG47" s="68">
        <v>22.1</v>
      </c>
      <c r="AH47" s="48">
        <f t="shared" si="2"/>
        <v>22.3</v>
      </c>
      <c r="AI47" s="49">
        <f t="shared" si="3"/>
        <v>12.2</v>
      </c>
      <c r="AK47" s="50"/>
    </row>
    <row r="48" spans="1:88" ht="15.75" thickBot="1" x14ac:dyDescent="0.3">
      <c r="A48" s="69" t="s">
        <v>52</v>
      </c>
      <c r="B48" s="61">
        <f t="shared" ref="B48:AG48" si="7">SUM(B45:B47)</f>
        <v>172.8</v>
      </c>
      <c r="C48" s="61">
        <f t="shared" si="7"/>
        <v>107.8</v>
      </c>
      <c r="D48" s="61">
        <f t="shared" si="7"/>
        <v>87.8</v>
      </c>
      <c r="E48" s="61">
        <f t="shared" si="7"/>
        <v>107.8</v>
      </c>
      <c r="F48" s="61">
        <f t="shared" si="7"/>
        <v>117.8</v>
      </c>
      <c r="G48" s="61">
        <f t="shared" si="7"/>
        <v>117.8</v>
      </c>
      <c r="H48" s="61">
        <f t="shared" si="7"/>
        <v>192.8</v>
      </c>
      <c r="I48" s="61">
        <f t="shared" si="7"/>
        <v>222.8</v>
      </c>
      <c r="J48" s="61">
        <f t="shared" si="7"/>
        <v>262.8</v>
      </c>
      <c r="K48" s="61">
        <f t="shared" si="7"/>
        <v>299.7</v>
      </c>
      <c r="L48" s="61">
        <f t="shared" si="7"/>
        <v>439.7</v>
      </c>
      <c r="M48" s="61">
        <f t="shared" si="7"/>
        <v>448.9</v>
      </c>
      <c r="N48" s="61">
        <f t="shared" si="7"/>
        <v>368.7</v>
      </c>
      <c r="O48" s="61">
        <f t="shared" si="7"/>
        <v>243.7</v>
      </c>
      <c r="P48" s="61">
        <f t="shared" si="7"/>
        <v>233.7</v>
      </c>
      <c r="Q48" s="61">
        <f t="shared" si="7"/>
        <v>193.7</v>
      </c>
      <c r="R48" s="61">
        <f t="shared" si="7"/>
        <v>168.7</v>
      </c>
      <c r="S48" s="61">
        <f t="shared" si="7"/>
        <v>103.7</v>
      </c>
      <c r="T48" s="61">
        <f t="shared" si="7"/>
        <v>114.1</v>
      </c>
      <c r="U48" s="61">
        <f t="shared" si="7"/>
        <v>92.2</v>
      </c>
      <c r="V48" s="61">
        <f t="shared" si="7"/>
        <v>159.5</v>
      </c>
      <c r="W48" s="61">
        <f t="shared" si="7"/>
        <v>319.5</v>
      </c>
      <c r="X48" s="61">
        <f t="shared" si="7"/>
        <v>492.3</v>
      </c>
      <c r="Y48" s="61">
        <f t="shared" si="7"/>
        <v>432.3</v>
      </c>
      <c r="Z48" s="61">
        <f t="shared" si="7"/>
        <v>392.3</v>
      </c>
      <c r="AA48" s="61">
        <f t="shared" si="7"/>
        <v>302.3</v>
      </c>
      <c r="AB48" s="61">
        <f t="shared" si="7"/>
        <v>245.1</v>
      </c>
      <c r="AC48" s="61">
        <f t="shared" si="7"/>
        <v>210.1</v>
      </c>
      <c r="AD48" s="61">
        <f t="shared" si="7"/>
        <v>210.1</v>
      </c>
      <c r="AE48" s="61">
        <f t="shared" si="7"/>
        <v>170.1</v>
      </c>
      <c r="AF48" s="61">
        <f t="shared" si="7"/>
        <v>140.1</v>
      </c>
      <c r="AG48" s="62">
        <f t="shared" si="7"/>
        <v>538.1</v>
      </c>
      <c r="AH48" s="48">
        <f t="shared" si="2"/>
        <v>492.3</v>
      </c>
      <c r="AI48" s="49">
        <f t="shared" si="3"/>
        <v>87.8</v>
      </c>
      <c r="AK48" s="50"/>
    </row>
    <row r="49" spans="1:41" x14ac:dyDescent="0.25">
      <c r="A49" s="44" t="s">
        <v>53</v>
      </c>
      <c r="B49" s="45">
        <v>49</v>
      </c>
      <c r="C49" s="45">
        <v>49</v>
      </c>
      <c r="D49" s="45">
        <v>48.9</v>
      </c>
      <c r="E49" s="45">
        <v>35</v>
      </c>
      <c r="F49" s="45">
        <v>25</v>
      </c>
      <c r="G49" s="45">
        <v>25</v>
      </c>
      <c r="H49" s="45">
        <v>25</v>
      </c>
      <c r="I49" s="45">
        <v>96</v>
      </c>
      <c r="J49" s="45">
        <v>140</v>
      </c>
      <c r="K49" s="45">
        <v>144</v>
      </c>
      <c r="L49" s="45">
        <v>142.80000000000001</v>
      </c>
      <c r="M49" s="45">
        <v>142.80000000000001</v>
      </c>
      <c r="N49" s="45">
        <v>142</v>
      </c>
      <c r="O49" s="45">
        <v>141.80000000000001</v>
      </c>
      <c r="P49" s="45">
        <v>141.80000000000001</v>
      </c>
      <c r="Q49" s="45">
        <v>141.80000000000001</v>
      </c>
      <c r="R49" s="45">
        <v>141.80000000000001</v>
      </c>
      <c r="S49" s="45">
        <v>140.30000000000001</v>
      </c>
      <c r="T49" s="45">
        <v>140.30000000000001</v>
      </c>
      <c r="U49" s="45">
        <v>140.30000000000001</v>
      </c>
      <c r="V49" s="45">
        <v>140.30000000000001</v>
      </c>
      <c r="W49" s="45">
        <v>140.30000000000001</v>
      </c>
      <c r="X49" s="45">
        <v>140.30000000000001</v>
      </c>
      <c r="Y49" s="45">
        <v>140.30000000000001</v>
      </c>
      <c r="Z49" s="45">
        <v>140.30000000000001</v>
      </c>
      <c r="AA49" s="45">
        <v>140.30000000000001</v>
      </c>
      <c r="AB49" s="45">
        <v>138.6</v>
      </c>
      <c r="AC49" s="45">
        <v>95.6</v>
      </c>
      <c r="AD49" s="45">
        <v>89.4</v>
      </c>
      <c r="AE49" s="45">
        <v>73.400000000000006</v>
      </c>
      <c r="AF49" s="45">
        <v>73.5</v>
      </c>
      <c r="AG49" s="52">
        <v>144</v>
      </c>
      <c r="AH49" s="48">
        <f t="shared" si="2"/>
        <v>144</v>
      </c>
      <c r="AI49" s="49">
        <f t="shared" si="3"/>
        <v>25</v>
      </c>
      <c r="AK49" s="50"/>
    </row>
    <row r="50" spans="1:41" x14ac:dyDescent="0.25">
      <c r="A50" s="54" t="s">
        <v>54</v>
      </c>
      <c r="B50" s="65">
        <v>51.9</v>
      </c>
      <c r="C50" s="65">
        <v>25</v>
      </c>
      <c r="D50" s="65">
        <v>25.7</v>
      </c>
      <c r="E50" s="65">
        <v>25.7</v>
      </c>
      <c r="F50" s="65">
        <v>34</v>
      </c>
      <c r="G50" s="65">
        <v>34</v>
      </c>
      <c r="H50" s="65">
        <v>34</v>
      </c>
      <c r="I50" s="65">
        <v>59</v>
      </c>
      <c r="J50" s="65">
        <v>70</v>
      </c>
      <c r="K50" s="65">
        <v>70</v>
      </c>
      <c r="L50" s="65">
        <v>70</v>
      </c>
      <c r="M50" s="65">
        <v>69.5</v>
      </c>
      <c r="N50" s="45">
        <v>69.7</v>
      </c>
      <c r="O50" s="45">
        <v>62.4</v>
      </c>
      <c r="P50" s="45">
        <v>62.4</v>
      </c>
      <c r="Q50" s="45">
        <v>50</v>
      </c>
      <c r="R50" s="45">
        <v>35</v>
      </c>
      <c r="S50" s="65">
        <v>33.6</v>
      </c>
      <c r="T50" s="65">
        <v>36</v>
      </c>
      <c r="U50" s="65">
        <v>49.3</v>
      </c>
      <c r="V50" s="65">
        <v>69.5</v>
      </c>
      <c r="W50" s="65">
        <v>69.5</v>
      </c>
      <c r="X50" s="65">
        <v>69.5</v>
      </c>
      <c r="Y50" s="65">
        <v>69.5</v>
      </c>
      <c r="Z50" s="65">
        <v>69.5</v>
      </c>
      <c r="AA50" s="65">
        <v>69.5</v>
      </c>
      <c r="AB50" s="65">
        <v>70.400000000000006</v>
      </c>
      <c r="AC50" s="65">
        <v>71.5</v>
      </c>
      <c r="AD50" s="65">
        <v>62.6</v>
      </c>
      <c r="AE50" s="65">
        <v>34.6</v>
      </c>
      <c r="AF50" s="65">
        <v>34.9</v>
      </c>
      <c r="AG50" s="55">
        <v>70</v>
      </c>
      <c r="AH50" s="48">
        <f t="shared" si="2"/>
        <v>71.5</v>
      </c>
      <c r="AI50" s="49">
        <f t="shared" si="3"/>
        <v>25</v>
      </c>
      <c r="AK50" s="50"/>
    </row>
    <row r="51" spans="1:41" x14ac:dyDescent="0.25">
      <c r="A51" s="54" t="s">
        <v>55</v>
      </c>
      <c r="B51" s="65">
        <v>52</v>
      </c>
      <c r="C51" s="65">
        <v>63</v>
      </c>
      <c r="D51" s="65">
        <v>36</v>
      </c>
      <c r="E51" s="65">
        <v>36</v>
      </c>
      <c r="F51" s="65">
        <v>42</v>
      </c>
      <c r="G51" s="65">
        <v>42</v>
      </c>
      <c r="H51" s="65">
        <v>42</v>
      </c>
      <c r="I51" s="65">
        <v>46</v>
      </c>
      <c r="J51" s="65">
        <v>59</v>
      </c>
      <c r="K51" s="65">
        <v>70</v>
      </c>
      <c r="L51" s="65">
        <v>70</v>
      </c>
      <c r="M51" s="65">
        <v>69</v>
      </c>
      <c r="N51" s="45">
        <v>68.8</v>
      </c>
      <c r="O51" s="45">
        <v>68.2</v>
      </c>
      <c r="P51" s="45">
        <v>68.2</v>
      </c>
      <c r="Q51" s="45">
        <v>68.2</v>
      </c>
      <c r="R51" s="45">
        <v>68.2</v>
      </c>
      <c r="S51" s="65">
        <v>68.5</v>
      </c>
      <c r="T51" s="65">
        <v>68.5</v>
      </c>
      <c r="U51" s="65">
        <v>68.5</v>
      </c>
      <c r="V51" s="65">
        <v>57.3</v>
      </c>
      <c r="W51" s="65">
        <v>68</v>
      </c>
      <c r="X51" s="65">
        <v>68</v>
      </c>
      <c r="Y51" s="65">
        <v>68</v>
      </c>
      <c r="Z51" s="65">
        <v>68</v>
      </c>
      <c r="AA51" s="65">
        <v>68</v>
      </c>
      <c r="AB51" s="65">
        <v>67.2</v>
      </c>
      <c r="AC51" s="65">
        <v>61.7</v>
      </c>
      <c r="AD51" s="65">
        <v>61.7</v>
      </c>
      <c r="AE51" s="65">
        <v>43.7</v>
      </c>
      <c r="AF51" s="65">
        <v>44.4</v>
      </c>
      <c r="AG51" s="55">
        <v>69</v>
      </c>
      <c r="AH51" s="48">
        <f t="shared" si="2"/>
        <v>70</v>
      </c>
      <c r="AI51" s="49">
        <f t="shared" si="3"/>
        <v>36</v>
      </c>
      <c r="AK51" s="50"/>
    </row>
    <row r="52" spans="1:41" x14ac:dyDescent="0.25">
      <c r="A52" s="54" t="s">
        <v>56</v>
      </c>
      <c r="B52" s="57">
        <v>61</v>
      </c>
      <c r="C52" s="57">
        <v>61</v>
      </c>
      <c r="D52" s="57">
        <v>61</v>
      </c>
      <c r="E52" s="57">
        <v>61</v>
      </c>
      <c r="F52" s="57">
        <v>61</v>
      </c>
      <c r="G52" s="57">
        <v>61</v>
      </c>
      <c r="H52" s="57">
        <v>61</v>
      </c>
      <c r="I52" s="57">
        <v>61</v>
      </c>
      <c r="J52" s="57">
        <v>61</v>
      </c>
      <c r="K52" s="57">
        <v>61</v>
      </c>
      <c r="L52" s="57">
        <v>61</v>
      </c>
      <c r="M52" s="65">
        <v>61</v>
      </c>
      <c r="N52" s="45">
        <v>61</v>
      </c>
      <c r="O52" s="45">
        <v>61</v>
      </c>
      <c r="P52" s="45">
        <v>61</v>
      </c>
      <c r="Q52" s="45">
        <v>61</v>
      </c>
      <c r="R52" s="45">
        <v>61</v>
      </c>
      <c r="S52" s="45">
        <v>61</v>
      </c>
      <c r="T52" s="45">
        <v>61</v>
      </c>
      <c r="U52" s="45">
        <v>61</v>
      </c>
      <c r="V52" s="45">
        <v>61</v>
      </c>
      <c r="W52" s="45">
        <v>61</v>
      </c>
      <c r="X52" s="65">
        <v>61</v>
      </c>
      <c r="Y52" s="65">
        <v>61</v>
      </c>
      <c r="Z52" s="65">
        <v>61</v>
      </c>
      <c r="AA52" s="65">
        <v>61</v>
      </c>
      <c r="AB52" s="57">
        <v>61.5</v>
      </c>
      <c r="AC52" s="57">
        <v>61.5</v>
      </c>
      <c r="AD52" s="57">
        <v>61.5</v>
      </c>
      <c r="AE52" s="57">
        <v>61.2</v>
      </c>
      <c r="AF52" s="57">
        <v>61.2</v>
      </c>
      <c r="AG52" s="55">
        <v>60</v>
      </c>
      <c r="AH52" s="48">
        <f t="shared" si="2"/>
        <v>61.5</v>
      </c>
      <c r="AI52" s="49">
        <f t="shared" si="3"/>
        <v>61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15</v>
      </c>
      <c r="J53" s="57">
        <v>15</v>
      </c>
      <c r="K53" s="57">
        <v>26.4</v>
      </c>
      <c r="L53" s="57">
        <v>26.4</v>
      </c>
      <c r="M53" s="65">
        <v>29.4</v>
      </c>
      <c r="N53" s="45">
        <v>29.4</v>
      </c>
      <c r="O53" s="45">
        <v>25.9</v>
      </c>
      <c r="P53" s="45">
        <v>15</v>
      </c>
      <c r="Q53" s="45">
        <v>15</v>
      </c>
      <c r="R53" s="45">
        <v>0</v>
      </c>
      <c r="S53" s="45">
        <v>0</v>
      </c>
      <c r="T53" s="45">
        <v>0</v>
      </c>
      <c r="U53" s="45">
        <v>13.8</v>
      </c>
      <c r="V53" s="45">
        <v>13.8</v>
      </c>
      <c r="W53" s="45">
        <v>29.4</v>
      </c>
      <c r="X53" s="65">
        <v>29.4</v>
      </c>
      <c r="Y53" s="65">
        <v>15.2</v>
      </c>
      <c r="Z53" s="65">
        <v>15.2</v>
      </c>
      <c r="AA53" s="65">
        <v>15.2</v>
      </c>
      <c r="AB53" s="57">
        <v>26.2</v>
      </c>
      <c r="AC53" s="57">
        <v>26.2</v>
      </c>
      <c r="AD53" s="57">
        <v>26.2</v>
      </c>
      <c r="AE53" s="57">
        <v>13.9</v>
      </c>
      <c r="AF53" s="57">
        <v>13.9</v>
      </c>
      <c r="AG53" s="55">
        <v>30</v>
      </c>
      <c r="AH53" s="48">
        <f t="shared" si="2"/>
        <v>29.4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5</v>
      </c>
      <c r="N54" s="65">
        <v>5</v>
      </c>
      <c r="O54" s="65">
        <v>8</v>
      </c>
      <c r="P54" s="65">
        <v>8</v>
      </c>
      <c r="Q54" s="65">
        <v>8</v>
      </c>
      <c r="R54" s="65">
        <v>8</v>
      </c>
      <c r="S54" s="65">
        <v>8</v>
      </c>
      <c r="T54" s="65">
        <v>8</v>
      </c>
      <c r="U54" s="65">
        <v>8</v>
      </c>
      <c r="V54" s="65">
        <v>0</v>
      </c>
      <c r="W54" s="65">
        <v>0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</v>
      </c>
      <c r="C55" s="65">
        <v>17.3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17.2</v>
      </c>
      <c r="N55" s="65">
        <v>17.2</v>
      </c>
      <c r="O55" s="65">
        <v>17.2</v>
      </c>
      <c r="P55" s="65">
        <v>17.2</v>
      </c>
      <c r="Q55" s="65">
        <v>17.2</v>
      </c>
      <c r="R55" s="65">
        <v>17.2</v>
      </c>
      <c r="S55" s="65">
        <v>17.2</v>
      </c>
      <c r="T55" s="65">
        <v>17.2</v>
      </c>
      <c r="U55" s="65">
        <v>17.2</v>
      </c>
      <c r="V55" s="65">
        <v>17.2</v>
      </c>
      <c r="W55" s="65">
        <v>17.2</v>
      </c>
      <c r="X55" s="45">
        <v>17.2</v>
      </c>
      <c r="Y55" s="45">
        <v>17.2</v>
      </c>
      <c r="Z55" s="45">
        <v>17.2</v>
      </c>
      <c r="AA55" s="45">
        <v>17.2</v>
      </c>
      <c r="AB55" s="65">
        <v>17.2</v>
      </c>
      <c r="AC55" s="65">
        <v>17.2</v>
      </c>
      <c r="AD55" s="65">
        <v>17.2</v>
      </c>
      <c r="AE55" s="65">
        <v>17.2</v>
      </c>
      <c r="AF55" s="65">
        <v>17.2</v>
      </c>
      <c r="AG55" s="55">
        <v>24</v>
      </c>
      <c r="AH55" s="48">
        <f t="shared" si="2"/>
        <v>17.3</v>
      </c>
      <c r="AI55" s="49">
        <f t="shared" si="3"/>
        <v>17.2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</v>
      </c>
      <c r="C57" s="65">
        <v>14</v>
      </c>
      <c r="D57" s="65">
        <v>14</v>
      </c>
      <c r="E57" s="65">
        <v>14</v>
      </c>
      <c r="F57" s="65">
        <v>14</v>
      </c>
      <c r="G57" s="65">
        <v>14</v>
      </c>
      <c r="H57" s="65">
        <v>14</v>
      </c>
      <c r="I57" s="65">
        <v>14</v>
      </c>
      <c r="J57" s="65">
        <v>13.6</v>
      </c>
      <c r="K57" s="65">
        <v>13.6</v>
      </c>
      <c r="L57" s="65">
        <v>13.6</v>
      </c>
      <c r="M57" s="65">
        <v>14</v>
      </c>
      <c r="N57" s="65">
        <v>14</v>
      </c>
      <c r="O57" s="65">
        <v>14</v>
      </c>
      <c r="P57" s="65">
        <v>14</v>
      </c>
      <c r="Q57" s="65">
        <v>14</v>
      </c>
      <c r="R57" s="65">
        <v>14</v>
      </c>
      <c r="S57" s="65">
        <v>14</v>
      </c>
      <c r="T57" s="65">
        <v>14</v>
      </c>
      <c r="U57" s="65">
        <v>14</v>
      </c>
      <c r="V57" s="65">
        <v>14</v>
      </c>
      <c r="W57" s="65">
        <v>14</v>
      </c>
      <c r="X57" s="65">
        <v>14</v>
      </c>
      <c r="Y57" s="65">
        <v>14</v>
      </c>
      <c r="Z57" s="65">
        <v>14</v>
      </c>
      <c r="AA57" s="65">
        <v>14</v>
      </c>
      <c r="AB57" s="65">
        <v>14</v>
      </c>
      <c r="AC57" s="65">
        <v>14</v>
      </c>
      <c r="AD57" s="65">
        <v>14</v>
      </c>
      <c r="AE57" s="65">
        <v>14</v>
      </c>
      <c r="AF57" s="65">
        <v>14</v>
      </c>
      <c r="AG57" s="55">
        <v>14.1</v>
      </c>
      <c r="AH57" s="48">
        <f t="shared" si="2"/>
        <v>14</v>
      </c>
      <c r="AI57" s="49">
        <f t="shared" si="3"/>
        <v>13.6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</v>
      </c>
      <c r="P58" s="65">
        <v>7</v>
      </c>
      <c r="Q58" s="65">
        <v>7</v>
      </c>
      <c r="R58" s="65">
        <v>7</v>
      </c>
      <c r="S58" s="65">
        <v>7</v>
      </c>
      <c r="T58" s="65">
        <v>7</v>
      </c>
      <c r="U58" s="65">
        <v>7</v>
      </c>
      <c r="V58" s="65">
        <v>8.5</v>
      </c>
      <c r="W58" s="65">
        <v>8.5</v>
      </c>
      <c r="X58" s="65">
        <v>8.5</v>
      </c>
      <c r="Y58" s="65">
        <v>8.5</v>
      </c>
      <c r="Z58" s="65">
        <v>8.5</v>
      </c>
      <c r="AA58" s="65">
        <v>8.5</v>
      </c>
      <c r="AB58" s="65">
        <v>8.5</v>
      </c>
      <c r="AC58" s="65">
        <v>8.5</v>
      </c>
      <c r="AD58" s="65">
        <v>8.5</v>
      </c>
      <c r="AE58" s="65">
        <v>5.0999999999999996</v>
      </c>
      <c r="AF58" s="65">
        <v>5.0999999999999996</v>
      </c>
      <c r="AG58" s="55">
        <v>14</v>
      </c>
      <c r="AH58" s="48">
        <f t="shared" si="2"/>
        <v>8.5</v>
      </c>
      <c r="AI58" s="49">
        <f t="shared" si="3"/>
        <v>5.0999999999999996</v>
      </c>
      <c r="AK58" s="50"/>
    </row>
    <row r="59" spans="1:41" x14ac:dyDescent="0.25">
      <c r="A59" s="54" t="s">
        <v>63</v>
      </c>
      <c r="B59" s="65">
        <v>6.2</v>
      </c>
      <c r="C59" s="65">
        <v>6.2</v>
      </c>
      <c r="D59" s="65">
        <v>6.2</v>
      </c>
      <c r="E59" s="65">
        <v>6.2</v>
      </c>
      <c r="F59" s="65">
        <v>6.2</v>
      </c>
      <c r="G59" s="65">
        <v>6.2</v>
      </c>
      <c r="H59" s="65">
        <v>6.2</v>
      </c>
      <c r="I59" s="65">
        <v>6.2</v>
      </c>
      <c r="J59" s="65">
        <v>6.2</v>
      </c>
      <c r="K59" s="65">
        <v>6.2</v>
      </c>
      <c r="L59" s="65">
        <v>6.2</v>
      </c>
      <c r="M59" s="65">
        <v>6.2</v>
      </c>
      <c r="N59" s="65">
        <v>6.2</v>
      </c>
      <c r="O59" s="65">
        <v>6.2</v>
      </c>
      <c r="P59" s="65">
        <v>6.2</v>
      </c>
      <c r="Q59" s="65">
        <v>6.2</v>
      </c>
      <c r="R59" s="65">
        <v>6.2</v>
      </c>
      <c r="S59" s="65">
        <v>6.2</v>
      </c>
      <c r="T59" s="65">
        <v>6.2</v>
      </c>
      <c r="U59" s="65">
        <v>6.2</v>
      </c>
      <c r="V59" s="65">
        <v>6.2</v>
      </c>
      <c r="W59" s="65">
        <v>6.2</v>
      </c>
      <c r="X59" s="65">
        <v>6.2</v>
      </c>
      <c r="Y59" s="65">
        <v>6.2</v>
      </c>
      <c r="Z59" s="65">
        <v>6.2</v>
      </c>
      <c r="AA59" s="65">
        <v>6.2</v>
      </c>
      <c r="AB59" s="65">
        <v>6.2</v>
      </c>
      <c r="AC59" s="65">
        <v>6.2</v>
      </c>
      <c r="AD59" s="65">
        <v>6.2</v>
      </c>
      <c r="AE59" s="65">
        <v>6.2</v>
      </c>
      <c r="AF59" s="65">
        <v>6.2</v>
      </c>
      <c r="AG59" s="55">
        <v>10.050000000000001</v>
      </c>
      <c r="AH59" s="48">
        <f t="shared" si="2"/>
        <v>6.2</v>
      </c>
      <c r="AI59" s="49">
        <f t="shared" si="3"/>
        <v>6.2</v>
      </c>
      <c r="AK59" s="50"/>
    </row>
    <row r="60" spans="1:41" x14ac:dyDescent="0.25">
      <c r="A60" s="54" t="s">
        <v>64</v>
      </c>
      <c r="B60" s="65">
        <v>4.2</v>
      </c>
      <c r="C60" s="65">
        <v>4.2</v>
      </c>
      <c r="D60" s="65">
        <v>4.2</v>
      </c>
      <c r="E60" s="65">
        <v>4.2</v>
      </c>
      <c r="F60" s="65">
        <v>4.2</v>
      </c>
      <c r="G60" s="65">
        <v>4.2</v>
      </c>
      <c r="H60" s="65">
        <v>4.2</v>
      </c>
      <c r="I60" s="65">
        <v>4.2</v>
      </c>
      <c r="J60" s="65">
        <v>4.2</v>
      </c>
      <c r="K60" s="65">
        <v>4.2</v>
      </c>
      <c r="L60" s="65">
        <v>4.2</v>
      </c>
      <c r="M60" s="65">
        <v>4.2</v>
      </c>
      <c r="N60" s="65">
        <v>4.2</v>
      </c>
      <c r="O60" s="65">
        <v>4.2</v>
      </c>
      <c r="P60" s="65">
        <v>4.2</v>
      </c>
      <c r="Q60" s="65">
        <v>4.2</v>
      </c>
      <c r="R60" s="65">
        <v>4.2</v>
      </c>
      <c r="S60" s="65">
        <v>4.2</v>
      </c>
      <c r="T60" s="65">
        <v>4.2</v>
      </c>
      <c r="U60" s="65">
        <v>4.2</v>
      </c>
      <c r="V60" s="65">
        <v>4.2</v>
      </c>
      <c r="W60" s="65">
        <v>4.2</v>
      </c>
      <c r="X60" s="65">
        <v>4.2</v>
      </c>
      <c r="Y60" s="65">
        <v>4.2</v>
      </c>
      <c r="Z60" s="65">
        <v>4.2</v>
      </c>
      <c r="AA60" s="65">
        <v>4.2</v>
      </c>
      <c r="AB60" s="65">
        <v>4.2</v>
      </c>
      <c r="AC60" s="65">
        <v>4.2</v>
      </c>
      <c r="AD60" s="65">
        <v>4.2</v>
      </c>
      <c r="AE60" s="65">
        <v>4.2</v>
      </c>
      <c r="AF60" s="65">
        <v>4.2</v>
      </c>
      <c r="AG60" s="55">
        <v>6.2</v>
      </c>
      <c r="AH60" s="48">
        <f t="shared" si="2"/>
        <v>4.2</v>
      </c>
      <c r="AI60" s="49">
        <f t="shared" si="3"/>
        <v>4.2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8">SUM(B49:B61)</f>
        <v>266.14000000000004</v>
      </c>
      <c r="C62" s="61">
        <f t="shared" si="8"/>
        <v>250.23999999999998</v>
      </c>
      <c r="D62" s="61">
        <f t="shared" si="8"/>
        <v>223.83999999999997</v>
      </c>
      <c r="E62" s="61">
        <f t="shared" si="8"/>
        <v>209.93999999999997</v>
      </c>
      <c r="F62" s="61">
        <f t="shared" si="8"/>
        <v>214.23999999999998</v>
      </c>
      <c r="G62" s="61">
        <f t="shared" si="8"/>
        <v>214.23999999999998</v>
      </c>
      <c r="H62" s="61">
        <f t="shared" si="8"/>
        <v>214.23999999999998</v>
      </c>
      <c r="I62" s="61">
        <f t="shared" si="8"/>
        <v>329.24</v>
      </c>
      <c r="J62" s="61">
        <f t="shared" si="8"/>
        <v>396.84000000000003</v>
      </c>
      <c r="K62" s="61">
        <f t="shared" si="8"/>
        <v>423.24</v>
      </c>
      <c r="L62" s="61">
        <f t="shared" si="8"/>
        <v>422.04</v>
      </c>
      <c r="M62" s="61">
        <f t="shared" si="8"/>
        <v>428.84</v>
      </c>
      <c r="N62" s="61">
        <f t="shared" si="8"/>
        <v>428.03999999999996</v>
      </c>
      <c r="O62" s="61">
        <f t="shared" si="8"/>
        <v>419.44</v>
      </c>
      <c r="P62" s="61">
        <f t="shared" si="8"/>
        <v>408.54</v>
      </c>
      <c r="Q62" s="61">
        <f t="shared" si="8"/>
        <v>396.14</v>
      </c>
      <c r="R62" s="61">
        <f t="shared" si="8"/>
        <v>366.14</v>
      </c>
      <c r="S62" s="61">
        <f t="shared" si="8"/>
        <v>363.53999999999996</v>
      </c>
      <c r="T62" s="61">
        <f t="shared" si="8"/>
        <v>365.94</v>
      </c>
      <c r="U62" s="61">
        <f t="shared" si="8"/>
        <v>393.04</v>
      </c>
      <c r="V62" s="61">
        <f t="shared" si="8"/>
        <v>395.54</v>
      </c>
      <c r="W62" s="61">
        <f t="shared" si="8"/>
        <v>421.84</v>
      </c>
      <c r="X62" s="61">
        <f t="shared" si="8"/>
        <v>421.84</v>
      </c>
      <c r="Y62" s="61">
        <f t="shared" si="8"/>
        <v>407.64</v>
      </c>
      <c r="Z62" s="61">
        <f t="shared" si="8"/>
        <v>407.64</v>
      </c>
      <c r="AA62" s="61">
        <f t="shared" si="8"/>
        <v>407.64</v>
      </c>
      <c r="AB62" s="61">
        <f t="shared" si="8"/>
        <v>417.53999999999996</v>
      </c>
      <c r="AC62" s="61">
        <f t="shared" si="8"/>
        <v>370.14</v>
      </c>
      <c r="AD62" s="61">
        <f t="shared" si="8"/>
        <v>355.03999999999996</v>
      </c>
      <c r="AE62" s="61">
        <f t="shared" si="8"/>
        <v>277.04000000000002</v>
      </c>
      <c r="AF62" s="61">
        <f t="shared" si="8"/>
        <v>278.14000000000004</v>
      </c>
      <c r="AG62" s="62">
        <f t="shared" si="8"/>
        <v>489.91</v>
      </c>
      <c r="AH62" s="48">
        <f t="shared" si="2"/>
        <v>428.84</v>
      </c>
      <c r="AI62" s="49">
        <f t="shared" si="3"/>
        <v>209.93999999999997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14</v>
      </c>
      <c r="L63" s="45">
        <v>59.4</v>
      </c>
      <c r="M63" s="45">
        <v>55</v>
      </c>
      <c r="N63" s="45">
        <v>54</v>
      </c>
      <c r="O63" s="45">
        <v>24.4</v>
      </c>
      <c r="P63" s="45">
        <v>22</v>
      </c>
      <c r="Q63" s="45">
        <v>25</v>
      </c>
      <c r="R63" s="45">
        <v>30</v>
      </c>
      <c r="S63" s="45">
        <v>59.4</v>
      </c>
      <c r="T63" s="45">
        <v>41</v>
      </c>
      <c r="U63" s="45">
        <v>60</v>
      </c>
      <c r="V63" s="45">
        <v>40</v>
      </c>
      <c r="W63" s="45">
        <v>59</v>
      </c>
      <c r="X63" s="45">
        <v>59</v>
      </c>
      <c r="Y63" s="45">
        <v>59</v>
      </c>
      <c r="Z63" s="45">
        <v>59</v>
      </c>
      <c r="AA63" s="45">
        <v>59</v>
      </c>
      <c r="AB63" s="45">
        <v>55</v>
      </c>
      <c r="AC63" s="45">
        <v>61.3</v>
      </c>
      <c r="AD63" s="45">
        <v>59.8</v>
      </c>
      <c r="AE63" s="45">
        <v>49.1</v>
      </c>
      <c r="AF63" s="45">
        <v>40.1</v>
      </c>
      <c r="AG63" s="52">
        <v>60</v>
      </c>
      <c r="AH63" s="48">
        <f t="shared" si="2"/>
        <v>61.3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4.2</v>
      </c>
      <c r="L64" s="65">
        <v>22.2</v>
      </c>
      <c r="M64" s="65">
        <v>29.7</v>
      </c>
      <c r="N64" s="65">
        <v>21.7</v>
      </c>
      <c r="O64" s="65">
        <v>19.5</v>
      </c>
      <c r="P64" s="65">
        <v>11</v>
      </c>
      <c r="Q64" s="65">
        <v>12</v>
      </c>
      <c r="R64" s="65">
        <v>14</v>
      </c>
      <c r="S64" s="65">
        <v>28.3</v>
      </c>
      <c r="T64" s="65">
        <v>27</v>
      </c>
      <c r="U64" s="65">
        <v>28.2</v>
      </c>
      <c r="V64" s="65">
        <v>24.4</v>
      </c>
      <c r="W64" s="65">
        <v>29.2</v>
      </c>
      <c r="X64" s="65">
        <v>29.2</v>
      </c>
      <c r="Y64" s="65">
        <v>29.2</v>
      </c>
      <c r="Z64" s="65">
        <v>29.2</v>
      </c>
      <c r="AA64" s="65">
        <v>29.2</v>
      </c>
      <c r="AB64" s="65">
        <v>28.6</v>
      </c>
      <c r="AC64" s="65">
        <v>27.4</v>
      </c>
      <c r="AD64" s="65">
        <v>27.4</v>
      </c>
      <c r="AE64" s="65">
        <v>21.4</v>
      </c>
      <c r="AF64" s="65">
        <v>17.5</v>
      </c>
      <c r="AG64" s="55">
        <v>32</v>
      </c>
      <c r="AH64" s="48">
        <f t="shared" si="2"/>
        <v>29.7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2.2000000000000002</v>
      </c>
      <c r="L65" s="67">
        <v>8.1</v>
      </c>
      <c r="M65" s="67">
        <v>10.9</v>
      </c>
      <c r="N65" s="67">
        <v>7.3</v>
      </c>
      <c r="O65" s="67">
        <v>7.1</v>
      </c>
      <c r="P65" s="67">
        <v>7.1</v>
      </c>
      <c r="Q65" s="67">
        <v>7.1</v>
      </c>
      <c r="R65" s="67">
        <v>7.1</v>
      </c>
      <c r="S65" s="67">
        <v>10.3</v>
      </c>
      <c r="T65" s="67">
        <v>9.8000000000000007</v>
      </c>
      <c r="U65" s="67">
        <v>10.3</v>
      </c>
      <c r="V65" s="67">
        <v>8.9</v>
      </c>
      <c r="W65" s="67">
        <v>10.7</v>
      </c>
      <c r="X65" s="67">
        <v>10.6</v>
      </c>
      <c r="Y65" s="67">
        <v>10.6</v>
      </c>
      <c r="Z65" s="67">
        <v>10.6</v>
      </c>
      <c r="AA65" s="67">
        <v>10.6</v>
      </c>
      <c r="AB65" s="67">
        <v>10.4</v>
      </c>
      <c r="AC65" s="67">
        <v>10</v>
      </c>
      <c r="AD65" s="67">
        <v>10</v>
      </c>
      <c r="AE65" s="67">
        <v>7.8</v>
      </c>
      <c r="AF65" s="67">
        <v>6.4</v>
      </c>
      <c r="AG65" s="68">
        <v>14</v>
      </c>
      <c r="AH65" s="48">
        <f t="shared" si="2"/>
        <v>10.9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9">SUM(B63:B65)</f>
        <v>0</v>
      </c>
      <c r="C66" s="61">
        <f t="shared" si="9"/>
        <v>0</v>
      </c>
      <c r="D66" s="61">
        <f t="shared" si="9"/>
        <v>0</v>
      </c>
      <c r="E66" s="61">
        <f t="shared" si="9"/>
        <v>0</v>
      </c>
      <c r="F66" s="61">
        <f t="shared" si="9"/>
        <v>0</v>
      </c>
      <c r="G66" s="61">
        <f t="shared" si="9"/>
        <v>0</v>
      </c>
      <c r="H66" s="61">
        <f t="shared" si="9"/>
        <v>0</v>
      </c>
      <c r="I66" s="61">
        <f t="shared" si="9"/>
        <v>0</v>
      </c>
      <c r="J66" s="61">
        <f t="shared" si="9"/>
        <v>0</v>
      </c>
      <c r="K66" s="61">
        <f t="shared" si="9"/>
        <v>20.399999999999999</v>
      </c>
      <c r="L66" s="61">
        <f t="shared" si="9"/>
        <v>89.699999999999989</v>
      </c>
      <c r="M66" s="61">
        <f t="shared" si="9"/>
        <v>95.600000000000009</v>
      </c>
      <c r="N66" s="61">
        <f t="shared" si="9"/>
        <v>83</v>
      </c>
      <c r="O66" s="61">
        <f t="shared" si="9"/>
        <v>51</v>
      </c>
      <c r="P66" s="61">
        <f t="shared" si="9"/>
        <v>40.1</v>
      </c>
      <c r="Q66" s="61">
        <f t="shared" si="9"/>
        <v>44.1</v>
      </c>
      <c r="R66" s="61">
        <f t="shared" si="9"/>
        <v>51.1</v>
      </c>
      <c r="S66" s="61">
        <f t="shared" si="9"/>
        <v>98</v>
      </c>
      <c r="T66" s="61">
        <f t="shared" si="9"/>
        <v>77.8</v>
      </c>
      <c r="U66" s="61">
        <f t="shared" si="9"/>
        <v>98.5</v>
      </c>
      <c r="V66" s="61">
        <f t="shared" si="9"/>
        <v>73.300000000000011</v>
      </c>
      <c r="W66" s="61">
        <f t="shared" si="9"/>
        <v>98.9</v>
      </c>
      <c r="X66" s="61">
        <f t="shared" si="9"/>
        <v>98.8</v>
      </c>
      <c r="Y66" s="61">
        <f t="shared" si="9"/>
        <v>98.8</v>
      </c>
      <c r="Z66" s="61">
        <f t="shared" si="9"/>
        <v>98.8</v>
      </c>
      <c r="AA66" s="61">
        <f t="shared" si="9"/>
        <v>98.8</v>
      </c>
      <c r="AB66" s="61">
        <f t="shared" si="9"/>
        <v>94</v>
      </c>
      <c r="AC66" s="61">
        <f t="shared" si="9"/>
        <v>98.699999999999989</v>
      </c>
      <c r="AD66" s="61">
        <f t="shared" si="9"/>
        <v>97.199999999999989</v>
      </c>
      <c r="AE66" s="61">
        <f t="shared" si="9"/>
        <v>78.3</v>
      </c>
      <c r="AF66" s="61">
        <f t="shared" si="9"/>
        <v>64</v>
      </c>
      <c r="AG66" s="62">
        <f t="shared" si="9"/>
        <v>106</v>
      </c>
      <c r="AH66" s="48">
        <f t="shared" si="2"/>
        <v>98.9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17</v>
      </c>
      <c r="I67" s="45">
        <v>17</v>
      </c>
      <c r="J67" s="45">
        <v>17</v>
      </c>
      <c r="K67" s="45">
        <v>24.4</v>
      </c>
      <c r="L67" s="45">
        <v>52.9</v>
      </c>
      <c r="M67" s="45">
        <v>29.4</v>
      </c>
      <c r="N67" s="45">
        <v>52</v>
      </c>
      <c r="O67" s="45">
        <v>30.3</v>
      </c>
      <c r="P67" s="45">
        <v>30</v>
      </c>
      <c r="Q67" s="45">
        <v>25</v>
      </c>
      <c r="R67" s="45">
        <v>22</v>
      </c>
      <c r="S67" s="45">
        <v>22</v>
      </c>
      <c r="T67" s="45">
        <v>22</v>
      </c>
      <c r="U67" s="45">
        <v>15.6</v>
      </c>
      <c r="V67" s="45">
        <v>42.2</v>
      </c>
      <c r="W67" s="45">
        <v>41.9</v>
      </c>
      <c r="X67" s="45">
        <v>38.1</v>
      </c>
      <c r="Y67" s="45">
        <v>46.5</v>
      </c>
      <c r="Z67" s="45">
        <v>42.8</v>
      </c>
      <c r="AA67" s="45">
        <v>27.6</v>
      </c>
      <c r="AB67" s="45">
        <v>22.4</v>
      </c>
      <c r="AC67" s="45">
        <v>14</v>
      </c>
      <c r="AD67" s="45">
        <v>24.1</v>
      </c>
      <c r="AE67" s="45">
        <v>0</v>
      </c>
      <c r="AF67" s="45">
        <v>0</v>
      </c>
      <c r="AG67" s="52"/>
      <c r="AH67" s="48">
        <f t="shared" si="2"/>
        <v>52.9</v>
      </c>
      <c r="AI67" s="49">
        <f t="shared" si="3"/>
        <v>0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-73</v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-138</v>
      </c>
      <c r="N69" s="65">
        <v>-126</v>
      </c>
      <c r="O69" s="65">
        <v>0</v>
      </c>
      <c r="P69" s="65">
        <v>2</v>
      </c>
      <c r="Q69" s="65">
        <v>-1</v>
      </c>
      <c r="R69" s="65">
        <v>0</v>
      </c>
      <c r="S69" s="65">
        <v>0</v>
      </c>
      <c r="T69" s="65">
        <v>0.4</v>
      </c>
      <c r="U69" s="65">
        <v>-13</v>
      </c>
      <c r="V69" s="65">
        <v>-2.7</v>
      </c>
      <c r="W69" s="65">
        <v>-99.2</v>
      </c>
      <c r="X69" s="65">
        <v>-166</v>
      </c>
      <c r="Y69" s="65">
        <v>-174</v>
      </c>
      <c r="Z69" s="65">
        <v>-175</v>
      </c>
      <c r="AA69" s="65">
        <v>-159</v>
      </c>
      <c r="AB69" s="65">
        <v>-152</v>
      </c>
      <c r="AC69" s="65">
        <v>-154.4</v>
      </c>
      <c r="AD69" s="65">
        <v>-158.9</v>
      </c>
      <c r="AE69" s="65">
        <v>-104.5</v>
      </c>
      <c r="AF69" s="65">
        <v>-68.8</v>
      </c>
      <c r="AG69" s="75"/>
      <c r="AH69" s="48">
        <f t="shared" si="2"/>
        <v>2</v>
      </c>
      <c r="AI69" s="49">
        <f t="shared" si="3"/>
        <v>-175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10">SUMIF(B67:B77,"&gt;0")</f>
        <v>0</v>
      </c>
      <c r="C78" s="61">
        <f t="shared" si="10"/>
        <v>0</v>
      </c>
      <c r="D78" s="61">
        <f t="shared" si="10"/>
        <v>0</v>
      </c>
      <c r="E78" s="61">
        <f t="shared" si="10"/>
        <v>0</v>
      </c>
      <c r="F78" s="61">
        <f t="shared" si="10"/>
        <v>0</v>
      </c>
      <c r="G78" s="61">
        <f t="shared" si="10"/>
        <v>0</v>
      </c>
      <c r="H78" s="61">
        <f t="shared" si="10"/>
        <v>17</v>
      </c>
      <c r="I78" s="61">
        <f t="shared" si="10"/>
        <v>17</v>
      </c>
      <c r="J78" s="61">
        <f t="shared" si="10"/>
        <v>17</v>
      </c>
      <c r="K78" s="61">
        <f t="shared" si="10"/>
        <v>24.4</v>
      </c>
      <c r="L78" s="61">
        <f t="shared" si="10"/>
        <v>52.9</v>
      </c>
      <c r="M78" s="61">
        <f t="shared" si="10"/>
        <v>29.4</v>
      </c>
      <c r="N78" s="61">
        <f t="shared" si="10"/>
        <v>52</v>
      </c>
      <c r="O78" s="61">
        <f t="shared" si="10"/>
        <v>30.3</v>
      </c>
      <c r="P78" s="61">
        <f t="shared" si="10"/>
        <v>32</v>
      </c>
      <c r="Q78" s="61">
        <f t="shared" si="10"/>
        <v>25</v>
      </c>
      <c r="R78" s="61">
        <f t="shared" si="10"/>
        <v>22</v>
      </c>
      <c r="S78" s="61">
        <f t="shared" si="10"/>
        <v>22</v>
      </c>
      <c r="T78" s="61">
        <f t="shared" si="10"/>
        <v>22.4</v>
      </c>
      <c r="U78" s="61">
        <f t="shared" si="10"/>
        <v>15.6</v>
      </c>
      <c r="V78" s="61">
        <f t="shared" si="10"/>
        <v>42.2</v>
      </c>
      <c r="W78" s="61">
        <f t="shared" si="10"/>
        <v>41.9</v>
      </c>
      <c r="X78" s="61">
        <f t="shared" si="10"/>
        <v>38.1</v>
      </c>
      <c r="Y78" s="61">
        <f t="shared" si="10"/>
        <v>46.5</v>
      </c>
      <c r="Z78" s="61">
        <f t="shared" si="10"/>
        <v>42.8</v>
      </c>
      <c r="AA78" s="61">
        <f t="shared" si="10"/>
        <v>27.6</v>
      </c>
      <c r="AB78" s="61">
        <f t="shared" si="10"/>
        <v>22.4</v>
      </c>
      <c r="AC78" s="61">
        <f t="shared" si="10"/>
        <v>14</v>
      </c>
      <c r="AD78" s="61">
        <f t="shared" si="10"/>
        <v>24.1</v>
      </c>
      <c r="AE78" s="61">
        <f t="shared" si="10"/>
        <v>0</v>
      </c>
      <c r="AF78" s="61">
        <f t="shared" si="10"/>
        <v>0</v>
      </c>
      <c r="AG78" s="81">
        <f>SUM(AG67:AG77)</f>
        <v>0</v>
      </c>
      <c r="AH78" s="48">
        <f t="shared" si="2"/>
        <v>52.9</v>
      </c>
      <c r="AI78" s="49">
        <f t="shared" si="3"/>
        <v>0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ref="AH80:AH113" si="11">MAX(B80:AF80)</f>
        <v>0</v>
      </c>
      <c r="AI80" s="49">
        <f t="shared" ref="AI80:AI113" si="12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87</v>
      </c>
      <c r="B83" s="83">
        <f t="shared" ref="B83:AG83" si="13">B44+B48+B66+B62+B78+B82</f>
        <v>1057.1400000000001</v>
      </c>
      <c r="C83" s="83">
        <f t="shared" si="13"/>
        <v>976.24</v>
      </c>
      <c r="D83" s="83">
        <f t="shared" si="13"/>
        <v>929.83999999999992</v>
      </c>
      <c r="E83" s="83">
        <f t="shared" si="13"/>
        <v>935.93999999999994</v>
      </c>
      <c r="F83" s="83">
        <f t="shared" si="13"/>
        <v>950.24</v>
      </c>
      <c r="G83" s="83">
        <f t="shared" si="13"/>
        <v>950.24</v>
      </c>
      <c r="H83" s="83">
        <f t="shared" si="13"/>
        <v>1042.24</v>
      </c>
      <c r="I83" s="83">
        <f t="shared" si="13"/>
        <v>1187.24</v>
      </c>
      <c r="J83" s="83">
        <f t="shared" si="13"/>
        <v>1294.8400000000001</v>
      </c>
      <c r="K83" s="83">
        <f t="shared" si="13"/>
        <v>1385.94</v>
      </c>
      <c r="L83" s="83">
        <f t="shared" si="13"/>
        <v>1622.5400000000002</v>
      </c>
      <c r="M83" s="83">
        <f t="shared" si="13"/>
        <v>1614.0399999999997</v>
      </c>
      <c r="N83" s="83">
        <f t="shared" si="13"/>
        <v>1543.04</v>
      </c>
      <c r="O83" s="83">
        <f t="shared" si="13"/>
        <v>1355.74</v>
      </c>
      <c r="P83" s="83">
        <f t="shared" si="13"/>
        <v>1325.64</v>
      </c>
      <c r="Q83" s="83">
        <f t="shared" si="13"/>
        <v>1270.24</v>
      </c>
      <c r="R83" s="83">
        <f t="shared" si="13"/>
        <v>1219.24</v>
      </c>
      <c r="S83" s="83">
        <f t="shared" si="13"/>
        <v>1200.54</v>
      </c>
      <c r="T83" s="83">
        <f t="shared" si="13"/>
        <v>1193.54</v>
      </c>
      <c r="U83" s="83">
        <f t="shared" si="13"/>
        <v>1212.6399999999999</v>
      </c>
      <c r="V83" s="83">
        <f t="shared" si="13"/>
        <v>1281.8399999999999</v>
      </c>
      <c r="W83" s="83">
        <f t="shared" si="13"/>
        <v>1493.44</v>
      </c>
      <c r="X83" s="83">
        <f t="shared" si="13"/>
        <v>1668.2399999999998</v>
      </c>
      <c r="Y83" s="83">
        <f t="shared" si="13"/>
        <v>1602.44</v>
      </c>
      <c r="Z83" s="83">
        <f t="shared" si="13"/>
        <v>1558.74</v>
      </c>
      <c r="AA83" s="83">
        <f t="shared" si="13"/>
        <v>1453.54</v>
      </c>
      <c r="AB83" s="83">
        <f t="shared" si="13"/>
        <v>1400.2400000000002</v>
      </c>
      <c r="AC83" s="83">
        <f t="shared" si="13"/>
        <v>1314.1399999999999</v>
      </c>
      <c r="AD83" s="83">
        <f t="shared" si="13"/>
        <v>1304.7399999999998</v>
      </c>
      <c r="AE83" s="83">
        <f t="shared" si="13"/>
        <v>1139.74</v>
      </c>
      <c r="AF83" s="83">
        <f t="shared" si="13"/>
        <v>1096.54</v>
      </c>
      <c r="AG83" s="62">
        <f t="shared" si="13"/>
        <v>2004.1900000000003</v>
      </c>
      <c r="AH83" s="48">
        <f t="shared" si="11"/>
        <v>1668.2399999999998</v>
      </c>
      <c r="AI83" s="49">
        <f t="shared" si="12"/>
        <v>929.83999999999992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1"/>
        <v>0</v>
      </c>
      <c r="AI84" s="49">
        <f t="shared" si="12"/>
        <v>0</v>
      </c>
    </row>
    <row r="85" spans="1:37" ht="15.75" thickBot="1" x14ac:dyDescent="0.3">
      <c r="A85" s="74" t="s">
        <v>89</v>
      </c>
      <c r="B85" s="83">
        <f t="shared" ref="B85:AF85" si="14">B83+B84</f>
        <v>1057.1400000000001</v>
      </c>
      <c r="C85" s="83">
        <f t="shared" si="14"/>
        <v>976.24</v>
      </c>
      <c r="D85" s="83">
        <f t="shared" si="14"/>
        <v>929.83999999999992</v>
      </c>
      <c r="E85" s="83">
        <f t="shared" si="14"/>
        <v>935.93999999999994</v>
      </c>
      <c r="F85" s="83">
        <f t="shared" si="14"/>
        <v>950.24</v>
      </c>
      <c r="G85" s="83">
        <f t="shared" si="14"/>
        <v>950.24</v>
      </c>
      <c r="H85" s="83">
        <f t="shared" si="14"/>
        <v>1042.24</v>
      </c>
      <c r="I85" s="83">
        <f t="shared" si="14"/>
        <v>1187.24</v>
      </c>
      <c r="J85" s="83">
        <f t="shared" si="14"/>
        <v>1294.8400000000001</v>
      </c>
      <c r="K85" s="83">
        <f t="shared" si="14"/>
        <v>1385.94</v>
      </c>
      <c r="L85" s="83">
        <f t="shared" si="14"/>
        <v>1622.5400000000002</v>
      </c>
      <c r="M85" s="83">
        <f t="shared" si="14"/>
        <v>1614.0399999999997</v>
      </c>
      <c r="N85" s="83">
        <f t="shared" si="14"/>
        <v>1543.04</v>
      </c>
      <c r="O85" s="83">
        <f t="shared" si="14"/>
        <v>1355.74</v>
      </c>
      <c r="P85" s="83">
        <f t="shared" si="14"/>
        <v>1325.64</v>
      </c>
      <c r="Q85" s="83">
        <f t="shared" si="14"/>
        <v>1270.24</v>
      </c>
      <c r="R85" s="83">
        <f t="shared" si="14"/>
        <v>1219.24</v>
      </c>
      <c r="S85" s="83">
        <f t="shared" si="14"/>
        <v>1200.54</v>
      </c>
      <c r="T85" s="83">
        <f t="shared" si="14"/>
        <v>1193.54</v>
      </c>
      <c r="U85" s="83">
        <f t="shared" si="14"/>
        <v>1212.6399999999999</v>
      </c>
      <c r="V85" s="83">
        <f t="shared" si="14"/>
        <v>1281.8399999999999</v>
      </c>
      <c r="W85" s="83">
        <f t="shared" si="14"/>
        <v>1493.44</v>
      </c>
      <c r="X85" s="83">
        <f t="shared" si="14"/>
        <v>1668.2399999999998</v>
      </c>
      <c r="Y85" s="83">
        <f t="shared" si="14"/>
        <v>1602.44</v>
      </c>
      <c r="Z85" s="83">
        <f t="shared" si="14"/>
        <v>1558.74</v>
      </c>
      <c r="AA85" s="83">
        <f t="shared" si="14"/>
        <v>1453.54</v>
      </c>
      <c r="AB85" s="83">
        <f t="shared" si="14"/>
        <v>1400.2400000000002</v>
      </c>
      <c r="AC85" s="83">
        <f t="shared" si="14"/>
        <v>1314.1399999999999</v>
      </c>
      <c r="AD85" s="83">
        <f t="shared" si="14"/>
        <v>1304.7399999999998</v>
      </c>
      <c r="AE85" s="83">
        <f t="shared" si="14"/>
        <v>1139.74</v>
      </c>
      <c r="AF85" s="83">
        <f t="shared" si="14"/>
        <v>1096.54</v>
      </c>
      <c r="AG85" s="81">
        <f>AG82+AG78+AG66+AG62+AG44+AG84</f>
        <v>1466.0900000000001</v>
      </c>
      <c r="AH85" s="48">
        <f t="shared" si="11"/>
        <v>1668.2399999999998</v>
      </c>
      <c r="AI85" s="49">
        <f t="shared" si="12"/>
        <v>929.83999999999992</v>
      </c>
    </row>
    <row r="86" spans="1:37" ht="15.75" thickBot="1" x14ac:dyDescent="0.3">
      <c r="A86" s="74" t="s">
        <v>90</v>
      </c>
      <c r="B86" s="83">
        <f t="shared" ref="B86:AF86" si="15">B85-B93</f>
        <v>984.1400000000001</v>
      </c>
      <c r="C86" s="83">
        <f t="shared" si="15"/>
        <v>976.24</v>
      </c>
      <c r="D86" s="83">
        <f t="shared" si="15"/>
        <v>929.83999999999992</v>
      </c>
      <c r="E86" s="83">
        <f t="shared" si="15"/>
        <v>935.93999999999994</v>
      </c>
      <c r="F86" s="83">
        <f t="shared" si="15"/>
        <v>950.24</v>
      </c>
      <c r="G86" s="83">
        <f t="shared" si="15"/>
        <v>950.24</v>
      </c>
      <c r="H86" s="83">
        <f t="shared" si="15"/>
        <v>1042.24</v>
      </c>
      <c r="I86" s="83">
        <f t="shared" si="15"/>
        <v>1187.24</v>
      </c>
      <c r="J86" s="83">
        <f t="shared" si="15"/>
        <v>1294.8400000000001</v>
      </c>
      <c r="K86" s="83">
        <f t="shared" si="15"/>
        <v>1385.94</v>
      </c>
      <c r="L86" s="83">
        <f t="shared" si="15"/>
        <v>1622.5400000000002</v>
      </c>
      <c r="M86" s="83">
        <f t="shared" si="15"/>
        <v>1476.0399999999997</v>
      </c>
      <c r="N86" s="83">
        <f t="shared" si="15"/>
        <v>1417.04</v>
      </c>
      <c r="O86" s="83">
        <f t="shared" si="15"/>
        <v>1355.74</v>
      </c>
      <c r="P86" s="83">
        <f t="shared" si="15"/>
        <v>1325.64</v>
      </c>
      <c r="Q86" s="83">
        <f t="shared" si="15"/>
        <v>1269.24</v>
      </c>
      <c r="R86" s="83">
        <f t="shared" si="15"/>
        <v>1219.24</v>
      </c>
      <c r="S86" s="83">
        <f t="shared" si="15"/>
        <v>1200.54</v>
      </c>
      <c r="T86" s="83">
        <f t="shared" si="15"/>
        <v>1193.54</v>
      </c>
      <c r="U86" s="83">
        <f t="shared" si="15"/>
        <v>1199.6399999999999</v>
      </c>
      <c r="V86" s="83">
        <f t="shared" si="15"/>
        <v>1279.1399999999999</v>
      </c>
      <c r="W86" s="83">
        <f t="shared" si="15"/>
        <v>1394.24</v>
      </c>
      <c r="X86" s="83">
        <f t="shared" si="15"/>
        <v>1502.2399999999998</v>
      </c>
      <c r="Y86" s="83">
        <f t="shared" si="15"/>
        <v>1428.44</v>
      </c>
      <c r="Z86" s="83">
        <f t="shared" si="15"/>
        <v>1383.74</v>
      </c>
      <c r="AA86" s="83">
        <f t="shared" si="15"/>
        <v>1294.54</v>
      </c>
      <c r="AB86" s="83">
        <f t="shared" si="15"/>
        <v>1248.2400000000002</v>
      </c>
      <c r="AC86" s="83">
        <f t="shared" si="15"/>
        <v>1159.7399999999998</v>
      </c>
      <c r="AD86" s="83">
        <f t="shared" si="15"/>
        <v>1145.8399999999997</v>
      </c>
      <c r="AE86" s="83">
        <f t="shared" si="15"/>
        <v>1035.24</v>
      </c>
      <c r="AF86" s="83">
        <f t="shared" si="15"/>
        <v>1027.74</v>
      </c>
      <c r="AG86" s="81"/>
      <c r="AH86" s="48">
        <f t="shared" si="11"/>
        <v>1622.5400000000002</v>
      </c>
      <c r="AI86" s="49">
        <f t="shared" si="12"/>
        <v>929.83999999999992</v>
      </c>
    </row>
    <row r="87" spans="1:37" x14ac:dyDescent="0.25">
      <c r="A87" s="44" t="s">
        <v>74</v>
      </c>
      <c r="B87" s="76">
        <f t="shared" ref="B87:AF87" si="16">IF(B70&lt;0,B70*-1,0)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si="16"/>
        <v>0</v>
      </c>
      <c r="M87" s="76">
        <f t="shared" si="16"/>
        <v>0</v>
      </c>
      <c r="N87" s="76">
        <f t="shared" si="16"/>
        <v>0</v>
      </c>
      <c r="O87" s="76">
        <f t="shared" si="16"/>
        <v>0</v>
      </c>
      <c r="P87" s="76">
        <f t="shared" si="16"/>
        <v>0</v>
      </c>
      <c r="Q87" s="76">
        <f t="shared" si="16"/>
        <v>0</v>
      </c>
      <c r="R87" s="76">
        <f t="shared" si="16"/>
        <v>0</v>
      </c>
      <c r="S87" s="76">
        <f t="shared" si="16"/>
        <v>0</v>
      </c>
      <c r="T87" s="76">
        <f t="shared" si="16"/>
        <v>0</v>
      </c>
      <c r="U87" s="76">
        <f t="shared" si="16"/>
        <v>0</v>
      </c>
      <c r="V87" s="76">
        <f t="shared" si="16"/>
        <v>0</v>
      </c>
      <c r="W87" s="76">
        <f t="shared" si="16"/>
        <v>0</v>
      </c>
      <c r="X87" s="76">
        <f t="shared" si="16"/>
        <v>0</v>
      </c>
      <c r="Y87" s="76">
        <f t="shared" si="16"/>
        <v>0</v>
      </c>
      <c r="Z87" s="76">
        <f t="shared" si="16"/>
        <v>0</v>
      </c>
      <c r="AA87" s="76">
        <f t="shared" si="16"/>
        <v>0</v>
      </c>
      <c r="AB87" s="76">
        <f t="shared" si="16"/>
        <v>0</v>
      </c>
      <c r="AC87" s="76">
        <f t="shared" si="16"/>
        <v>0</v>
      </c>
      <c r="AD87" s="76">
        <f t="shared" si="16"/>
        <v>0</v>
      </c>
      <c r="AE87" s="76">
        <f t="shared" si="16"/>
        <v>0</v>
      </c>
      <c r="AF87" s="76">
        <f t="shared" si="16"/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72</v>
      </c>
      <c r="B88" s="76">
        <f t="shared" ref="B88:AF88" si="17">IF(B68&lt;0,B68*-1,0)</f>
        <v>0</v>
      </c>
      <c r="C88" s="76">
        <f t="shared" si="17"/>
        <v>0</v>
      </c>
      <c r="D88" s="76">
        <f t="shared" si="17"/>
        <v>0</v>
      </c>
      <c r="E88" s="76">
        <f t="shared" si="17"/>
        <v>0</v>
      </c>
      <c r="F88" s="76">
        <f t="shared" si="17"/>
        <v>0</v>
      </c>
      <c r="G88" s="76">
        <f t="shared" si="17"/>
        <v>0</v>
      </c>
      <c r="H88" s="76">
        <f t="shared" si="17"/>
        <v>0</v>
      </c>
      <c r="I88" s="76">
        <f t="shared" si="17"/>
        <v>0</v>
      </c>
      <c r="J88" s="76">
        <f t="shared" si="17"/>
        <v>0</v>
      </c>
      <c r="K88" s="76">
        <f t="shared" si="17"/>
        <v>0</v>
      </c>
      <c r="L88" s="76">
        <f t="shared" si="17"/>
        <v>0</v>
      </c>
      <c r="M88" s="76">
        <f t="shared" si="17"/>
        <v>0</v>
      </c>
      <c r="N88" s="76">
        <f t="shared" si="17"/>
        <v>0</v>
      </c>
      <c r="O88" s="76">
        <f t="shared" si="17"/>
        <v>0</v>
      </c>
      <c r="P88" s="76">
        <f t="shared" si="17"/>
        <v>0</v>
      </c>
      <c r="Q88" s="76">
        <f t="shared" si="17"/>
        <v>0</v>
      </c>
      <c r="R88" s="76">
        <f t="shared" si="17"/>
        <v>0</v>
      </c>
      <c r="S88" s="76">
        <f t="shared" si="17"/>
        <v>0</v>
      </c>
      <c r="T88" s="76">
        <f t="shared" si="17"/>
        <v>0</v>
      </c>
      <c r="U88" s="76">
        <f t="shared" si="17"/>
        <v>0</v>
      </c>
      <c r="V88" s="76">
        <f t="shared" si="17"/>
        <v>0</v>
      </c>
      <c r="W88" s="76">
        <f t="shared" si="17"/>
        <v>0</v>
      </c>
      <c r="X88" s="76">
        <f t="shared" si="17"/>
        <v>0</v>
      </c>
      <c r="Y88" s="76">
        <f t="shared" si="17"/>
        <v>0</v>
      </c>
      <c r="Z88" s="76">
        <f t="shared" si="17"/>
        <v>0</v>
      </c>
      <c r="AA88" s="76">
        <f t="shared" si="17"/>
        <v>0</v>
      </c>
      <c r="AB88" s="76">
        <f t="shared" si="17"/>
        <v>0</v>
      </c>
      <c r="AC88" s="76">
        <f t="shared" si="17"/>
        <v>0</v>
      </c>
      <c r="AD88" s="76">
        <f t="shared" si="17"/>
        <v>0</v>
      </c>
      <c r="AE88" s="76">
        <f t="shared" si="17"/>
        <v>0</v>
      </c>
      <c r="AF88" s="76">
        <f t="shared" si="17"/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91</v>
      </c>
      <c r="B89" s="76">
        <f t="shared" ref="B89:AF89" si="18">IF(B71&lt;0,B71*-1,0)</f>
        <v>0</v>
      </c>
      <c r="C89" s="76">
        <f t="shared" si="18"/>
        <v>0</v>
      </c>
      <c r="D89" s="76">
        <f t="shared" si="18"/>
        <v>0</v>
      </c>
      <c r="E89" s="76">
        <f t="shared" si="18"/>
        <v>0</v>
      </c>
      <c r="F89" s="76">
        <f t="shared" si="18"/>
        <v>0</v>
      </c>
      <c r="G89" s="76">
        <f t="shared" si="18"/>
        <v>0</v>
      </c>
      <c r="H89" s="76">
        <f t="shared" si="18"/>
        <v>0</v>
      </c>
      <c r="I89" s="76">
        <f t="shared" si="18"/>
        <v>0</v>
      </c>
      <c r="J89" s="76">
        <f t="shared" si="18"/>
        <v>0</v>
      </c>
      <c r="K89" s="76">
        <f t="shared" si="18"/>
        <v>0</v>
      </c>
      <c r="L89" s="76">
        <f t="shared" si="18"/>
        <v>0</v>
      </c>
      <c r="M89" s="76">
        <f t="shared" si="18"/>
        <v>0</v>
      </c>
      <c r="N89" s="76">
        <f t="shared" si="18"/>
        <v>0</v>
      </c>
      <c r="O89" s="76">
        <f t="shared" si="18"/>
        <v>0</v>
      </c>
      <c r="P89" s="76">
        <f t="shared" si="18"/>
        <v>0</v>
      </c>
      <c r="Q89" s="76">
        <f t="shared" si="18"/>
        <v>0</v>
      </c>
      <c r="R89" s="76">
        <f t="shared" si="18"/>
        <v>0</v>
      </c>
      <c r="S89" s="76">
        <f t="shared" si="18"/>
        <v>0</v>
      </c>
      <c r="T89" s="76">
        <f t="shared" si="18"/>
        <v>0</v>
      </c>
      <c r="U89" s="76">
        <f t="shared" si="18"/>
        <v>0</v>
      </c>
      <c r="V89" s="76">
        <f t="shared" si="18"/>
        <v>0</v>
      </c>
      <c r="W89" s="76">
        <f t="shared" si="18"/>
        <v>0</v>
      </c>
      <c r="X89" s="76">
        <f t="shared" si="18"/>
        <v>0</v>
      </c>
      <c r="Y89" s="76">
        <f t="shared" si="18"/>
        <v>0</v>
      </c>
      <c r="Z89" s="76">
        <f t="shared" si="18"/>
        <v>0</v>
      </c>
      <c r="AA89" s="76">
        <f t="shared" si="18"/>
        <v>0</v>
      </c>
      <c r="AB89" s="76">
        <f t="shared" si="18"/>
        <v>0</v>
      </c>
      <c r="AC89" s="76">
        <f t="shared" si="18"/>
        <v>0</v>
      </c>
      <c r="AD89" s="76">
        <f t="shared" si="18"/>
        <v>0</v>
      </c>
      <c r="AE89" s="76">
        <f t="shared" si="18"/>
        <v>0</v>
      </c>
      <c r="AF89" s="76">
        <f t="shared" si="18"/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92</v>
      </c>
      <c r="B90" s="76">
        <f t="shared" ref="B90:AF90" si="19">IF(B69&lt;0,B69*-1,0)</f>
        <v>73</v>
      </c>
      <c r="C90" s="76">
        <f t="shared" si="19"/>
        <v>0</v>
      </c>
      <c r="D90" s="76">
        <f t="shared" si="19"/>
        <v>0</v>
      </c>
      <c r="E90" s="76">
        <f t="shared" si="19"/>
        <v>0</v>
      </c>
      <c r="F90" s="76">
        <f t="shared" si="19"/>
        <v>0</v>
      </c>
      <c r="G90" s="76">
        <f t="shared" si="19"/>
        <v>0</v>
      </c>
      <c r="H90" s="76">
        <f t="shared" si="19"/>
        <v>0</v>
      </c>
      <c r="I90" s="76">
        <f t="shared" si="19"/>
        <v>0</v>
      </c>
      <c r="J90" s="76">
        <f t="shared" si="19"/>
        <v>0</v>
      </c>
      <c r="K90" s="76">
        <f t="shared" si="19"/>
        <v>0</v>
      </c>
      <c r="L90" s="76">
        <f t="shared" si="19"/>
        <v>0</v>
      </c>
      <c r="M90" s="76">
        <f t="shared" si="19"/>
        <v>138</v>
      </c>
      <c r="N90" s="76">
        <f t="shared" si="19"/>
        <v>126</v>
      </c>
      <c r="O90" s="76">
        <f t="shared" si="19"/>
        <v>0</v>
      </c>
      <c r="P90" s="76">
        <f t="shared" si="19"/>
        <v>0</v>
      </c>
      <c r="Q90" s="76">
        <f t="shared" si="19"/>
        <v>1</v>
      </c>
      <c r="R90" s="76">
        <f t="shared" si="19"/>
        <v>0</v>
      </c>
      <c r="S90" s="76">
        <f t="shared" si="19"/>
        <v>0</v>
      </c>
      <c r="T90" s="76">
        <f t="shared" si="19"/>
        <v>0</v>
      </c>
      <c r="U90" s="76">
        <f t="shared" si="19"/>
        <v>13</v>
      </c>
      <c r="V90" s="76">
        <f t="shared" si="19"/>
        <v>2.7</v>
      </c>
      <c r="W90" s="76">
        <f t="shared" si="19"/>
        <v>99.2</v>
      </c>
      <c r="X90" s="76">
        <f t="shared" si="19"/>
        <v>166</v>
      </c>
      <c r="Y90" s="76">
        <f t="shared" si="19"/>
        <v>174</v>
      </c>
      <c r="Z90" s="76">
        <f t="shared" si="19"/>
        <v>175</v>
      </c>
      <c r="AA90" s="76">
        <f t="shared" si="19"/>
        <v>159</v>
      </c>
      <c r="AB90" s="76">
        <f t="shared" si="19"/>
        <v>152</v>
      </c>
      <c r="AC90" s="76">
        <f t="shared" si="19"/>
        <v>154.4</v>
      </c>
      <c r="AD90" s="76">
        <f t="shared" si="19"/>
        <v>158.9</v>
      </c>
      <c r="AE90" s="76">
        <f t="shared" si="19"/>
        <v>104.5</v>
      </c>
      <c r="AF90" s="76">
        <f t="shared" si="19"/>
        <v>68.8</v>
      </c>
      <c r="AG90" s="86"/>
      <c r="AH90" s="48">
        <f t="shared" si="11"/>
        <v>175</v>
      </c>
      <c r="AI90" s="49">
        <f t="shared" si="12"/>
        <v>0</v>
      </c>
    </row>
    <row r="91" spans="1:37" x14ac:dyDescent="0.25">
      <c r="A91" s="78" t="s">
        <v>71</v>
      </c>
      <c r="B91" s="76">
        <f t="shared" ref="B91:AF91" si="20">IF(B67&lt;0,B67*-1,0)</f>
        <v>0</v>
      </c>
      <c r="C91" s="76">
        <f t="shared" si="20"/>
        <v>0</v>
      </c>
      <c r="D91" s="76">
        <f t="shared" si="20"/>
        <v>0</v>
      </c>
      <c r="E91" s="76">
        <f t="shared" si="20"/>
        <v>0</v>
      </c>
      <c r="F91" s="76">
        <f t="shared" si="20"/>
        <v>0</v>
      </c>
      <c r="G91" s="76">
        <f t="shared" si="20"/>
        <v>0</v>
      </c>
      <c r="H91" s="76">
        <f t="shared" si="20"/>
        <v>0</v>
      </c>
      <c r="I91" s="76">
        <f t="shared" si="20"/>
        <v>0</v>
      </c>
      <c r="J91" s="76">
        <f t="shared" si="20"/>
        <v>0</v>
      </c>
      <c r="K91" s="76">
        <f t="shared" si="20"/>
        <v>0</v>
      </c>
      <c r="L91" s="76">
        <f t="shared" si="20"/>
        <v>0</v>
      </c>
      <c r="M91" s="76">
        <f t="shared" si="20"/>
        <v>0</v>
      </c>
      <c r="N91" s="76">
        <f t="shared" si="20"/>
        <v>0</v>
      </c>
      <c r="O91" s="76">
        <f t="shared" si="20"/>
        <v>0</v>
      </c>
      <c r="P91" s="76">
        <f t="shared" si="20"/>
        <v>0</v>
      </c>
      <c r="Q91" s="76">
        <f t="shared" si="20"/>
        <v>0</v>
      </c>
      <c r="R91" s="76">
        <f t="shared" si="20"/>
        <v>0</v>
      </c>
      <c r="S91" s="76">
        <f t="shared" si="20"/>
        <v>0</v>
      </c>
      <c r="T91" s="76">
        <f t="shared" si="20"/>
        <v>0</v>
      </c>
      <c r="U91" s="76">
        <f t="shared" si="20"/>
        <v>0</v>
      </c>
      <c r="V91" s="76">
        <f t="shared" si="20"/>
        <v>0</v>
      </c>
      <c r="W91" s="76">
        <f t="shared" si="20"/>
        <v>0</v>
      </c>
      <c r="X91" s="76">
        <f t="shared" si="20"/>
        <v>0</v>
      </c>
      <c r="Y91" s="76">
        <f t="shared" si="20"/>
        <v>0</v>
      </c>
      <c r="Z91" s="76">
        <f t="shared" si="20"/>
        <v>0</v>
      </c>
      <c r="AA91" s="76">
        <f t="shared" si="20"/>
        <v>0</v>
      </c>
      <c r="AB91" s="76">
        <f t="shared" si="20"/>
        <v>0</v>
      </c>
      <c r="AC91" s="76">
        <f t="shared" si="20"/>
        <v>0</v>
      </c>
      <c r="AD91" s="76">
        <f t="shared" si="20"/>
        <v>0</v>
      </c>
      <c r="AE91" s="76">
        <f t="shared" si="20"/>
        <v>0</v>
      </c>
      <c r="AF91" s="76">
        <f t="shared" si="20"/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94</v>
      </c>
      <c r="B93" s="61">
        <f t="shared" ref="B93:AF93" si="21">SUM(B87:B92)</f>
        <v>73</v>
      </c>
      <c r="C93" s="61">
        <f t="shared" si="21"/>
        <v>0</v>
      </c>
      <c r="D93" s="61">
        <f t="shared" si="21"/>
        <v>0</v>
      </c>
      <c r="E93" s="61">
        <f t="shared" si="21"/>
        <v>0</v>
      </c>
      <c r="F93" s="61">
        <f t="shared" si="21"/>
        <v>0</v>
      </c>
      <c r="G93" s="61">
        <f t="shared" si="21"/>
        <v>0</v>
      </c>
      <c r="H93" s="61">
        <f t="shared" si="21"/>
        <v>0</v>
      </c>
      <c r="I93" s="61">
        <f t="shared" si="21"/>
        <v>0</v>
      </c>
      <c r="J93" s="61">
        <f t="shared" si="21"/>
        <v>0</v>
      </c>
      <c r="K93" s="61">
        <f t="shared" si="21"/>
        <v>0</v>
      </c>
      <c r="L93" s="61">
        <f t="shared" si="21"/>
        <v>0</v>
      </c>
      <c r="M93" s="61">
        <f t="shared" si="21"/>
        <v>138</v>
      </c>
      <c r="N93" s="61">
        <f t="shared" si="21"/>
        <v>126</v>
      </c>
      <c r="O93" s="61">
        <f t="shared" si="21"/>
        <v>0</v>
      </c>
      <c r="P93" s="61">
        <f t="shared" si="21"/>
        <v>0</v>
      </c>
      <c r="Q93" s="61">
        <f t="shared" si="21"/>
        <v>1</v>
      </c>
      <c r="R93" s="61">
        <f t="shared" si="21"/>
        <v>0</v>
      </c>
      <c r="S93" s="61">
        <f t="shared" si="21"/>
        <v>0</v>
      </c>
      <c r="T93" s="61">
        <f t="shared" si="21"/>
        <v>0</v>
      </c>
      <c r="U93" s="61">
        <f t="shared" si="21"/>
        <v>13</v>
      </c>
      <c r="V93" s="61">
        <f t="shared" si="21"/>
        <v>2.7</v>
      </c>
      <c r="W93" s="61">
        <f t="shared" si="21"/>
        <v>99.2</v>
      </c>
      <c r="X93" s="61">
        <f t="shared" si="21"/>
        <v>166</v>
      </c>
      <c r="Y93" s="61">
        <f t="shared" si="21"/>
        <v>174</v>
      </c>
      <c r="Z93" s="61">
        <f t="shared" si="21"/>
        <v>175</v>
      </c>
      <c r="AA93" s="61">
        <f t="shared" si="21"/>
        <v>159</v>
      </c>
      <c r="AB93" s="61">
        <f t="shared" si="21"/>
        <v>152</v>
      </c>
      <c r="AC93" s="61">
        <f t="shared" si="21"/>
        <v>154.4</v>
      </c>
      <c r="AD93" s="61">
        <f t="shared" si="21"/>
        <v>158.9</v>
      </c>
      <c r="AE93" s="61">
        <f t="shared" si="21"/>
        <v>104.5</v>
      </c>
      <c r="AF93" s="61">
        <f t="shared" si="21"/>
        <v>68.8</v>
      </c>
      <c r="AG93" s="81"/>
      <c r="AH93" s="48">
        <f t="shared" si="11"/>
        <v>175</v>
      </c>
      <c r="AI93" s="49">
        <f t="shared" si="12"/>
        <v>0</v>
      </c>
      <c r="AK93" s="50"/>
    </row>
    <row r="94" spans="1:37" ht="15.75" thickBot="1" x14ac:dyDescent="0.3">
      <c r="A94" s="74" t="s">
        <v>95</v>
      </c>
      <c r="B94" s="61">
        <f t="shared" ref="B94:AF94" si="22">B78-B93</f>
        <v>-73</v>
      </c>
      <c r="C94" s="61">
        <f t="shared" si="22"/>
        <v>0</v>
      </c>
      <c r="D94" s="61">
        <f t="shared" si="22"/>
        <v>0</v>
      </c>
      <c r="E94" s="61">
        <f t="shared" si="22"/>
        <v>0</v>
      </c>
      <c r="F94" s="61">
        <f t="shared" si="22"/>
        <v>0</v>
      </c>
      <c r="G94" s="61">
        <f t="shared" si="22"/>
        <v>0</v>
      </c>
      <c r="H94" s="61">
        <f t="shared" si="22"/>
        <v>17</v>
      </c>
      <c r="I94" s="61">
        <f t="shared" si="22"/>
        <v>17</v>
      </c>
      <c r="J94" s="61">
        <f t="shared" si="22"/>
        <v>17</v>
      </c>
      <c r="K94" s="61">
        <f t="shared" si="22"/>
        <v>24.4</v>
      </c>
      <c r="L94" s="61">
        <f t="shared" si="22"/>
        <v>52.9</v>
      </c>
      <c r="M94" s="61">
        <f t="shared" si="22"/>
        <v>-108.6</v>
      </c>
      <c r="N94" s="61">
        <f t="shared" si="22"/>
        <v>-74</v>
      </c>
      <c r="O94" s="61">
        <f t="shared" si="22"/>
        <v>30.3</v>
      </c>
      <c r="P94" s="61">
        <f t="shared" si="22"/>
        <v>32</v>
      </c>
      <c r="Q94" s="61">
        <f t="shared" si="22"/>
        <v>24</v>
      </c>
      <c r="R94" s="61">
        <f t="shared" si="22"/>
        <v>22</v>
      </c>
      <c r="S94" s="61">
        <f t="shared" si="22"/>
        <v>22</v>
      </c>
      <c r="T94" s="61">
        <f t="shared" si="22"/>
        <v>22.4</v>
      </c>
      <c r="U94" s="61">
        <f t="shared" si="22"/>
        <v>2.5999999999999996</v>
      </c>
      <c r="V94" s="61">
        <f t="shared" si="22"/>
        <v>39.5</v>
      </c>
      <c r="W94" s="61">
        <f t="shared" si="22"/>
        <v>-57.300000000000004</v>
      </c>
      <c r="X94" s="61">
        <f t="shared" si="22"/>
        <v>-127.9</v>
      </c>
      <c r="Y94" s="61">
        <f t="shared" si="22"/>
        <v>-127.5</v>
      </c>
      <c r="Z94" s="61">
        <f t="shared" si="22"/>
        <v>-132.19999999999999</v>
      </c>
      <c r="AA94" s="61">
        <f t="shared" si="22"/>
        <v>-131.4</v>
      </c>
      <c r="AB94" s="61">
        <f t="shared" si="22"/>
        <v>-129.6</v>
      </c>
      <c r="AC94" s="61">
        <f t="shared" si="22"/>
        <v>-140.4</v>
      </c>
      <c r="AD94" s="61">
        <f t="shared" si="22"/>
        <v>-134.80000000000001</v>
      </c>
      <c r="AE94" s="61">
        <f t="shared" si="22"/>
        <v>-104.5</v>
      </c>
      <c r="AF94" s="61">
        <f t="shared" si="22"/>
        <v>-68.8</v>
      </c>
      <c r="AG94" s="81"/>
      <c r="AH94" s="48">
        <f t="shared" si="11"/>
        <v>52.9</v>
      </c>
      <c r="AI94" s="49">
        <f t="shared" si="12"/>
        <v>-140.4</v>
      </c>
    </row>
    <row r="95" spans="1:37" x14ac:dyDescent="0.25">
      <c r="A95" s="88" t="s">
        <v>96</v>
      </c>
      <c r="B95" s="89">
        <v>50.03</v>
      </c>
      <c r="C95" s="89">
        <v>50.03</v>
      </c>
      <c r="D95" s="89">
        <v>50.04</v>
      </c>
      <c r="E95" s="89">
        <v>50.04</v>
      </c>
      <c r="F95" s="89">
        <v>50.04</v>
      </c>
      <c r="G95" s="89">
        <v>50.1</v>
      </c>
      <c r="H95" s="89">
        <v>50.08</v>
      </c>
      <c r="I95" s="89">
        <v>50.1</v>
      </c>
      <c r="J95" s="89">
        <v>50.09</v>
      </c>
      <c r="K95" s="89">
        <v>49.83</v>
      </c>
      <c r="L95" s="89">
        <v>49.7</v>
      </c>
      <c r="M95" s="89">
        <v>49.881</v>
      </c>
      <c r="N95" s="89">
        <v>49.9</v>
      </c>
      <c r="O95" s="89">
        <v>49.825000000000003</v>
      </c>
      <c r="P95" s="89">
        <v>50</v>
      </c>
      <c r="Q95" s="89">
        <v>50.1</v>
      </c>
      <c r="R95" s="89">
        <v>49.95</v>
      </c>
      <c r="S95" s="89">
        <v>49.988</v>
      </c>
      <c r="T95" s="89">
        <v>49.976999999999997</v>
      </c>
      <c r="U95" s="89">
        <v>50.027000000000001</v>
      </c>
      <c r="V95" s="89">
        <v>50.064</v>
      </c>
      <c r="W95" s="89">
        <v>49.969000000000001</v>
      </c>
      <c r="X95" s="89">
        <v>49.970999999999997</v>
      </c>
      <c r="Y95" s="89">
        <v>50.040999999999997</v>
      </c>
      <c r="Z95" s="89">
        <v>50.101999999999997</v>
      </c>
      <c r="AA95" s="89">
        <v>50.045000000000002</v>
      </c>
      <c r="AB95" s="89">
        <v>50.093000000000004</v>
      </c>
      <c r="AC95" s="89">
        <v>50.027999999999999</v>
      </c>
      <c r="AD95" s="89">
        <v>49.924999999999997</v>
      </c>
      <c r="AE95" s="89">
        <v>50.048000000000002</v>
      </c>
      <c r="AF95" s="89">
        <v>50.048999999999999</v>
      </c>
      <c r="AG95" s="90"/>
      <c r="AH95" s="48">
        <f t="shared" si="11"/>
        <v>50.101999999999997</v>
      </c>
      <c r="AI95" s="49">
        <f t="shared" si="12"/>
        <v>49.7</v>
      </c>
    </row>
    <row r="96" spans="1:37" x14ac:dyDescent="0.25">
      <c r="A96" s="91" t="s">
        <v>97</v>
      </c>
      <c r="B96" s="65">
        <v>128</v>
      </c>
      <c r="C96" s="65">
        <v>126</v>
      </c>
      <c r="D96" s="65">
        <v>127.6</v>
      </c>
      <c r="E96" s="65">
        <v>127.6</v>
      </c>
      <c r="F96" s="65">
        <v>127.6</v>
      </c>
      <c r="G96" s="65">
        <v>127.6</v>
      </c>
      <c r="H96" s="65">
        <v>127.6</v>
      </c>
      <c r="I96" s="65">
        <v>124.8</v>
      </c>
      <c r="J96" s="65">
        <v>122.2</v>
      </c>
      <c r="K96" s="65">
        <v>125.2</v>
      </c>
      <c r="L96" s="65">
        <v>123.4</v>
      </c>
      <c r="M96" s="65">
        <v>123.5</v>
      </c>
      <c r="N96" s="65">
        <v>124</v>
      </c>
      <c r="O96" s="65">
        <v>125</v>
      </c>
      <c r="P96" s="65">
        <v>125</v>
      </c>
      <c r="Q96" s="65">
        <v>126</v>
      </c>
      <c r="R96" s="65">
        <v>127</v>
      </c>
      <c r="S96" s="65">
        <v>126.8</v>
      </c>
      <c r="T96" s="65">
        <v>126.3</v>
      </c>
      <c r="U96" s="65">
        <v>126.2</v>
      </c>
      <c r="V96" s="65">
        <v>127</v>
      </c>
      <c r="W96" s="65">
        <v>126.3</v>
      </c>
      <c r="X96" s="65">
        <v>126.3</v>
      </c>
      <c r="Y96" s="65">
        <v>126.8</v>
      </c>
      <c r="Z96" s="65">
        <v>127.2</v>
      </c>
      <c r="AA96" s="65">
        <v>128.1</v>
      </c>
      <c r="AB96" s="65">
        <v>128</v>
      </c>
      <c r="AC96" s="65">
        <v>129.19999999999999</v>
      </c>
      <c r="AD96" s="65">
        <v>129.4</v>
      </c>
      <c r="AE96" s="65">
        <v>130</v>
      </c>
      <c r="AF96" s="65">
        <v>129.19999999999999</v>
      </c>
      <c r="AG96" s="92"/>
      <c r="AH96" s="48">
        <f t="shared" si="11"/>
        <v>130</v>
      </c>
      <c r="AI96" s="49">
        <f t="shared" si="12"/>
        <v>122.2</v>
      </c>
    </row>
    <row r="97" spans="1:35" x14ac:dyDescent="0.25">
      <c r="A97" s="91" t="s">
        <v>98</v>
      </c>
      <c r="B97" s="65">
        <v>131.4</v>
      </c>
      <c r="C97" s="65">
        <v>131.4</v>
      </c>
      <c r="D97" s="65">
        <v>131.6</v>
      </c>
      <c r="E97" s="65">
        <v>131.6</v>
      </c>
      <c r="F97" s="65">
        <v>131.6</v>
      </c>
      <c r="G97" s="65">
        <v>131.6</v>
      </c>
      <c r="H97" s="65">
        <v>131.6</v>
      </c>
      <c r="I97" s="65">
        <v>131.6</v>
      </c>
      <c r="J97" s="65">
        <v>126.4</v>
      </c>
      <c r="K97" s="65">
        <v>128.4</v>
      </c>
      <c r="L97" s="65">
        <v>127</v>
      </c>
      <c r="M97" s="65">
        <v>126.5</v>
      </c>
      <c r="N97" s="65">
        <v>126.5</v>
      </c>
      <c r="O97" s="65">
        <v>128</v>
      </c>
      <c r="P97" s="65">
        <v>127</v>
      </c>
      <c r="Q97" s="65">
        <v>128</v>
      </c>
      <c r="R97" s="65">
        <v>126.5</v>
      </c>
      <c r="S97" s="65">
        <v>129.4</v>
      </c>
      <c r="T97" s="65">
        <v>129.19999999999999</v>
      </c>
      <c r="U97" s="65">
        <v>128.9</v>
      </c>
      <c r="V97" s="65">
        <v>129.19999999999999</v>
      </c>
      <c r="W97" s="65">
        <v>127.9</v>
      </c>
      <c r="X97" s="65">
        <v>127.8</v>
      </c>
      <c r="Y97" s="65">
        <v>128.5</v>
      </c>
      <c r="Z97" s="65">
        <v>128.80000000000001</v>
      </c>
      <c r="AA97" s="65">
        <v>130.19999999999999</v>
      </c>
      <c r="AB97" s="65">
        <v>130</v>
      </c>
      <c r="AC97" s="65">
        <v>131.69999999999999</v>
      </c>
      <c r="AD97" s="65">
        <v>131.80000000000001</v>
      </c>
      <c r="AE97" s="65">
        <v>132.9</v>
      </c>
      <c r="AF97" s="65">
        <v>132.80000000000001</v>
      </c>
      <c r="AG97" s="92"/>
      <c r="AH97" s="48">
        <f t="shared" si="11"/>
        <v>132.9</v>
      </c>
      <c r="AI97" s="49">
        <f t="shared" si="12"/>
        <v>126.4</v>
      </c>
    </row>
    <row r="98" spans="1:35" x14ac:dyDescent="0.25">
      <c r="A98" s="91" t="s">
        <v>99</v>
      </c>
      <c r="B98" s="65">
        <v>131.9</v>
      </c>
      <c r="C98" s="65">
        <v>131.9</v>
      </c>
      <c r="D98" s="65">
        <v>130</v>
      </c>
      <c r="E98" s="65">
        <v>130</v>
      </c>
      <c r="F98" s="65">
        <v>130</v>
      </c>
      <c r="G98" s="65">
        <v>130</v>
      </c>
      <c r="H98" s="65">
        <v>130</v>
      </c>
      <c r="I98" s="65">
        <v>130</v>
      </c>
      <c r="J98" s="65">
        <v>125.9</v>
      </c>
      <c r="K98" s="65">
        <v>131.19999999999999</v>
      </c>
      <c r="L98" s="65">
        <v>126.4</v>
      </c>
      <c r="M98" s="65">
        <v>129.19999999999999</v>
      </c>
      <c r="N98" s="65">
        <v>129.19999999999999</v>
      </c>
      <c r="O98" s="65">
        <v>129.19999999999999</v>
      </c>
      <c r="P98" s="65">
        <v>130</v>
      </c>
      <c r="Q98" s="65">
        <v>131</v>
      </c>
      <c r="R98" s="65">
        <v>132</v>
      </c>
      <c r="S98" s="65">
        <v>128.80000000000001</v>
      </c>
      <c r="T98" s="65">
        <v>127.5</v>
      </c>
      <c r="U98" s="65">
        <v>128.80000000000001</v>
      </c>
      <c r="V98" s="65">
        <v>129.5</v>
      </c>
      <c r="W98" s="65">
        <v>126.7</v>
      </c>
      <c r="X98" s="65">
        <v>129.80000000000001</v>
      </c>
      <c r="Y98" s="65">
        <v>133</v>
      </c>
      <c r="Z98" s="65">
        <v>131.6</v>
      </c>
      <c r="AA98" s="65">
        <v>132.5</v>
      </c>
      <c r="AB98" s="65">
        <v>130</v>
      </c>
      <c r="AC98" s="65">
        <v>131.80000000000001</v>
      </c>
      <c r="AD98" s="65">
        <v>131.80000000000001</v>
      </c>
      <c r="AE98" s="65">
        <v>133.4</v>
      </c>
      <c r="AF98" s="65">
        <v>130.9</v>
      </c>
      <c r="AG98" s="92"/>
      <c r="AH98" s="48">
        <f t="shared" si="11"/>
        <v>133.4</v>
      </c>
      <c r="AI98" s="49">
        <f t="shared" si="12"/>
        <v>125.9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101</v>
      </c>
      <c r="B100" s="94">
        <v>134</v>
      </c>
      <c r="C100" s="94">
        <v>134</v>
      </c>
      <c r="D100" s="94">
        <v>134</v>
      </c>
      <c r="E100" s="94">
        <v>134</v>
      </c>
      <c r="F100" s="94">
        <v>134</v>
      </c>
      <c r="G100" s="94">
        <v>134</v>
      </c>
      <c r="H100" s="94">
        <v>134</v>
      </c>
      <c r="I100" s="94">
        <v>134</v>
      </c>
      <c r="J100" s="94">
        <v>131.19999999999999</v>
      </c>
      <c r="K100" s="94">
        <v>134.19999999999999</v>
      </c>
      <c r="L100" s="94">
        <v>136.4</v>
      </c>
      <c r="M100" s="94">
        <v>130.69999999999999</v>
      </c>
      <c r="N100" s="94">
        <v>130.69999999999999</v>
      </c>
      <c r="O100" s="94">
        <v>134</v>
      </c>
      <c r="P100" s="94">
        <v>133</v>
      </c>
      <c r="Q100" s="94">
        <v>132</v>
      </c>
      <c r="R100" s="94">
        <v>135</v>
      </c>
      <c r="S100" s="94">
        <v>132.19999999999999</v>
      </c>
      <c r="T100" s="94">
        <v>135.30000000000001</v>
      </c>
      <c r="U100" s="94">
        <v>132.19999999999999</v>
      </c>
      <c r="V100" s="94">
        <v>135.69999999999999</v>
      </c>
      <c r="W100" s="94">
        <v>135.80000000000001</v>
      </c>
      <c r="X100" s="94">
        <v>136.4</v>
      </c>
      <c r="Y100" s="94">
        <v>132.19999999999999</v>
      </c>
      <c r="Z100" s="94">
        <v>132.1</v>
      </c>
      <c r="AA100" s="94">
        <v>134.6</v>
      </c>
      <c r="AB100" s="94">
        <v>135.5</v>
      </c>
      <c r="AC100" s="94">
        <v>135.5</v>
      </c>
      <c r="AD100" s="94">
        <v>135.69999999999999</v>
      </c>
      <c r="AE100" s="94">
        <v>135.80000000000001</v>
      </c>
      <c r="AF100" s="94">
        <v>133.80000000000001</v>
      </c>
      <c r="AG100" s="95"/>
      <c r="AH100" s="48">
        <f t="shared" si="11"/>
        <v>136.4</v>
      </c>
      <c r="AI100" s="49">
        <f t="shared" si="12"/>
        <v>130.69999999999999</v>
      </c>
    </row>
    <row r="101" spans="1:35" x14ac:dyDescent="0.25">
      <c r="A101" s="91" t="s">
        <v>102</v>
      </c>
      <c r="B101" s="65">
        <v>133.9</v>
      </c>
      <c r="C101" s="65">
        <v>133.9</v>
      </c>
      <c r="D101" s="65">
        <v>131.5</v>
      </c>
      <c r="E101" s="65">
        <v>131.5</v>
      </c>
      <c r="F101" s="65">
        <v>131.5</v>
      </c>
      <c r="G101" s="65">
        <v>131.5</v>
      </c>
      <c r="H101" s="65">
        <v>131.5</v>
      </c>
      <c r="I101" s="65">
        <v>131.5</v>
      </c>
      <c r="J101" s="65">
        <v>122.2</v>
      </c>
      <c r="K101" s="65">
        <v>130.19999999999999</v>
      </c>
      <c r="L101" s="65">
        <v>126.6</v>
      </c>
      <c r="M101" s="65">
        <v>134.1</v>
      </c>
      <c r="N101" s="65">
        <v>134.1</v>
      </c>
      <c r="O101" s="65">
        <v>131</v>
      </c>
      <c r="P101" s="65">
        <v>132</v>
      </c>
      <c r="Q101" s="65">
        <v>130</v>
      </c>
      <c r="R101" s="65">
        <v>133</v>
      </c>
      <c r="S101" s="65">
        <v>129.30000000000001</v>
      </c>
      <c r="T101" s="65">
        <v>131.9</v>
      </c>
      <c r="U101" s="65">
        <v>129.19999999999999</v>
      </c>
      <c r="V101" s="65">
        <v>130.4</v>
      </c>
      <c r="W101" s="65">
        <v>126.9</v>
      </c>
      <c r="X101" s="65">
        <v>129.5</v>
      </c>
      <c r="Y101" s="65">
        <v>134.5</v>
      </c>
      <c r="Z101" s="65">
        <v>130.69999999999999</v>
      </c>
      <c r="AA101" s="65">
        <v>134</v>
      </c>
      <c r="AB101" s="65">
        <v>130</v>
      </c>
      <c r="AC101" s="65">
        <v>135.19999999999999</v>
      </c>
      <c r="AD101" s="65">
        <v>135.5</v>
      </c>
      <c r="AE101" s="65">
        <v>135.4</v>
      </c>
      <c r="AF101" s="65">
        <v>134.6</v>
      </c>
      <c r="AG101" s="92"/>
      <c r="AH101" s="48">
        <f t="shared" si="11"/>
        <v>135.5</v>
      </c>
      <c r="AI101" s="49">
        <f t="shared" si="12"/>
        <v>122.2</v>
      </c>
    </row>
    <row r="102" spans="1:35" ht="15.75" thickBot="1" x14ac:dyDescent="0.3">
      <c r="A102" s="91" t="s">
        <v>104</v>
      </c>
      <c r="B102" s="96">
        <v>66</v>
      </c>
      <c r="C102" s="96">
        <v>65.5</v>
      </c>
      <c r="D102" s="96">
        <v>65.900000000000006</v>
      </c>
      <c r="E102" s="96">
        <v>65.900000000000006</v>
      </c>
      <c r="F102" s="96">
        <v>65.900000000000006</v>
      </c>
      <c r="G102" s="96">
        <v>65.900000000000006</v>
      </c>
      <c r="H102" s="96">
        <v>65.900000000000006</v>
      </c>
      <c r="I102" s="96">
        <v>65.900000000000006</v>
      </c>
      <c r="J102" s="96">
        <v>63.4</v>
      </c>
      <c r="K102" s="96">
        <v>64.5</v>
      </c>
      <c r="L102" s="96">
        <v>64.099999999999994</v>
      </c>
      <c r="M102" s="96">
        <v>63.5</v>
      </c>
      <c r="N102" s="96">
        <v>63.5</v>
      </c>
      <c r="O102" s="96">
        <v>63.5</v>
      </c>
      <c r="P102" s="96">
        <v>64.5</v>
      </c>
      <c r="Q102" s="96">
        <v>64.599999999999994</v>
      </c>
      <c r="R102" s="96">
        <v>64.7</v>
      </c>
      <c r="S102" s="96">
        <v>65.099999999999994</v>
      </c>
      <c r="T102" s="96">
        <v>64.8</v>
      </c>
      <c r="U102" s="96">
        <v>64.5</v>
      </c>
      <c r="V102" s="96">
        <v>64.400000000000006</v>
      </c>
      <c r="W102" s="96">
        <v>63.7</v>
      </c>
      <c r="X102" s="96">
        <v>63.9</v>
      </c>
      <c r="Y102" s="96">
        <v>64.3</v>
      </c>
      <c r="Z102" s="96">
        <v>64.599999999999994</v>
      </c>
      <c r="AA102" s="96">
        <v>65.2</v>
      </c>
      <c r="AB102" s="96">
        <v>65.400000000000006</v>
      </c>
      <c r="AC102" s="96">
        <v>66.099999999999994</v>
      </c>
      <c r="AD102" s="96">
        <v>65.8</v>
      </c>
      <c r="AE102" s="96">
        <v>66.7</v>
      </c>
      <c r="AF102" s="96">
        <v>66.8</v>
      </c>
      <c r="AG102" s="97"/>
      <c r="AH102" s="48">
        <f t="shared" si="11"/>
        <v>66.8</v>
      </c>
      <c r="AI102" s="49">
        <f t="shared" si="12"/>
        <v>63.4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105</v>
      </c>
      <c r="B104" s="100">
        <f t="shared" ref="B104:AF104" si="23">SUM(B16,B22,B25:B26,B52,B54:B55,B57,B59,B105:B109,B131,B137,B143,B152,B154,B166,B173,B176:B177,B184,B186,B188,B192:B194,B196:B198,B203,B209:B210,B212:B214,B222,B227)</f>
        <v>93.300000000000011</v>
      </c>
      <c r="C104" s="100">
        <f>SUM(C16,C22,C25:C26,C52,C54:C55,C57,C59,C105:C109,C131,C137,C143,C152,C154,C166,C173,C176:C177,C184,C186,C188,C192:C194,C196:C198,C203,C209:C210,C212:C214,C222,C227)</f>
        <v>82.240000000000009</v>
      </c>
      <c r="D104" s="100">
        <f>SUM(D16,D22,D25:D26,D52,D54:D55,D57,D59,D105:D109,D131,D137,D143,D152,D154,D166,D173,D176:D177,D184,D186,D188,D192:D194,D196:D198,D203,D209:D210,D212:D214,D222,D227)</f>
        <v>74.740000000000009</v>
      </c>
      <c r="E104" s="100">
        <f t="shared" si="23"/>
        <v>74.740000000000009</v>
      </c>
      <c r="F104" s="100">
        <f t="shared" si="23"/>
        <v>73.64</v>
      </c>
      <c r="G104" s="100">
        <f t="shared" si="23"/>
        <v>73.64</v>
      </c>
      <c r="H104" s="100">
        <f t="shared" si="23"/>
        <v>73.64</v>
      </c>
      <c r="I104" s="100">
        <f t="shared" si="23"/>
        <v>73.64</v>
      </c>
      <c r="J104" s="100">
        <f t="shared" si="23"/>
        <v>214.54000000000002</v>
      </c>
      <c r="K104" s="100">
        <f t="shared" si="23"/>
        <v>269.94</v>
      </c>
      <c r="L104" s="100">
        <f t="shared" si="23"/>
        <v>265.33999999999997</v>
      </c>
      <c r="M104" s="100">
        <f t="shared" si="23"/>
        <v>259.83999999999997</v>
      </c>
      <c r="N104" s="100">
        <f t="shared" si="23"/>
        <v>250.83999999999997</v>
      </c>
      <c r="O104" s="100">
        <f t="shared" si="23"/>
        <v>249.83999999999997</v>
      </c>
      <c r="P104" s="100">
        <f t="shared" si="23"/>
        <v>226.83999999999997</v>
      </c>
      <c r="Q104" s="100">
        <f t="shared" si="23"/>
        <v>217.89999999999998</v>
      </c>
      <c r="R104" s="100">
        <f t="shared" si="23"/>
        <v>208.7</v>
      </c>
      <c r="S104" s="100">
        <f t="shared" si="23"/>
        <v>234.49999999999997</v>
      </c>
      <c r="T104" s="100">
        <f t="shared" si="23"/>
        <v>239</v>
      </c>
      <c r="U104" s="100">
        <f t="shared" si="23"/>
        <v>255.49999999999997</v>
      </c>
      <c r="V104" s="100">
        <f t="shared" si="23"/>
        <v>272.39999999999998</v>
      </c>
      <c r="W104" s="100">
        <f t="shared" si="23"/>
        <v>328.5</v>
      </c>
      <c r="X104" s="100">
        <f t="shared" si="23"/>
        <v>355.20000000000005</v>
      </c>
      <c r="Y104" s="100">
        <f t="shared" si="23"/>
        <v>338.2</v>
      </c>
      <c r="Z104" s="100">
        <f t="shared" si="23"/>
        <v>329.9</v>
      </c>
      <c r="AA104" s="100">
        <f t="shared" si="23"/>
        <v>311.39999999999998</v>
      </c>
      <c r="AB104" s="100">
        <f t="shared" si="23"/>
        <v>285.8</v>
      </c>
      <c r="AC104" s="100">
        <f t="shared" si="23"/>
        <v>208.49999999999997</v>
      </c>
      <c r="AD104" s="100">
        <f t="shared" si="23"/>
        <v>199.29999999999995</v>
      </c>
      <c r="AE104" s="100">
        <f t="shared" si="23"/>
        <v>135.6</v>
      </c>
      <c r="AF104" s="100">
        <f t="shared" si="23"/>
        <v>83.1</v>
      </c>
      <c r="AG104" s="101"/>
      <c r="AH104" s="48">
        <f t="shared" si="11"/>
        <v>355.20000000000005</v>
      </c>
      <c r="AI104" s="49">
        <f t="shared" si="12"/>
        <v>73.64</v>
      </c>
    </row>
    <row r="105" spans="1:35" x14ac:dyDescent="0.25">
      <c r="A105" s="88" t="s">
        <v>106</v>
      </c>
      <c r="B105" s="102">
        <v>27</v>
      </c>
      <c r="C105" s="102">
        <v>25</v>
      </c>
      <c r="D105" s="102">
        <v>19</v>
      </c>
      <c r="E105" s="102">
        <v>19</v>
      </c>
      <c r="F105" s="102">
        <v>13.4</v>
      </c>
      <c r="G105" s="102">
        <v>13.4</v>
      </c>
      <c r="H105" s="102">
        <v>13.4</v>
      </c>
      <c r="I105" s="102">
        <v>13.4</v>
      </c>
      <c r="J105" s="102">
        <v>41.4</v>
      </c>
      <c r="K105" s="102">
        <v>42.9</v>
      </c>
      <c r="L105" s="102">
        <v>45.8</v>
      </c>
      <c r="M105" s="102">
        <v>41.8</v>
      </c>
      <c r="N105" s="102">
        <v>43</v>
      </c>
      <c r="O105" s="102">
        <v>42</v>
      </c>
      <c r="P105" s="102">
        <v>41</v>
      </c>
      <c r="Q105" s="102">
        <v>40</v>
      </c>
      <c r="R105" s="102">
        <v>37.6</v>
      </c>
      <c r="S105" s="102">
        <v>58</v>
      </c>
      <c r="T105" s="102">
        <v>41.9</v>
      </c>
      <c r="U105" s="102">
        <v>44.2</v>
      </c>
      <c r="V105" s="102">
        <v>55.6</v>
      </c>
      <c r="W105" s="102">
        <v>56.1</v>
      </c>
      <c r="X105" s="102">
        <v>51.7</v>
      </c>
      <c r="Y105" s="102">
        <v>51.4</v>
      </c>
      <c r="Z105" s="102">
        <v>54.4</v>
      </c>
      <c r="AA105" s="102">
        <v>56.9</v>
      </c>
      <c r="AB105" s="102">
        <v>64.099999999999994</v>
      </c>
      <c r="AC105" s="102">
        <v>50.4</v>
      </c>
      <c r="AD105" s="102">
        <v>48.2</v>
      </c>
      <c r="AE105" s="102">
        <v>27</v>
      </c>
      <c r="AF105" s="102">
        <v>23.2</v>
      </c>
      <c r="AG105" s="103">
        <v>75</v>
      </c>
      <c r="AH105" s="48">
        <f t="shared" si="11"/>
        <v>64.099999999999994</v>
      </c>
      <c r="AI105" s="49">
        <f t="shared" si="12"/>
        <v>13.4</v>
      </c>
    </row>
    <row r="106" spans="1:35" x14ac:dyDescent="0.25">
      <c r="A106" s="91" t="s">
        <v>107</v>
      </c>
      <c r="B106" s="104">
        <v>48</v>
      </c>
      <c r="C106" s="104">
        <v>41</v>
      </c>
      <c r="D106" s="104">
        <v>35</v>
      </c>
      <c r="E106" s="104">
        <v>35</v>
      </c>
      <c r="F106" s="104">
        <v>28.7</v>
      </c>
      <c r="G106" s="104">
        <v>28.7</v>
      </c>
      <c r="H106" s="104">
        <v>28.7</v>
      </c>
      <c r="I106" s="104">
        <v>28.7</v>
      </c>
      <c r="J106" s="104">
        <v>63.9</v>
      </c>
      <c r="K106" s="104">
        <v>64.099999999999994</v>
      </c>
      <c r="L106" s="104">
        <v>66.8</v>
      </c>
      <c r="M106" s="104">
        <v>62</v>
      </c>
      <c r="N106" s="104">
        <v>60</v>
      </c>
      <c r="O106" s="104">
        <v>61</v>
      </c>
      <c r="P106" s="104">
        <v>62</v>
      </c>
      <c r="Q106" s="104">
        <v>58</v>
      </c>
      <c r="R106" s="104">
        <v>56.2</v>
      </c>
      <c r="S106" s="104">
        <v>59</v>
      </c>
      <c r="T106" s="104">
        <v>64.2</v>
      </c>
      <c r="U106" s="104">
        <v>68</v>
      </c>
      <c r="V106" s="104">
        <v>79.2</v>
      </c>
      <c r="W106" s="104">
        <v>78</v>
      </c>
      <c r="X106" s="104">
        <v>71.400000000000006</v>
      </c>
      <c r="Y106" s="104">
        <v>71.099999999999994</v>
      </c>
      <c r="Z106" s="104">
        <v>75.5</v>
      </c>
      <c r="AA106" s="104">
        <v>79.2</v>
      </c>
      <c r="AB106" s="104">
        <v>91</v>
      </c>
      <c r="AC106" s="104">
        <v>73.900000000000006</v>
      </c>
      <c r="AD106" s="104">
        <v>70.7</v>
      </c>
      <c r="AE106" s="104">
        <v>40.5</v>
      </c>
      <c r="AF106" s="104">
        <v>41.7</v>
      </c>
      <c r="AG106" s="103">
        <v>240</v>
      </c>
      <c r="AH106" s="48">
        <f t="shared" si="11"/>
        <v>91</v>
      </c>
      <c r="AI106" s="49">
        <f t="shared" si="12"/>
        <v>28.7</v>
      </c>
    </row>
    <row r="107" spans="1:35" x14ac:dyDescent="0.25">
      <c r="A107" s="91" t="s">
        <v>108</v>
      </c>
      <c r="B107" s="104">
        <v>-118</v>
      </c>
      <c r="C107" s="104">
        <v>-120</v>
      </c>
      <c r="D107" s="104">
        <v>-115</v>
      </c>
      <c r="E107" s="104">
        <v>-115</v>
      </c>
      <c r="F107" s="104">
        <f>-50.1-54.1</f>
        <v>-104.2</v>
      </c>
      <c r="G107" s="104">
        <f t="shared" ref="G107:I107" si="24">-50.1-54.1</f>
        <v>-104.2</v>
      </c>
      <c r="H107" s="104">
        <f t="shared" si="24"/>
        <v>-104.2</v>
      </c>
      <c r="I107" s="104">
        <f t="shared" si="24"/>
        <v>-104.2</v>
      </c>
      <c r="J107" s="104">
        <f>-19.2-21.2</f>
        <v>-40.4</v>
      </c>
      <c r="K107" s="104">
        <f>-4.2-4.7</f>
        <v>-8.9</v>
      </c>
      <c r="L107" s="104">
        <f>-36.6-6.3</f>
        <v>-42.9</v>
      </c>
      <c r="M107" s="104">
        <v>-42</v>
      </c>
      <c r="N107" s="104">
        <v>-48</v>
      </c>
      <c r="O107" s="104">
        <v>-50</v>
      </c>
      <c r="P107" s="104">
        <v>-52</v>
      </c>
      <c r="Q107" s="104">
        <v>-56</v>
      </c>
      <c r="R107" s="104">
        <v>-59.7</v>
      </c>
      <c r="S107" s="104">
        <v>-76</v>
      </c>
      <c r="T107" s="104">
        <f>-22-33</f>
        <v>-55</v>
      </c>
      <c r="U107" s="104">
        <f>-23-34</f>
        <v>-57</v>
      </c>
      <c r="V107" s="104">
        <f>-19-27</f>
        <v>-46</v>
      </c>
      <c r="W107" s="104">
        <f>0.7-8.6</f>
        <v>-7.8999999999999995</v>
      </c>
      <c r="X107" s="104">
        <v>24.6</v>
      </c>
      <c r="Y107" s="104">
        <f>8.6+1.1</f>
        <v>9.6999999999999993</v>
      </c>
      <c r="Z107" s="104">
        <f>2.1-6.3</f>
        <v>-4.1999999999999993</v>
      </c>
      <c r="AA107" s="104">
        <f>-7-18</f>
        <v>-25</v>
      </c>
      <c r="AB107" s="104">
        <v>-61</v>
      </c>
      <c r="AC107" s="104">
        <v>-107.3</v>
      </c>
      <c r="AD107" s="104">
        <v>-109</v>
      </c>
      <c r="AE107" s="104">
        <v>-109</v>
      </c>
      <c r="AF107" s="104">
        <v>-136</v>
      </c>
      <c r="AG107" s="103">
        <v>240</v>
      </c>
      <c r="AH107" s="48">
        <f t="shared" si="11"/>
        <v>24.6</v>
      </c>
      <c r="AI107" s="49">
        <f t="shared" si="12"/>
        <v>-136</v>
      </c>
    </row>
    <row r="108" spans="1:35" x14ac:dyDescent="0.25">
      <c r="A108" s="91" t="s">
        <v>109</v>
      </c>
      <c r="B108" s="104">
        <v>-8</v>
      </c>
      <c r="C108" s="104">
        <v>-9</v>
      </c>
      <c r="D108" s="104">
        <v>-9.5</v>
      </c>
      <c r="E108" s="104">
        <v>-9.5</v>
      </c>
      <c r="F108" s="104">
        <v>-9.5</v>
      </c>
      <c r="G108" s="104">
        <v>-9.5</v>
      </c>
      <c r="H108" s="104">
        <v>-9.5</v>
      </c>
      <c r="I108" s="104">
        <v>-9.5</v>
      </c>
      <c r="J108" s="104">
        <v>4.8</v>
      </c>
      <c r="K108" s="104">
        <v>27</v>
      </c>
      <c r="L108" s="104">
        <v>50.8</v>
      </c>
      <c r="M108" s="104">
        <v>48.2</v>
      </c>
      <c r="N108" s="104">
        <v>46</v>
      </c>
      <c r="O108" s="104">
        <v>44</v>
      </c>
      <c r="P108" s="104">
        <v>23</v>
      </c>
      <c r="Q108" s="104">
        <v>24</v>
      </c>
      <c r="R108" s="104">
        <v>22.7</v>
      </c>
      <c r="S108" s="104">
        <v>41.6</v>
      </c>
      <c r="T108" s="104">
        <v>36</v>
      </c>
      <c r="U108" s="104">
        <v>48.4</v>
      </c>
      <c r="V108" s="104">
        <v>39.700000000000003</v>
      </c>
      <c r="W108" s="104">
        <v>58.4</v>
      </c>
      <c r="X108" s="104">
        <v>63.6</v>
      </c>
      <c r="Y108" s="104">
        <v>62.1</v>
      </c>
      <c r="Z108" s="104">
        <v>60.3</v>
      </c>
      <c r="AA108" s="104">
        <v>56.4</v>
      </c>
      <c r="AB108" s="104">
        <v>47.3</v>
      </c>
      <c r="AC108" s="104">
        <v>47.1</v>
      </c>
      <c r="AD108" s="104">
        <v>45</v>
      </c>
      <c r="AE108" s="104">
        <v>33</v>
      </c>
      <c r="AF108" s="104">
        <v>10.1</v>
      </c>
      <c r="AG108" s="103">
        <v>60</v>
      </c>
      <c r="AH108" s="48">
        <f t="shared" si="11"/>
        <v>63.6</v>
      </c>
      <c r="AI108" s="49">
        <f t="shared" si="12"/>
        <v>-9.5</v>
      </c>
    </row>
    <row r="109" spans="1:35" x14ac:dyDescent="0.25">
      <c r="A109" s="105" t="s">
        <v>110</v>
      </c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>
        <v>0</v>
      </c>
      <c r="Y109" s="106">
        <v>0</v>
      </c>
      <c r="Z109" s="106">
        <v>0</v>
      </c>
      <c r="AA109" s="106">
        <v>0</v>
      </c>
      <c r="AB109" s="106">
        <v>0</v>
      </c>
      <c r="AC109" s="106">
        <v>0</v>
      </c>
      <c r="AD109" s="106">
        <v>0</v>
      </c>
      <c r="AE109" s="106">
        <v>0</v>
      </c>
      <c r="AF109" s="106">
        <v>0</v>
      </c>
      <c r="AG109" s="107">
        <v>120</v>
      </c>
      <c r="AH109" s="48">
        <f t="shared" si="11"/>
        <v>0</v>
      </c>
      <c r="AI109" s="49">
        <f t="shared" si="12"/>
        <v>0</v>
      </c>
    </row>
    <row r="110" spans="1:35" x14ac:dyDescent="0.25">
      <c r="A110" s="105" t="s">
        <v>111</v>
      </c>
      <c r="B110" s="106">
        <v>13</v>
      </c>
      <c r="C110" s="106">
        <v>22</v>
      </c>
      <c r="D110" s="106">
        <v>20</v>
      </c>
      <c r="E110" s="106">
        <v>20</v>
      </c>
      <c r="F110" s="106">
        <v>44</v>
      </c>
      <c r="G110" s="106">
        <v>44</v>
      </c>
      <c r="H110" s="106">
        <v>44</v>
      </c>
      <c r="I110" s="106">
        <v>44</v>
      </c>
      <c r="J110" s="106">
        <v>82.1</v>
      </c>
      <c r="K110" s="106">
        <v>98.9</v>
      </c>
      <c r="L110" s="106">
        <v>77.5</v>
      </c>
      <c r="M110" s="106">
        <v>88.7</v>
      </c>
      <c r="N110" s="106">
        <v>88</v>
      </c>
      <c r="O110" s="106">
        <v>75</v>
      </c>
      <c r="P110" s="106">
        <v>72</v>
      </c>
      <c r="Q110" s="106">
        <v>73</v>
      </c>
      <c r="R110" s="106">
        <v>52.9</v>
      </c>
      <c r="S110" s="106">
        <v>14</v>
      </c>
      <c r="T110" s="106">
        <v>31</v>
      </c>
      <c r="U110" s="106">
        <v>23</v>
      </c>
      <c r="V110" s="106">
        <v>20.8</v>
      </c>
      <c r="W110" s="106">
        <v>40</v>
      </c>
      <c r="X110" s="106">
        <v>40</v>
      </c>
      <c r="Y110" s="106">
        <v>53.2</v>
      </c>
      <c r="Z110" s="106">
        <v>44</v>
      </c>
      <c r="AA110" s="106">
        <v>19.100000000000001</v>
      </c>
      <c r="AB110" s="106">
        <v>-12.8</v>
      </c>
      <c r="AC110" s="106">
        <v>-12.6</v>
      </c>
      <c r="AD110" s="106">
        <v>-11.1</v>
      </c>
      <c r="AE110" s="106">
        <v>0</v>
      </c>
      <c r="AF110" s="106">
        <v>1.9</v>
      </c>
      <c r="AG110" s="107"/>
      <c r="AH110" s="48">
        <f t="shared" si="11"/>
        <v>98.9</v>
      </c>
      <c r="AI110" s="49">
        <f t="shared" si="12"/>
        <v>-12.8</v>
      </c>
    </row>
    <row r="111" spans="1:35" x14ac:dyDescent="0.25">
      <c r="A111" s="105" t="s">
        <v>112</v>
      </c>
      <c r="B111" s="106">
        <v>39</v>
      </c>
      <c r="C111" s="106">
        <v>37</v>
      </c>
      <c r="D111" s="106">
        <v>32</v>
      </c>
      <c r="E111" s="106">
        <v>32</v>
      </c>
      <c r="F111" s="106">
        <v>52.5</v>
      </c>
      <c r="G111" s="106">
        <v>52.5</v>
      </c>
      <c r="H111" s="106">
        <v>52.5</v>
      </c>
      <c r="I111" s="106">
        <v>52.5</v>
      </c>
      <c r="J111" s="106">
        <v>22.8</v>
      </c>
      <c r="K111" s="106">
        <v>30</v>
      </c>
      <c r="L111" s="106">
        <v>14.8</v>
      </c>
      <c r="M111" s="106">
        <v>24.1</v>
      </c>
      <c r="N111" s="106">
        <v>25</v>
      </c>
      <c r="O111" s="106">
        <v>18</v>
      </c>
      <c r="P111" s="106">
        <v>18</v>
      </c>
      <c r="Q111" s="106">
        <v>17.7</v>
      </c>
      <c r="R111" s="106">
        <v>17.7</v>
      </c>
      <c r="S111" s="106">
        <v>12.7</v>
      </c>
      <c r="T111" s="106">
        <v>18</v>
      </c>
      <c r="U111" s="106">
        <v>18</v>
      </c>
      <c r="V111" s="106">
        <v>-7.4</v>
      </c>
      <c r="W111" s="106">
        <v>-3.5</v>
      </c>
      <c r="X111" s="106">
        <v>-3.5</v>
      </c>
      <c r="Y111" s="106">
        <v>13.9</v>
      </c>
      <c r="Z111" s="106">
        <v>6.1</v>
      </c>
      <c r="AA111" s="106">
        <v>-4.7</v>
      </c>
      <c r="AB111" s="106">
        <v>-21</v>
      </c>
      <c r="AC111" s="106">
        <v>11.7</v>
      </c>
      <c r="AD111" s="106">
        <v>12.6</v>
      </c>
      <c r="AE111" s="106">
        <v>28.5</v>
      </c>
      <c r="AF111" s="106">
        <v>32.799999999999997</v>
      </c>
      <c r="AG111" s="108"/>
      <c r="AH111" s="48">
        <f t="shared" si="11"/>
        <v>52.5</v>
      </c>
      <c r="AI111" s="49">
        <f t="shared" si="12"/>
        <v>-21</v>
      </c>
    </row>
    <row r="112" spans="1:35" x14ac:dyDescent="0.25">
      <c r="A112" s="109" t="s">
        <v>113</v>
      </c>
      <c r="B112" s="94">
        <v>40</v>
      </c>
      <c r="C112" s="94">
        <v>38</v>
      </c>
      <c r="D112" s="94">
        <v>40</v>
      </c>
      <c r="E112" s="94">
        <v>40</v>
      </c>
      <c r="F112" s="94">
        <v>45.3</v>
      </c>
      <c r="G112" s="94">
        <v>45.3</v>
      </c>
      <c r="H112" s="94">
        <v>45.3</v>
      </c>
      <c r="I112" s="94">
        <v>45.3</v>
      </c>
      <c r="J112" s="94">
        <v>29</v>
      </c>
      <c r="K112" s="94">
        <v>22.1</v>
      </c>
      <c r="L112" s="94">
        <v>16.7</v>
      </c>
      <c r="M112" s="94">
        <v>17</v>
      </c>
      <c r="N112" s="94">
        <v>19</v>
      </c>
      <c r="O112" s="94">
        <v>20</v>
      </c>
      <c r="P112" s="94">
        <v>25</v>
      </c>
      <c r="Q112" s="94">
        <v>26</v>
      </c>
      <c r="R112" s="94">
        <v>30.6</v>
      </c>
      <c r="S112" s="94">
        <v>29.4</v>
      </c>
      <c r="T112" s="94">
        <v>28.4</v>
      </c>
      <c r="U112" s="94">
        <v>26</v>
      </c>
      <c r="V112" s="94">
        <v>10.3</v>
      </c>
      <c r="W112" s="94">
        <v>0</v>
      </c>
      <c r="X112" s="94">
        <v>0</v>
      </c>
      <c r="Y112" s="94">
        <v>10.9</v>
      </c>
      <c r="Z112" s="94">
        <v>16.600000000000001</v>
      </c>
      <c r="AA112" s="94">
        <v>23.1</v>
      </c>
      <c r="AB112" s="94">
        <v>30</v>
      </c>
      <c r="AC112" s="94">
        <v>34</v>
      </c>
      <c r="AD112" s="94">
        <v>34.799999999999997</v>
      </c>
      <c r="AE112" s="94">
        <v>38.200000000000003</v>
      </c>
      <c r="AF112" s="94">
        <v>44.5</v>
      </c>
      <c r="AG112" s="108"/>
      <c r="AH112" s="48">
        <f t="shared" si="11"/>
        <v>45.3</v>
      </c>
      <c r="AI112" s="49">
        <f t="shared" si="12"/>
        <v>0</v>
      </c>
    </row>
    <row r="113" spans="1:37" ht="15.75" thickBot="1" x14ac:dyDescent="0.3">
      <c r="A113" s="109" t="s">
        <v>114</v>
      </c>
      <c r="B113" s="94">
        <v>80</v>
      </c>
      <c r="C113" s="94">
        <v>84</v>
      </c>
      <c r="D113" s="94">
        <v>80</v>
      </c>
      <c r="E113" s="94">
        <v>80</v>
      </c>
      <c r="F113" s="94">
        <v>63.8</v>
      </c>
      <c r="G113" s="94">
        <v>63.8</v>
      </c>
      <c r="H113" s="94">
        <v>63.8</v>
      </c>
      <c r="I113" s="94">
        <v>63.8</v>
      </c>
      <c r="J113" s="94">
        <v>27.5</v>
      </c>
      <c r="K113" s="94">
        <v>13.2</v>
      </c>
      <c r="L113" s="94">
        <v>39.200000000000003</v>
      </c>
      <c r="M113" s="94">
        <v>29.6</v>
      </c>
      <c r="N113" s="94">
        <v>32</v>
      </c>
      <c r="O113" s="94">
        <v>34</v>
      </c>
      <c r="P113" s="94">
        <v>36</v>
      </c>
      <c r="Q113" s="94">
        <v>39</v>
      </c>
      <c r="R113" s="94">
        <v>41.1</v>
      </c>
      <c r="S113" s="94">
        <v>82.1</v>
      </c>
      <c r="T113" s="94">
        <v>65</v>
      </c>
      <c r="U113" s="94">
        <v>72</v>
      </c>
      <c r="V113" s="94">
        <v>65.2</v>
      </c>
      <c r="W113" s="94">
        <v>41.2</v>
      </c>
      <c r="X113" s="94">
        <v>41.2</v>
      </c>
      <c r="Y113" s="94">
        <v>27.5</v>
      </c>
      <c r="Z113" s="94">
        <v>39.4</v>
      </c>
      <c r="AA113" s="94">
        <v>56</v>
      </c>
      <c r="AB113" s="94">
        <v>82.8</v>
      </c>
      <c r="AC113" s="94">
        <v>82.8</v>
      </c>
      <c r="AD113" s="94">
        <v>83</v>
      </c>
      <c r="AE113" s="94">
        <v>75.599999999999994</v>
      </c>
      <c r="AF113" s="94">
        <v>91.4</v>
      </c>
      <c r="AG113" s="108"/>
      <c r="AH113" s="48">
        <f t="shared" si="11"/>
        <v>91.4</v>
      </c>
      <c r="AI113" s="49">
        <f t="shared" si="12"/>
        <v>13.2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5">SUM(B115:B219)</f>
        <v>0</v>
      </c>
      <c r="C220" s="125">
        <f t="shared" si="25"/>
        <v>0</v>
      </c>
      <c r="D220" s="125">
        <f t="shared" si="25"/>
        <v>0</v>
      </c>
      <c r="E220" s="125">
        <f t="shared" si="25"/>
        <v>0</v>
      </c>
      <c r="F220" s="125">
        <f t="shared" si="25"/>
        <v>0</v>
      </c>
      <c r="G220" s="125">
        <f t="shared" si="25"/>
        <v>0</v>
      </c>
      <c r="H220" s="125">
        <f t="shared" si="25"/>
        <v>0</v>
      </c>
      <c r="I220" s="125">
        <f t="shared" si="25"/>
        <v>0</v>
      </c>
      <c r="J220" s="125">
        <f t="shared" si="25"/>
        <v>0</v>
      </c>
      <c r="K220" s="125">
        <f t="shared" si="25"/>
        <v>0</v>
      </c>
      <c r="L220" s="125">
        <f t="shared" si="25"/>
        <v>0</v>
      </c>
      <c r="M220" s="125">
        <f t="shared" si="25"/>
        <v>0</v>
      </c>
      <c r="N220" s="125">
        <f t="shared" si="25"/>
        <v>0</v>
      </c>
      <c r="O220" s="125">
        <f t="shared" si="25"/>
        <v>0</v>
      </c>
      <c r="P220" s="125">
        <f t="shared" si="25"/>
        <v>0</v>
      </c>
      <c r="Q220" s="125">
        <f t="shared" si="25"/>
        <v>0</v>
      </c>
      <c r="R220" s="125">
        <f t="shared" si="25"/>
        <v>0</v>
      </c>
      <c r="S220" s="125">
        <f t="shared" si="25"/>
        <v>0</v>
      </c>
      <c r="T220" s="125">
        <f t="shared" si="25"/>
        <v>0</v>
      </c>
      <c r="U220" s="125">
        <f t="shared" si="25"/>
        <v>0</v>
      </c>
      <c r="V220" s="125">
        <f t="shared" si="25"/>
        <v>0</v>
      </c>
      <c r="W220" s="125">
        <f t="shared" si="25"/>
        <v>0</v>
      </c>
      <c r="X220" s="125">
        <f t="shared" si="25"/>
        <v>0</v>
      </c>
      <c r="Y220" s="125">
        <f t="shared" si="25"/>
        <v>0</v>
      </c>
      <c r="Z220" s="125">
        <f t="shared" si="25"/>
        <v>0</v>
      </c>
      <c r="AA220" s="125">
        <f t="shared" si="25"/>
        <v>0</v>
      </c>
      <c r="AB220" s="125">
        <f t="shared" si="25"/>
        <v>0</v>
      </c>
      <c r="AC220" s="125">
        <f t="shared" si="25"/>
        <v>0</v>
      </c>
      <c r="AD220" s="125">
        <f t="shared" si="25"/>
        <v>0</v>
      </c>
      <c r="AE220" s="125">
        <f t="shared" si="25"/>
        <v>0</v>
      </c>
      <c r="AF220" s="126">
        <f t="shared" si="25"/>
        <v>0</v>
      </c>
      <c r="AG220" s="127">
        <f t="shared" si="25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6">AF222</f>
        <v>0</v>
      </c>
      <c r="C222" s="129">
        <v>0.3</v>
      </c>
      <c r="D222" s="129">
        <f t="shared" ref="D222:P227" si="27">C222</f>
        <v>0.3</v>
      </c>
      <c r="E222" s="129">
        <f t="shared" si="27"/>
        <v>0.3</v>
      </c>
      <c r="F222" s="129">
        <f t="shared" si="27"/>
        <v>0.3</v>
      </c>
      <c r="G222" s="129">
        <f t="shared" si="27"/>
        <v>0.3</v>
      </c>
      <c r="H222" s="129">
        <f t="shared" si="27"/>
        <v>0.3</v>
      </c>
      <c r="I222" s="129">
        <f t="shared" si="27"/>
        <v>0.3</v>
      </c>
      <c r="J222" s="129">
        <f t="shared" si="27"/>
        <v>0.3</v>
      </c>
      <c r="K222" s="129">
        <f t="shared" si="27"/>
        <v>0.3</v>
      </c>
      <c r="L222" s="129">
        <f t="shared" si="27"/>
        <v>0.3</v>
      </c>
      <c r="M222" s="129">
        <f t="shared" si="27"/>
        <v>0.3</v>
      </c>
      <c r="N222" s="129">
        <f t="shared" si="27"/>
        <v>0.3</v>
      </c>
      <c r="O222" s="129">
        <f t="shared" si="27"/>
        <v>0.3</v>
      </c>
      <c r="P222" s="129">
        <f t="shared" si="27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6"/>
        <v>0</v>
      </c>
      <c r="C223" s="117">
        <v>0.4</v>
      </c>
      <c r="D223" s="117">
        <f t="shared" si="27"/>
        <v>0.4</v>
      </c>
      <c r="E223" s="117">
        <f t="shared" si="27"/>
        <v>0.4</v>
      </c>
      <c r="F223" s="117">
        <f t="shared" si="27"/>
        <v>0.4</v>
      </c>
      <c r="G223" s="117">
        <f t="shared" si="27"/>
        <v>0.4</v>
      </c>
      <c r="H223" s="117">
        <f t="shared" si="27"/>
        <v>0.4</v>
      </c>
      <c r="I223" s="117">
        <f t="shared" si="27"/>
        <v>0.4</v>
      </c>
      <c r="J223" s="117">
        <f t="shared" si="27"/>
        <v>0.4</v>
      </c>
      <c r="K223" s="117">
        <f t="shared" si="27"/>
        <v>0.4</v>
      </c>
      <c r="L223" s="117">
        <f t="shared" si="27"/>
        <v>0.4</v>
      </c>
      <c r="M223" s="117">
        <f t="shared" si="27"/>
        <v>0.4</v>
      </c>
      <c r="N223" s="117">
        <f t="shared" si="27"/>
        <v>0.4</v>
      </c>
      <c r="O223" s="117">
        <f t="shared" si="27"/>
        <v>0.4</v>
      </c>
      <c r="P223" s="117">
        <f t="shared" si="27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6"/>
        <v>0</v>
      </c>
      <c r="C224" s="117">
        <v>1.5</v>
      </c>
      <c r="D224" s="117">
        <f t="shared" si="27"/>
        <v>1.5</v>
      </c>
      <c r="E224" s="117">
        <f t="shared" si="27"/>
        <v>1.5</v>
      </c>
      <c r="F224" s="117">
        <f t="shared" si="27"/>
        <v>1.5</v>
      </c>
      <c r="G224" s="117">
        <f t="shared" si="27"/>
        <v>1.5</v>
      </c>
      <c r="H224" s="117">
        <f t="shared" si="27"/>
        <v>1.5</v>
      </c>
      <c r="I224" s="117">
        <f t="shared" si="27"/>
        <v>1.5</v>
      </c>
      <c r="J224" s="117">
        <f t="shared" si="27"/>
        <v>1.5</v>
      </c>
      <c r="K224" s="117">
        <f t="shared" si="27"/>
        <v>1.5</v>
      </c>
      <c r="L224" s="117">
        <f t="shared" si="27"/>
        <v>1.5</v>
      </c>
      <c r="M224" s="117">
        <f t="shared" si="27"/>
        <v>1.5</v>
      </c>
      <c r="N224" s="117">
        <f t="shared" si="27"/>
        <v>1.5</v>
      </c>
      <c r="O224" s="117">
        <f t="shared" si="27"/>
        <v>1.5</v>
      </c>
      <c r="P224" s="117">
        <f t="shared" si="27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6"/>
        <v>0</v>
      </c>
      <c r="C225" s="117">
        <v>0.3</v>
      </c>
      <c r="D225" s="117">
        <f t="shared" si="27"/>
        <v>0.3</v>
      </c>
      <c r="E225" s="117">
        <f t="shared" si="27"/>
        <v>0.3</v>
      </c>
      <c r="F225" s="117">
        <f t="shared" si="27"/>
        <v>0.3</v>
      </c>
      <c r="G225" s="117">
        <f t="shared" si="27"/>
        <v>0.3</v>
      </c>
      <c r="H225" s="117">
        <f t="shared" si="27"/>
        <v>0.3</v>
      </c>
      <c r="I225" s="117">
        <f t="shared" si="27"/>
        <v>0.3</v>
      </c>
      <c r="J225" s="117">
        <f t="shared" si="27"/>
        <v>0.3</v>
      </c>
      <c r="K225" s="117">
        <f t="shared" si="27"/>
        <v>0.3</v>
      </c>
      <c r="L225" s="117">
        <f t="shared" si="27"/>
        <v>0.3</v>
      </c>
      <c r="M225" s="117">
        <f t="shared" si="27"/>
        <v>0.3</v>
      </c>
      <c r="N225" s="117">
        <f t="shared" si="27"/>
        <v>0.3</v>
      </c>
      <c r="O225" s="117">
        <f t="shared" si="27"/>
        <v>0.3</v>
      </c>
      <c r="P225" s="117">
        <f t="shared" si="27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6"/>
        <v>0</v>
      </c>
      <c r="C226" s="117">
        <v>0.4</v>
      </c>
      <c r="D226" s="117">
        <f t="shared" si="27"/>
        <v>0.4</v>
      </c>
      <c r="E226" s="117">
        <f t="shared" si="27"/>
        <v>0.4</v>
      </c>
      <c r="F226" s="117">
        <f t="shared" si="27"/>
        <v>0.4</v>
      </c>
      <c r="G226" s="117">
        <f t="shared" si="27"/>
        <v>0.4</v>
      </c>
      <c r="H226" s="117">
        <f t="shared" si="27"/>
        <v>0.4</v>
      </c>
      <c r="I226" s="117">
        <f t="shared" si="27"/>
        <v>0.4</v>
      </c>
      <c r="J226" s="117">
        <f t="shared" si="27"/>
        <v>0.4</v>
      </c>
      <c r="K226" s="117">
        <f t="shared" si="27"/>
        <v>0.4</v>
      </c>
      <c r="L226" s="117">
        <f t="shared" si="27"/>
        <v>0.4</v>
      </c>
      <c r="M226" s="117">
        <f t="shared" si="27"/>
        <v>0.4</v>
      </c>
      <c r="N226" s="117">
        <f t="shared" si="27"/>
        <v>0.4</v>
      </c>
      <c r="O226" s="117">
        <f t="shared" si="27"/>
        <v>0.4</v>
      </c>
      <c r="P226" s="117">
        <f t="shared" si="27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6"/>
        <v>0</v>
      </c>
      <c r="C227" s="121">
        <v>0.64</v>
      </c>
      <c r="D227" s="121">
        <f t="shared" si="27"/>
        <v>0.64</v>
      </c>
      <c r="E227" s="121">
        <f t="shared" si="27"/>
        <v>0.64</v>
      </c>
      <c r="F227" s="121">
        <f t="shared" si="27"/>
        <v>0.64</v>
      </c>
      <c r="G227" s="121">
        <f t="shared" si="27"/>
        <v>0.64</v>
      </c>
      <c r="H227" s="121">
        <f t="shared" si="27"/>
        <v>0.64</v>
      </c>
      <c r="I227" s="121">
        <f t="shared" si="27"/>
        <v>0.64</v>
      </c>
      <c r="J227" s="121">
        <f t="shared" si="27"/>
        <v>0.64</v>
      </c>
      <c r="K227" s="121">
        <f t="shared" si="27"/>
        <v>0.64</v>
      </c>
      <c r="L227" s="121">
        <f t="shared" si="27"/>
        <v>0.64</v>
      </c>
      <c r="M227" s="121">
        <f t="shared" si="27"/>
        <v>0.64</v>
      </c>
      <c r="N227" s="121">
        <f t="shared" si="27"/>
        <v>0.64</v>
      </c>
      <c r="O227" s="121">
        <f t="shared" si="27"/>
        <v>0.64</v>
      </c>
      <c r="P227" s="121">
        <f t="shared" si="27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8">SUM(B222:B227)</f>
        <v>0</v>
      </c>
      <c r="C228" s="125">
        <f t="shared" si="28"/>
        <v>3.54</v>
      </c>
      <c r="D228" s="125">
        <f t="shared" si="28"/>
        <v>3.54</v>
      </c>
      <c r="E228" s="125">
        <f t="shared" si="28"/>
        <v>3.54</v>
      </c>
      <c r="F228" s="125">
        <f t="shared" si="28"/>
        <v>3.54</v>
      </c>
      <c r="G228" s="125">
        <f t="shared" si="28"/>
        <v>3.54</v>
      </c>
      <c r="H228" s="125">
        <f t="shared" si="28"/>
        <v>3.54</v>
      </c>
      <c r="I228" s="125">
        <f t="shared" si="28"/>
        <v>3.54</v>
      </c>
      <c r="J228" s="125">
        <f t="shared" si="28"/>
        <v>3.54</v>
      </c>
      <c r="K228" s="125">
        <f t="shared" si="28"/>
        <v>3.54</v>
      </c>
      <c r="L228" s="125">
        <f t="shared" si="28"/>
        <v>3.54</v>
      </c>
      <c r="M228" s="125">
        <f t="shared" si="28"/>
        <v>3.54</v>
      </c>
      <c r="N228" s="125">
        <f t="shared" si="28"/>
        <v>3.54</v>
      </c>
      <c r="O228" s="125">
        <f t="shared" si="28"/>
        <v>3.54</v>
      </c>
      <c r="P228" s="125">
        <f t="shared" si="28"/>
        <v>3.54</v>
      </c>
      <c r="Q228" s="125">
        <f t="shared" si="28"/>
        <v>0</v>
      </c>
      <c r="R228" s="125">
        <f t="shared" si="28"/>
        <v>0</v>
      </c>
      <c r="S228" s="125">
        <f t="shared" si="28"/>
        <v>0</v>
      </c>
      <c r="T228" s="125">
        <f t="shared" si="28"/>
        <v>0</v>
      </c>
      <c r="U228" s="125">
        <f t="shared" si="28"/>
        <v>0</v>
      </c>
      <c r="V228" s="125">
        <f t="shared" si="28"/>
        <v>0</v>
      </c>
      <c r="W228" s="125">
        <f t="shared" si="28"/>
        <v>0</v>
      </c>
      <c r="X228" s="125">
        <f t="shared" si="28"/>
        <v>0</v>
      </c>
      <c r="Y228" s="125">
        <f t="shared" si="28"/>
        <v>0</v>
      </c>
      <c r="Z228" s="125">
        <f t="shared" si="28"/>
        <v>0</v>
      </c>
      <c r="AA228" s="125">
        <f t="shared" si="28"/>
        <v>0</v>
      </c>
      <c r="AB228" s="125">
        <f t="shared" si="28"/>
        <v>0</v>
      </c>
      <c r="AC228" s="125">
        <f t="shared" si="28"/>
        <v>0</v>
      </c>
      <c r="AD228" s="125">
        <f t="shared" si="28"/>
        <v>0</v>
      </c>
      <c r="AE228" s="125">
        <f t="shared" si="28"/>
        <v>0</v>
      </c>
      <c r="AF228" s="125">
        <f t="shared" si="28"/>
        <v>0</v>
      </c>
      <c r="AG228" s="134">
        <f t="shared" si="28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1622.5400000000002</v>
      </c>
      <c r="C237" s="150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20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2079/08/20)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2079/08/20)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29">B85</f>
        <v>1057.1400000000001</v>
      </c>
      <c r="U242" s="159">
        <f t="shared" si="29"/>
        <v>976.24</v>
      </c>
      <c r="V242" s="159">
        <f t="shared" si="29"/>
        <v>929.83999999999992</v>
      </c>
      <c r="W242" s="159">
        <f t="shared" si="29"/>
        <v>935.93999999999994</v>
      </c>
      <c r="X242" s="159">
        <f t="shared" si="29"/>
        <v>950.24</v>
      </c>
      <c r="Y242" s="159">
        <f t="shared" si="29"/>
        <v>950.24</v>
      </c>
      <c r="Z242" s="159">
        <f t="shared" si="29"/>
        <v>1042.24</v>
      </c>
      <c r="AA242" s="159">
        <f t="shared" si="29"/>
        <v>1187.24</v>
      </c>
      <c r="AB242" s="159">
        <f t="shared" si="29"/>
        <v>1294.8400000000001</v>
      </c>
      <c r="AC242" s="159">
        <f t="shared" si="29"/>
        <v>1385.94</v>
      </c>
      <c r="AD242" s="159">
        <f t="shared" si="29"/>
        <v>1622.5400000000002</v>
      </c>
      <c r="AE242" s="159">
        <f t="shared" si="29"/>
        <v>1614.0399999999997</v>
      </c>
      <c r="AF242" s="159">
        <f t="shared" si="29"/>
        <v>1543.04</v>
      </c>
      <c r="AG242" s="159">
        <f t="shared" si="29"/>
        <v>1355.74</v>
      </c>
      <c r="AH242" s="159">
        <f t="shared" si="29"/>
        <v>1325.64</v>
      </c>
      <c r="AI242" s="159">
        <f t="shared" si="29"/>
        <v>1270.24</v>
      </c>
      <c r="AJ242" s="159">
        <f t="shared" si="29"/>
        <v>1219.24</v>
      </c>
      <c r="AK242" s="159">
        <f t="shared" si="29"/>
        <v>1200.54</v>
      </c>
      <c r="AL242" s="159">
        <f t="shared" si="29"/>
        <v>1193.54</v>
      </c>
      <c r="AM242" s="159">
        <f t="shared" si="29"/>
        <v>1212.6399999999999</v>
      </c>
      <c r="AN242" s="159">
        <f t="shared" si="29"/>
        <v>1281.8399999999999</v>
      </c>
      <c r="AO242" s="159">
        <f t="shared" si="29"/>
        <v>1493.44</v>
      </c>
      <c r="AP242" s="159">
        <f t="shared" si="29"/>
        <v>1668.2399999999998</v>
      </c>
      <c r="AQ242" s="159">
        <f t="shared" si="29"/>
        <v>1602.44</v>
      </c>
      <c r="AR242" s="159">
        <f t="shared" si="29"/>
        <v>1558.74</v>
      </c>
      <c r="AS242" s="159">
        <f t="shared" si="29"/>
        <v>1453.54</v>
      </c>
      <c r="AT242" s="159">
        <f t="shared" si="29"/>
        <v>1400.2400000000002</v>
      </c>
      <c r="AU242" s="159">
        <f t="shared" si="29"/>
        <v>1314.1399999999999</v>
      </c>
      <c r="AV242" s="159">
        <f t="shared" si="29"/>
        <v>1304.7399999999998</v>
      </c>
      <c r="AW242" s="159">
        <f t="shared" si="29"/>
        <v>1139.74</v>
      </c>
      <c r="AX242" s="159">
        <f t="shared" si="29"/>
        <v>1096.54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30">C227</f>
        <v>0.64</v>
      </c>
      <c r="C263" s="162">
        <f t="shared" si="30"/>
        <v>0.64</v>
      </c>
      <c r="D263" s="162">
        <f t="shared" si="30"/>
        <v>0.64</v>
      </c>
      <c r="E263" s="162">
        <f t="shared" si="30"/>
        <v>0.64</v>
      </c>
      <c r="F263" s="162">
        <f t="shared" si="30"/>
        <v>0.64</v>
      </c>
      <c r="G263" s="162">
        <f t="shared" si="30"/>
        <v>0.64</v>
      </c>
      <c r="H263" s="162">
        <f t="shared" si="30"/>
        <v>0.64</v>
      </c>
      <c r="I263" s="162">
        <f t="shared" si="30"/>
        <v>0.64</v>
      </c>
      <c r="J263" s="162">
        <f t="shared" si="30"/>
        <v>0.64</v>
      </c>
      <c r="K263" s="162">
        <f t="shared" si="30"/>
        <v>0.64</v>
      </c>
      <c r="L263" s="162">
        <f t="shared" si="30"/>
        <v>0.64</v>
      </c>
      <c r="M263" s="162">
        <f t="shared" si="30"/>
        <v>0.64</v>
      </c>
      <c r="N263" s="162">
        <f t="shared" si="30"/>
        <v>0.64</v>
      </c>
      <c r="O263" s="162">
        <f t="shared" si="30"/>
        <v>0.64</v>
      </c>
      <c r="P263" s="162">
        <f t="shared" si="30"/>
        <v>0</v>
      </c>
      <c r="Q263" s="162">
        <f t="shared" si="30"/>
        <v>0</v>
      </c>
      <c r="R263" s="162">
        <f t="shared" si="30"/>
        <v>0</v>
      </c>
      <c r="S263" s="162">
        <f t="shared" si="30"/>
        <v>0</v>
      </c>
      <c r="T263" s="162">
        <f t="shared" si="30"/>
        <v>0</v>
      </c>
      <c r="U263" s="162">
        <f t="shared" si="30"/>
        <v>0</v>
      </c>
      <c r="V263" s="162">
        <f t="shared" si="30"/>
        <v>0</v>
      </c>
      <c r="W263" s="162">
        <f t="shared" si="30"/>
        <v>0</v>
      </c>
      <c r="X263" s="162">
        <f t="shared" si="30"/>
        <v>0</v>
      </c>
      <c r="Y263" s="162">
        <f t="shared" si="30"/>
        <v>0</v>
      </c>
      <c r="Z263" s="162">
        <f t="shared" si="30"/>
        <v>0</v>
      </c>
      <c r="AA263" s="162">
        <f t="shared" si="30"/>
        <v>0</v>
      </c>
      <c r="AB263" s="162">
        <f t="shared" si="30"/>
        <v>0</v>
      </c>
      <c r="AC263" s="162">
        <f t="shared" si="30"/>
        <v>0</v>
      </c>
      <c r="AD263" s="162">
        <f t="shared" si="30"/>
        <v>0</v>
      </c>
      <c r="AE263" s="162">
        <f t="shared" si="30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1">IF(B231&lt;100,"",B231-520)</f>
        <v/>
      </c>
      <c r="C264" s="163" t="str">
        <f t="shared" si="31"/>
        <v/>
      </c>
      <c r="D264" s="163" t="str">
        <f t="shared" si="31"/>
        <v/>
      </c>
      <c r="E264" s="163" t="str">
        <f t="shared" si="31"/>
        <v/>
      </c>
      <c r="F264" s="163" t="str">
        <f t="shared" si="31"/>
        <v/>
      </c>
      <c r="G264" s="163" t="str">
        <f t="shared" si="31"/>
        <v/>
      </c>
      <c r="H264" s="163" t="str">
        <f t="shared" si="31"/>
        <v/>
      </c>
      <c r="I264" s="163" t="str">
        <f t="shared" si="31"/>
        <v/>
      </c>
      <c r="J264" s="163" t="str">
        <f t="shared" si="31"/>
        <v/>
      </c>
      <c r="K264" s="163" t="str">
        <f t="shared" si="31"/>
        <v/>
      </c>
      <c r="L264" s="163" t="str">
        <f t="shared" si="31"/>
        <v/>
      </c>
      <c r="M264" s="163" t="str">
        <f t="shared" si="31"/>
        <v/>
      </c>
      <c r="N264" s="163" t="str">
        <f t="shared" si="31"/>
        <v/>
      </c>
      <c r="O264" s="163" t="str">
        <f t="shared" si="31"/>
        <v/>
      </c>
      <c r="P264" s="163" t="str">
        <f t="shared" si="31"/>
        <v/>
      </c>
      <c r="Q264" s="163" t="str">
        <f t="shared" si="31"/>
        <v/>
      </c>
      <c r="R264" s="163" t="str">
        <f t="shared" si="31"/>
        <v/>
      </c>
      <c r="S264" s="163" t="str">
        <f t="shared" si="31"/>
        <v/>
      </c>
      <c r="T264" s="163" t="str">
        <f t="shared" si="31"/>
        <v/>
      </c>
      <c r="U264" s="163" t="str">
        <f t="shared" si="31"/>
        <v/>
      </c>
      <c r="V264" s="163" t="str">
        <f t="shared" si="31"/>
        <v/>
      </c>
      <c r="W264" s="163" t="str">
        <f t="shared" si="31"/>
        <v/>
      </c>
      <c r="X264" s="163" t="str">
        <f t="shared" si="31"/>
        <v/>
      </c>
      <c r="Y264" s="163" t="str">
        <f t="shared" si="31"/>
        <v/>
      </c>
      <c r="Z264" s="163" t="str">
        <f t="shared" si="31"/>
        <v/>
      </c>
      <c r="AA264" s="163" t="str">
        <f t="shared" si="31"/>
        <v/>
      </c>
      <c r="AB264" s="163" t="str">
        <f t="shared" si="31"/>
        <v/>
      </c>
      <c r="AC264" s="163" t="str">
        <f t="shared" si="31"/>
        <v/>
      </c>
      <c r="AD264" s="163" t="str">
        <f t="shared" si="31"/>
        <v/>
      </c>
      <c r="AE264" s="163" t="str">
        <f t="shared" si="31"/>
        <v/>
      </c>
      <c r="AF264" s="163" t="str">
        <f t="shared" si="31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2">IF(B232&lt;100,"",B232-620)</f>
        <v/>
      </c>
      <c r="C265" s="163" t="str">
        <f t="shared" si="32"/>
        <v/>
      </c>
      <c r="D265" s="163" t="str">
        <f t="shared" si="32"/>
        <v/>
      </c>
      <c r="E265" s="163" t="str">
        <f t="shared" si="32"/>
        <v/>
      </c>
      <c r="F265" s="163" t="str">
        <f t="shared" si="32"/>
        <v/>
      </c>
      <c r="G265" s="163" t="str">
        <f t="shared" si="32"/>
        <v/>
      </c>
      <c r="H265" s="163" t="str">
        <f t="shared" si="32"/>
        <v/>
      </c>
      <c r="I265" s="163" t="str">
        <f t="shared" si="32"/>
        <v/>
      </c>
      <c r="J265" s="163" t="str">
        <f t="shared" si="32"/>
        <v/>
      </c>
      <c r="K265" s="163" t="str">
        <f t="shared" si="32"/>
        <v/>
      </c>
      <c r="L265" s="163" t="str">
        <f t="shared" si="32"/>
        <v/>
      </c>
      <c r="M265" s="163" t="str">
        <f t="shared" si="32"/>
        <v/>
      </c>
      <c r="N265" s="163" t="str">
        <f t="shared" si="32"/>
        <v/>
      </c>
      <c r="O265" s="163" t="str">
        <f t="shared" si="32"/>
        <v/>
      </c>
      <c r="P265" s="163" t="str">
        <f t="shared" si="32"/>
        <v/>
      </c>
      <c r="Q265" s="163" t="str">
        <f t="shared" si="32"/>
        <v/>
      </c>
      <c r="R265" s="163" t="str">
        <f t="shared" si="32"/>
        <v/>
      </c>
      <c r="S265" s="163" t="str">
        <f t="shared" si="32"/>
        <v/>
      </c>
      <c r="T265" s="163" t="str">
        <f t="shared" si="32"/>
        <v/>
      </c>
      <c r="U265" s="163" t="str">
        <f t="shared" si="32"/>
        <v/>
      </c>
      <c r="V265" s="163" t="str">
        <f t="shared" si="32"/>
        <v/>
      </c>
      <c r="W265" s="163" t="str">
        <f t="shared" si="32"/>
        <v/>
      </c>
      <c r="X265" s="163" t="str">
        <f t="shared" si="32"/>
        <v/>
      </c>
      <c r="Y265" s="163" t="str">
        <f t="shared" si="32"/>
        <v/>
      </c>
      <c r="Z265" s="163" t="str">
        <f t="shared" si="32"/>
        <v/>
      </c>
      <c r="AA265" s="163" t="str">
        <f t="shared" si="32"/>
        <v/>
      </c>
      <c r="AB265" s="163" t="str">
        <f t="shared" si="32"/>
        <v/>
      </c>
      <c r="AC265" s="163" t="str">
        <f t="shared" si="32"/>
        <v/>
      </c>
      <c r="AD265" s="163" t="str">
        <f t="shared" si="32"/>
        <v/>
      </c>
      <c r="AE265" s="163" t="str">
        <f t="shared" si="32"/>
        <v/>
      </c>
      <c r="AF265" s="163" t="str">
        <f t="shared" si="32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3">IF(B233&lt;100,"",B233-330)</f>
        <v/>
      </c>
      <c r="C266" s="163" t="str">
        <f t="shared" si="33"/>
        <v/>
      </c>
      <c r="D266" s="163" t="str">
        <f t="shared" si="33"/>
        <v/>
      </c>
      <c r="E266" s="163" t="str">
        <f t="shared" si="33"/>
        <v/>
      </c>
      <c r="F266" s="163" t="str">
        <f t="shared" si="33"/>
        <v/>
      </c>
      <c r="G266" s="163" t="str">
        <f t="shared" si="33"/>
        <v/>
      </c>
      <c r="H266" s="163" t="str">
        <f t="shared" si="33"/>
        <v/>
      </c>
      <c r="I266" s="163" t="str">
        <f t="shared" si="33"/>
        <v/>
      </c>
      <c r="J266" s="163" t="str">
        <f t="shared" si="33"/>
        <v/>
      </c>
      <c r="K266" s="163" t="str">
        <f t="shared" si="33"/>
        <v/>
      </c>
      <c r="L266" s="163" t="str">
        <f t="shared" si="33"/>
        <v/>
      </c>
      <c r="M266" s="163" t="str">
        <f t="shared" si="33"/>
        <v/>
      </c>
      <c r="N266" s="163" t="str">
        <f t="shared" si="33"/>
        <v/>
      </c>
      <c r="O266" s="163" t="str">
        <f t="shared" si="33"/>
        <v/>
      </c>
      <c r="P266" s="163" t="str">
        <f t="shared" si="33"/>
        <v/>
      </c>
      <c r="Q266" s="163" t="str">
        <f t="shared" si="33"/>
        <v/>
      </c>
      <c r="R266" s="163" t="str">
        <f t="shared" si="33"/>
        <v/>
      </c>
      <c r="S266" s="163" t="str">
        <f t="shared" si="33"/>
        <v/>
      </c>
      <c r="T266" s="163" t="str">
        <f t="shared" si="33"/>
        <v/>
      </c>
      <c r="U266" s="163" t="str">
        <f t="shared" si="33"/>
        <v/>
      </c>
      <c r="V266" s="163" t="str">
        <f t="shared" si="33"/>
        <v/>
      </c>
      <c r="W266" s="163" t="str">
        <f t="shared" si="33"/>
        <v/>
      </c>
      <c r="X266" s="163" t="str">
        <f t="shared" si="33"/>
        <v/>
      </c>
      <c r="Y266" s="163" t="str">
        <f t="shared" si="33"/>
        <v/>
      </c>
      <c r="Z266" s="163" t="str">
        <f t="shared" si="33"/>
        <v/>
      </c>
      <c r="AA266" s="163" t="str">
        <f t="shared" si="33"/>
        <v/>
      </c>
      <c r="AB266" s="163" t="str">
        <f t="shared" si="33"/>
        <v/>
      </c>
      <c r="AC266" s="163" t="str">
        <f t="shared" si="33"/>
        <v/>
      </c>
      <c r="AD266" s="163" t="str">
        <f t="shared" si="33"/>
        <v/>
      </c>
      <c r="AE266" s="163" t="str">
        <f t="shared" si="33"/>
        <v/>
      </c>
      <c r="AF266" s="163" t="str">
        <f t="shared" si="33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4">IF(B234&lt;100,"",B234-1500)</f>
        <v/>
      </c>
      <c r="C267" s="163" t="str">
        <f t="shared" si="34"/>
        <v/>
      </c>
      <c r="D267" s="163" t="str">
        <f t="shared" si="34"/>
        <v/>
      </c>
      <c r="E267" s="163" t="str">
        <f t="shared" si="34"/>
        <v/>
      </c>
      <c r="F267" s="163" t="str">
        <f t="shared" si="34"/>
        <v/>
      </c>
      <c r="G267" s="163" t="str">
        <f t="shared" si="34"/>
        <v/>
      </c>
      <c r="H267" s="163" t="str">
        <f t="shared" si="34"/>
        <v/>
      </c>
      <c r="I267" s="163" t="str">
        <f t="shared" si="34"/>
        <v/>
      </c>
      <c r="J267" s="163" t="str">
        <f t="shared" si="34"/>
        <v/>
      </c>
      <c r="K267" s="163" t="str">
        <f t="shared" si="34"/>
        <v/>
      </c>
      <c r="L267" s="163" t="str">
        <f t="shared" si="34"/>
        <v/>
      </c>
      <c r="M267" s="163" t="str">
        <f t="shared" si="34"/>
        <v/>
      </c>
      <c r="N267" s="163" t="str">
        <f t="shared" si="34"/>
        <v/>
      </c>
      <c r="O267" s="163" t="str">
        <f t="shared" si="34"/>
        <v/>
      </c>
      <c r="P267" s="163" t="str">
        <f t="shared" si="34"/>
        <v/>
      </c>
      <c r="Q267" s="163" t="str">
        <f t="shared" si="34"/>
        <v/>
      </c>
      <c r="R267" s="163" t="str">
        <f t="shared" si="34"/>
        <v/>
      </c>
      <c r="S267" s="163" t="str">
        <f t="shared" si="34"/>
        <v/>
      </c>
      <c r="T267" s="163" t="str">
        <f t="shared" si="34"/>
        <v/>
      </c>
      <c r="U267" s="163" t="str">
        <f t="shared" si="34"/>
        <v/>
      </c>
      <c r="V267" s="163" t="str">
        <f t="shared" si="34"/>
        <v/>
      </c>
      <c r="W267" s="163" t="str">
        <f t="shared" si="34"/>
        <v/>
      </c>
      <c r="X267" s="163" t="str">
        <f t="shared" si="34"/>
        <v/>
      </c>
      <c r="Y267" s="163" t="str">
        <f t="shared" si="34"/>
        <v/>
      </c>
      <c r="Z267" s="163" t="str">
        <f t="shared" si="34"/>
        <v/>
      </c>
      <c r="AA267" s="163" t="str">
        <f t="shared" si="34"/>
        <v/>
      </c>
      <c r="AB267" s="163" t="str">
        <f t="shared" si="34"/>
        <v/>
      </c>
      <c r="AC267" s="163" t="str">
        <f t="shared" si="34"/>
        <v/>
      </c>
      <c r="AD267" s="163" t="str">
        <f t="shared" si="34"/>
        <v/>
      </c>
      <c r="AE267" s="163" t="str">
        <f t="shared" si="34"/>
        <v/>
      </c>
      <c r="AF267" s="163" t="str">
        <f t="shared" si="34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105:AF105 C107:AF112 X11:AF11 B22:AF26 B17:AF18 B15:AF15">
    <cfRule type="expression" dxfId="4184" priority="239">
      <formula>B$9&gt;=20/24</formula>
    </cfRule>
    <cfRule type="expression" dxfId="4183" priority="240">
      <formula>AND(B$9&gt;=14/24,B$9&lt;20/24)</formula>
    </cfRule>
    <cfRule type="expression" dxfId="4182" priority="241">
      <formula>AND(B$9&gt;=8/24,B$9&lt;14/24)</formula>
    </cfRule>
    <cfRule type="expression" dxfId="4181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4180" priority="234">
      <formula>S$9&gt;=20/24</formula>
    </cfRule>
    <cfRule type="expression" dxfId="4179" priority="235">
      <formula>AND(S$9&gt;=14/24,S$9&lt;20/24)</formula>
    </cfRule>
    <cfRule type="expression" dxfId="4178" priority="236">
      <formula>AND(S$9&gt;=8/24,S$9&lt;14/24)</formula>
    </cfRule>
    <cfRule type="expression" dxfId="4177" priority="237">
      <formula>S$9&lt;8/24</formula>
    </cfRule>
  </conditionalFormatting>
  <conditionalFormatting sqref="AG61 S43:AF43 B12:W18 X11:AF18 B20:AF20 B22:AF26 B41:AF41">
    <cfRule type="expression" dxfId="4176" priority="233">
      <formula>B11&gt;$AG11</formula>
    </cfRule>
  </conditionalFormatting>
  <conditionalFormatting sqref="A95:A105 A55:A82 A91:A93 A198:A228 A42:A53 A114:A185 A38:A39 A87:A89 A84:A85 A107:A109 A35:A36 A17:A18 A11:A15 A20:A33">
    <cfRule type="expression" dxfId="4175" priority="232">
      <formula>$AH11=0</formula>
    </cfRule>
  </conditionalFormatting>
  <conditionalFormatting sqref="A110">
    <cfRule type="expression" dxfId="4174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173" priority="229">
      <formula>$AH41=0</formula>
    </cfRule>
  </conditionalFormatting>
  <conditionalFormatting sqref="A94">
    <cfRule type="expression" dxfId="4172" priority="228">
      <formula>$AH94=0</formula>
    </cfRule>
  </conditionalFormatting>
  <conditionalFormatting sqref="A16">
    <cfRule type="expression" dxfId="4171" priority="227">
      <formula>$AH16=0</formula>
    </cfRule>
  </conditionalFormatting>
  <conditionalFormatting sqref="A192:A197">
    <cfRule type="expression" dxfId="4170" priority="226">
      <formula>$AH192=0</formula>
    </cfRule>
  </conditionalFormatting>
  <conditionalFormatting sqref="A186:A191">
    <cfRule type="expression" dxfId="4169" priority="225">
      <formula>$AH186=0</formula>
    </cfRule>
  </conditionalFormatting>
  <conditionalFormatting sqref="A54">
    <cfRule type="expression" dxfId="4168" priority="224">
      <formula>$AH54=0</formula>
    </cfRule>
  </conditionalFormatting>
  <conditionalFormatting sqref="A90">
    <cfRule type="expression" dxfId="4167" priority="223">
      <formula>$AH90=0</formula>
    </cfRule>
  </conditionalFormatting>
  <conditionalFormatting sqref="D95:AF95">
    <cfRule type="expression" dxfId="4166" priority="219">
      <formula>D$9&gt;=20/24</formula>
    </cfRule>
    <cfRule type="expression" dxfId="4165" priority="220">
      <formula>AND(D$9&gt;=14/24,D$9&lt;20/24)</formula>
    </cfRule>
    <cfRule type="expression" dxfId="4164" priority="221">
      <formula>AND(D$9&gt;=8/24,D$9&lt;14/24)</formula>
    </cfRule>
    <cfRule type="expression" dxfId="4163" priority="222">
      <formula>D$9&lt;8/24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62" priority="245">
      <formula>C$9&gt;=20/24</formula>
    </cfRule>
    <cfRule type="expression" dxfId="4161" priority="246">
      <formula>AND(C$9&gt;=14/24,C$9&lt;20/24)</formula>
    </cfRule>
    <cfRule type="expression" dxfId="4160" priority="247">
      <formula>AND(C$9&gt;=8/24,C$9&lt;14/24)</formula>
    </cfRule>
    <cfRule type="expression" dxfId="4159" priority="248">
      <formula>C$9&lt;8/24</formula>
    </cfRule>
  </conditionalFormatting>
  <conditionalFormatting sqref="A229">
    <cfRule type="expression" dxfId="4158" priority="249">
      <formula>$AH229=0</formula>
    </cfRule>
  </conditionalFormatting>
  <conditionalFormatting sqref="AG241">
    <cfRule type="expression" dxfId="4157" priority="250">
      <formula>B$9&gt;=20/24</formula>
    </cfRule>
    <cfRule type="expression" dxfId="4156" priority="251">
      <formula>AND(B$9&gt;=14/24,B$9&lt;20/24)</formula>
    </cfRule>
    <cfRule type="expression" dxfId="4155" priority="252">
      <formula>AND(B$9&gt;=8/24,B$9&lt;14/24)</formula>
    </cfRule>
    <cfRule type="expression" dxfId="4154" priority="253">
      <formula>B$9&lt;8/24</formula>
    </cfRule>
  </conditionalFormatting>
  <conditionalFormatting sqref="S8">
    <cfRule type="expression" dxfId="4153" priority="214">
      <formula>U$9&gt;=20/24</formula>
    </cfRule>
    <cfRule type="expression" dxfId="4152" priority="215">
      <formula>AND(U$9&gt;=14/24,U$9&lt;20/24)</formula>
    </cfRule>
    <cfRule type="expression" dxfId="4151" priority="216">
      <formula>AND(U$9&gt;=8/24,U$9&lt;14/24)</formula>
    </cfRule>
    <cfRule type="expression" dxfId="4150" priority="217">
      <formula>U$9&lt;8/24</formula>
    </cfRule>
  </conditionalFormatting>
  <conditionalFormatting sqref="AB8">
    <cfRule type="expression" dxfId="4149" priority="210">
      <formula>AD$9&gt;=20/24</formula>
    </cfRule>
    <cfRule type="expression" dxfId="4148" priority="211">
      <formula>AND(AD$9&gt;=14/24,AD$9&lt;20/24)</formula>
    </cfRule>
    <cfRule type="expression" dxfId="4147" priority="212">
      <formula>AND(AD$9&gt;=8/24,AD$9&lt;14/24)</formula>
    </cfRule>
    <cfRule type="expression" dxfId="4146" priority="213">
      <formula>AD$9&lt;8/24</formula>
    </cfRule>
  </conditionalFormatting>
  <conditionalFormatting sqref="AH241:AX241">
    <cfRule type="expression" dxfId="4145" priority="254">
      <formula>AG$9&gt;=20/24</formula>
    </cfRule>
    <cfRule type="expression" dxfId="4144" priority="255">
      <formula>AND(AG$9&gt;=14/24,AG$9&lt;20/24)</formula>
    </cfRule>
    <cfRule type="expression" dxfId="4143" priority="256">
      <formula>AND(AG$9&gt;=8/24,AG$9&lt;14/24)</formula>
    </cfRule>
    <cfRule type="expression" dxfId="4142" priority="257">
      <formula>AG$9&lt;8/24</formula>
    </cfRule>
  </conditionalFormatting>
  <conditionalFormatting sqref="T241">
    <cfRule type="expression" dxfId="4141" priority="258">
      <formula>AX$9&gt;=20/24</formula>
    </cfRule>
    <cfRule type="expression" dxfId="4140" priority="259">
      <formula>AND(AX$9&gt;=14/24,AX$9&lt;20/24)</formula>
    </cfRule>
    <cfRule type="expression" dxfId="4139" priority="260">
      <formula>AND(AX$9&gt;=8/24,AX$9&lt;14/24)</formula>
    </cfRule>
    <cfRule type="expression" dxfId="4138" priority="261">
      <formula>AX$9&lt;8/24</formula>
    </cfRule>
  </conditionalFormatting>
  <conditionalFormatting sqref="A111:A112">
    <cfRule type="expression" dxfId="4137" priority="209">
      <formula>$AH111=0</formula>
    </cfRule>
  </conditionalFormatting>
  <conditionalFormatting sqref="M50:M53 J50:L51 S50:W51 AB50:AF51 J67:AF67">
    <cfRule type="expression" dxfId="4136" priority="205">
      <formula>J$9&gt;=20/24</formula>
    </cfRule>
    <cfRule type="expression" dxfId="4135" priority="206">
      <formula>AND(J$9&gt;=14/24,J$9&lt;20/24)</formula>
    </cfRule>
    <cfRule type="expression" dxfId="4134" priority="207">
      <formula>AND(J$9&gt;=8/24,J$9&lt;14/24)</formula>
    </cfRule>
    <cfRule type="expression" dxfId="4133" priority="208">
      <formula>J$9&lt;8/24</formula>
    </cfRule>
  </conditionalFormatting>
  <conditionalFormatting sqref="J49:L49 S49:W49 AB49:AF49">
    <cfRule type="expression" dxfId="4132" priority="201">
      <formula>J$9&gt;=20/24</formula>
    </cfRule>
    <cfRule type="expression" dxfId="4131" priority="202">
      <formula>AND(J$9&gt;=14/24,J$9&lt;20/24)</formula>
    </cfRule>
    <cfRule type="expression" dxfId="4130" priority="203">
      <formula>AND(J$9&gt;=8/24,J$9&lt;14/24)</formula>
    </cfRule>
    <cfRule type="expression" dxfId="4129" priority="204">
      <formula>J$9&lt;8/24</formula>
    </cfRule>
  </conditionalFormatting>
  <conditionalFormatting sqref="M50:M53 J49:L51 S49:W51 AB49:AF51">
    <cfRule type="expression" dxfId="4128" priority="200">
      <formula>J49&gt;$AG49</formula>
    </cfRule>
  </conditionalFormatting>
  <conditionalFormatting sqref="C92:AF92 M43:R43 D96:AF102 M68:X69 X70:X77 S63:AF65 Y68:AF77 C79:AF82 X12:AF14 X20:AF20 X33:AF33 X35:AF38 X28:AF31">
    <cfRule type="expression" dxfId="4127" priority="196">
      <formula>C$9&gt;=20/24</formula>
    </cfRule>
    <cfRule type="expression" dxfId="4126" priority="197">
      <formula>AND(C$9&gt;=14/24,C$9&lt;20/24)</formula>
    </cfRule>
    <cfRule type="expression" dxfId="4125" priority="198">
      <formula>AND(C$9&gt;=8/24,C$9&lt;14/24)</formula>
    </cfRule>
    <cfRule type="expression" dxfId="4124" priority="199">
      <formula>C$9&lt;8/24</formula>
    </cfRule>
  </conditionalFormatting>
  <conditionalFormatting sqref="X39:AF39">
    <cfRule type="expression" dxfId="4123" priority="192">
      <formula>X$9&gt;=20/24</formula>
    </cfRule>
    <cfRule type="expression" dxfId="4122" priority="193">
      <formula>AND(X$9&gt;=14/24,X$9&lt;20/24)</formula>
    </cfRule>
    <cfRule type="expression" dxfId="4121" priority="194">
      <formula>AND(X$9&gt;=8/24,X$9&lt;14/24)</formula>
    </cfRule>
    <cfRule type="expression" dxfId="4120" priority="195">
      <formula>X$9&lt;8/24</formula>
    </cfRule>
  </conditionalFormatting>
  <conditionalFormatting sqref="C61:AF61 J52:L52 M43:R43 S63:AF65 X35:AF39 X28:AF33 AB52:AF53">
    <cfRule type="expression" dxfId="4119" priority="191">
      <formula>C28&gt;$AG28</formula>
    </cfRule>
  </conditionalFormatting>
  <conditionalFormatting sqref="X41:AF41">
    <cfRule type="expression" dxfId="4118" priority="187">
      <formula>X$9&gt;=20/24</formula>
    </cfRule>
    <cfRule type="expression" dxfId="4117" priority="188">
      <formula>AND(X$9&gt;=14/24,X$9&lt;20/24)</formula>
    </cfRule>
    <cfRule type="expression" dxfId="4116" priority="189">
      <formula>AND(X$9&gt;=8/24,X$9&lt;14/24)</formula>
    </cfRule>
    <cfRule type="expression" dxfId="4115" priority="190">
      <formula>X$9&lt;8/24</formula>
    </cfRule>
  </conditionalFormatting>
  <conditionalFormatting sqref="X16:AF16">
    <cfRule type="expression" dxfId="4114" priority="183">
      <formula>X$9&gt;=20/24</formula>
    </cfRule>
    <cfRule type="expression" dxfId="4113" priority="184">
      <formula>AND(X$9&gt;=14/24,X$9&lt;20/24)</formula>
    </cfRule>
    <cfRule type="expression" dxfId="4112" priority="185">
      <formula>AND(X$9&gt;=8/24,X$9&lt;14/24)</formula>
    </cfRule>
    <cfRule type="expression" dxfId="4111" priority="186">
      <formula>X$9&lt;8/24</formula>
    </cfRule>
  </conditionalFormatting>
  <conditionalFormatting sqref="X40:AF40">
    <cfRule type="expression" dxfId="4110" priority="179">
      <formula>X$9&gt;=20/24</formula>
    </cfRule>
    <cfRule type="expression" dxfId="4109" priority="180">
      <formula>AND(X$9&gt;=14/24,X$9&lt;20/24)</formula>
    </cfRule>
    <cfRule type="expression" dxfId="4108" priority="181">
      <formula>AND(X$9&gt;=8/24,X$9&lt;14/24)</formula>
    </cfRule>
    <cfRule type="expression" dxfId="4107" priority="182">
      <formula>X$9&lt;8/24</formula>
    </cfRule>
  </conditionalFormatting>
  <conditionalFormatting sqref="X40:AF40">
    <cfRule type="expression" dxfId="4106" priority="178">
      <formula>X40&gt;$AG40</formula>
    </cfRule>
  </conditionalFormatting>
  <conditionalFormatting sqref="X52:AA53 AB54:AF60">
    <cfRule type="expression" dxfId="4105" priority="174">
      <formula>X$9&gt;=20/24</formula>
    </cfRule>
    <cfRule type="expression" dxfId="4104" priority="175">
      <formula>AND(X$9&gt;=14/24,X$9&lt;20/24)</formula>
    </cfRule>
    <cfRule type="expression" dxfId="4103" priority="176">
      <formula>AND(X$9&gt;=8/24,X$9&lt;14/24)</formula>
    </cfRule>
    <cfRule type="expression" dxfId="4102" priority="177">
      <formula>X$9&lt;8/24</formula>
    </cfRule>
  </conditionalFormatting>
  <conditionalFormatting sqref="X52:AA53 AB54:AF60">
    <cfRule type="expression" dxfId="4101" priority="173">
      <formula>X52&gt;$AG52</formula>
    </cfRule>
  </conditionalFormatting>
  <conditionalFormatting sqref="M49:N49 N50:N51 O49:R51 N52:W53 X54:AA55">
    <cfRule type="expression" dxfId="4100" priority="169">
      <formula>M$9&gt;=20/24</formula>
    </cfRule>
    <cfRule type="expression" dxfId="4099" priority="170">
      <formula>AND(M$9&gt;=14/24,M$9&lt;20/24)</formula>
    </cfRule>
    <cfRule type="expression" dxfId="4098" priority="171">
      <formula>AND(M$9&gt;=8/24,M$9&lt;14/24)</formula>
    </cfRule>
    <cfRule type="expression" dxfId="4097" priority="172">
      <formula>M$9&lt;8/24</formula>
    </cfRule>
  </conditionalFormatting>
  <conditionalFormatting sqref="M49:N49 N50:N51 O49:R51 N52:W53 X54:AA55">
    <cfRule type="expression" dxfId="4096" priority="168">
      <formula>M49&gt;$AG49</formula>
    </cfRule>
  </conditionalFormatting>
  <conditionalFormatting sqref="X32:AF32">
    <cfRule type="expression" dxfId="4095" priority="164">
      <formula>X$9&gt;=20/24</formula>
    </cfRule>
    <cfRule type="expression" dxfId="4094" priority="165">
      <formula>AND(X$9&gt;=14/24,X$9&lt;20/24)</formula>
    </cfRule>
    <cfRule type="expression" dxfId="4093" priority="166">
      <formula>AND(X$9&gt;=8/24,X$9&lt;14/24)</formula>
    </cfRule>
    <cfRule type="expression" dxfId="4092" priority="167">
      <formula>X$9&lt;8/24</formula>
    </cfRule>
  </conditionalFormatting>
  <conditionalFormatting sqref="M35:W35 X21:AF21 X27:AF27">
    <cfRule type="expression" dxfId="4091" priority="160">
      <formula>M$9&gt;=20/24</formula>
    </cfRule>
    <cfRule type="expression" dxfId="4090" priority="161">
      <formula>AND(M$9&gt;=14/24,M$9&lt;20/24)</formula>
    </cfRule>
    <cfRule type="expression" dxfId="4089" priority="162">
      <formula>AND(M$9&gt;=8/24,M$9&lt;14/24)</formula>
    </cfRule>
    <cfRule type="expression" dxfId="4088" priority="163">
      <formula>M$9&lt;8/24</formula>
    </cfRule>
  </conditionalFormatting>
  <conditionalFormatting sqref="M35:W35 X21:AF21 X27:AF27">
    <cfRule type="expression" dxfId="4087" priority="159">
      <formula>M21&gt;$AG21</formula>
    </cfRule>
  </conditionalFormatting>
  <conditionalFormatting sqref="D49:I49">
    <cfRule type="expression" dxfId="4086" priority="155">
      <formula>D$9&gt;=20/24</formula>
    </cfRule>
    <cfRule type="expression" dxfId="4085" priority="156">
      <formula>AND(D$9&gt;=14/24,D$9&lt;20/24)</formula>
    </cfRule>
    <cfRule type="expression" dxfId="4084" priority="157">
      <formula>AND(D$9&gt;=8/24,D$9&lt;14/24)</formula>
    </cfRule>
    <cfRule type="expression" dxfId="4083" priority="158">
      <formula>D$9&lt;8/24</formula>
    </cfRule>
  </conditionalFormatting>
  <conditionalFormatting sqref="D49:I49">
    <cfRule type="expression" dxfId="4082" priority="154">
      <formula>D49&gt;$AG49</formula>
    </cfRule>
  </conditionalFormatting>
  <conditionalFormatting sqref="X50:AA51">
    <cfRule type="expression" dxfId="4081" priority="150">
      <formula>X$9&gt;=20/24</formula>
    </cfRule>
    <cfRule type="expression" dxfId="4080" priority="151">
      <formula>AND(X$9&gt;=14/24,X$9&lt;20/24)</formula>
    </cfRule>
    <cfRule type="expression" dxfId="4079" priority="152">
      <formula>AND(X$9&gt;=8/24,X$9&lt;14/24)</formula>
    </cfRule>
    <cfRule type="expression" dxfId="4078" priority="153">
      <formula>X$9&lt;8/24</formula>
    </cfRule>
  </conditionalFormatting>
  <conditionalFormatting sqref="X49:AA49">
    <cfRule type="expression" dxfId="4077" priority="146">
      <formula>X$9&gt;=20/24</formula>
    </cfRule>
    <cfRule type="expression" dxfId="4076" priority="147">
      <formula>AND(X$9&gt;=14/24,X$9&lt;20/24)</formula>
    </cfRule>
    <cfRule type="expression" dxfId="4075" priority="148">
      <formula>AND(X$9&gt;=8/24,X$9&lt;14/24)</formula>
    </cfRule>
    <cfRule type="expression" dxfId="4074" priority="149">
      <formula>X$9&lt;8/24</formula>
    </cfRule>
  </conditionalFormatting>
  <conditionalFormatting sqref="X49:AA51">
    <cfRule type="expression" dxfId="4073" priority="145">
      <formula>X49&gt;$AG49</formula>
    </cfRule>
  </conditionalFormatting>
  <conditionalFormatting sqref="B105 B84:AF84 B93:AF93 B107:B112 B11:W11">
    <cfRule type="expression" dxfId="4072" priority="141">
      <formula>B$9&gt;=20/24</formula>
    </cfRule>
    <cfRule type="expression" dxfId="4071" priority="142">
      <formula>AND(B$9&gt;=14/24,B$9&lt;20/24)</formula>
    </cfRule>
    <cfRule type="expression" dxfId="4070" priority="143">
      <formula>AND(B$9&gt;=8/24,B$9&lt;14/24)</formula>
    </cfRule>
    <cfRule type="expression" dxfId="4069" priority="144">
      <formula>B$9&lt;8/24</formula>
    </cfRule>
  </conditionalFormatting>
  <conditionalFormatting sqref="B43:L43">
    <cfRule type="expression" dxfId="4068" priority="137">
      <formula>B$9&gt;=20/24</formula>
    </cfRule>
    <cfRule type="expression" dxfId="4067" priority="138">
      <formula>AND(B$9&gt;=14/24,B$9&lt;20/24)</formula>
    </cfRule>
    <cfRule type="expression" dxfId="4066" priority="139">
      <formula>AND(B$9&gt;=8/24,B$9&lt;14/24)</formula>
    </cfRule>
    <cfRule type="expression" dxfId="4065" priority="140">
      <formula>B$9&lt;8/24</formula>
    </cfRule>
  </conditionalFormatting>
  <conditionalFormatting sqref="B43:L43 B11:W11">
    <cfRule type="expression" dxfId="4064" priority="136">
      <formula>B11&gt;$AG11</formula>
    </cfRule>
  </conditionalFormatting>
  <conditionalFormatting sqref="B95:C95">
    <cfRule type="expression" dxfId="4063" priority="132">
      <formula>B$9&gt;=20/24</formula>
    </cfRule>
    <cfRule type="expression" dxfId="4062" priority="133">
      <formula>AND(B$9&gt;=14/24,B$9&lt;20/24)</formula>
    </cfRule>
    <cfRule type="expression" dxfId="4061" priority="134">
      <formula>AND(B$9&gt;=8/24,B$9&lt;14/24)</formula>
    </cfRule>
    <cfRule type="expression" dxfId="4060" priority="135">
      <formula>B$9&lt;8/24</formula>
    </cfRule>
  </conditionalFormatting>
  <conditionalFormatting sqref="B50:I51 B67:I67 B42:AF42">
    <cfRule type="expression" dxfId="4059" priority="128">
      <formula>B$9&gt;=20/24</formula>
    </cfRule>
    <cfRule type="expression" dxfId="4058" priority="129">
      <formula>AND(B$9&gt;=14/24,B$9&lt;20/24)</formula>
    </cfRule>
    <cfRule type="expression" dxfId="4057" priority="130">
      <formula>AND(B$9&gt;=8/24,B$9&lt;14/24)</formula>
    </cfRule>
    <cfRule type="expression" dxfId="4056" priority="131">
      <formula>B$9&lt;8/24</formula>
    </cfRule>
  </conditionalFormatting>
  <conditionalFormatting sqref="B49:C49">
    <cfRule type="expression" dxfId="4055" priority="124">
      <formula>B$9&gt;=20/24</formula>
    </cfRule>
    <cfRule type="expression" dxfId="4054" priority="125">
      <formula>AND(B$9&gt;=14/24,B$9&lt;20/24)</formula>
    </cfRule>
    <cfRule type="expression" dxfId="4053" priority="126">
      <formula>AND(B$9&gt;=8/24,B$9&lt;14/24)</formula>
    </cfRule>
    <cfRule type="expression" dxfId="4052" priority="127">
      <formula>B$9&lt;8/24</formula>
    </cfRule>
  </conditionalFormatting>
  <conditionalFormatting sqref="B49:C51 D50:I51 B42:AF42">
    <cfRule type="expression" dxfId="4051" priority="123">
      <formula>B42&gt;$AG42</formula>
    </cfRule>
  </conditionalFormatting>
  <conditionalFormatting sqref="B63:B66 B79:B83 B85:AF85 B92 C66:AG66 C83:AG83 B94:AF94 B96:C102 B35:L38 B68:L77 C63:R65 M36:W38 B12:W14 B20:W20 B28:W31 B33:W33 M70:W77">
    <cfRule type="expression" dxfId="4050" priority="119">
      <formula>B$9&gt;=20/24</formula>
    </cfRule>
    <cfRule type="expression" dxfId="4049" priority="120">
      <formula>AND(B$9&gt;=14/24,B$9&lt;20/24)</formula>
    </cfRule>
    <cfRule type="expression" dxfId="4048" priority="121">
      <formula>AND(B$9&gt;=8/24,B$9&lt;14/24)</formula>
    </cfRule>
    <cfRule type="expression" dxfId="4047" priority="122">
      <formula>B$9&lt;8/24</formula>
    </cfRule>
  </conditionalFormatting>
  <conditionalFormatting sqref="B39:W39">
    <cfRule type="expression" dxfId="4046" priority="115">
      <formula>B$9&gt;=20/24</formula>
    </cfRule>
    <cfRule type="expression" dxfId="4045" priority="116">
      <formula>AND(B$9&gt;=14/24,B$9&lt;20/24)</formula>
    </cfRule>
    <cfRule type="expression" dxfId="4044" priority="117">
      <formula>AND(B$9&gt;=8/24,B$9&lt;14/24)</formula>
    </cfRule>
    <cfRule type="expression" dxfId="4043" priority="118">
      <formula>B$9&lt;8/24</formula>
    </cfRule>
  </conditionalFormatting>
  <conditionalFormatting sqref="B61:B66 B44:AG44 C62:AG62 C66:AG66 B52:I53 B35:L39 J53:L53 C63:R65 M36:W39 B28:W33">
    <cfRule type="expression" dxfId="4042" priority="114">
      <formula>B28&gt;$AG28</formula>
    </cfRule>
  </conditionalFormatting>
  <conditionalFormatting sqref="B41:W41">
    <cfRule type="expression" dxfId="4041" priority="110">
      <formula>B$9&gt;=20/24</formula>
    </cfRule>
    <cfRule type="expression" dxfId="4040" priority="111">
      <formula>AND(B$9&gt;=14/24,B$9&lt;20/24)</formula>
    </cfRule>
    <cfRule type="expression" dxfId="4039" priority="112">
      <formula>AND(B$9&gt;=8/24,B$9&lt;14/24)</formula>
    </cfRule>
    <cfRule type="expression" dxfId="4038" priority="113">
      <formula>B$9&lt;8/24</formula>
    </cfRule>
  </conditionalFormatting>
  <conditionalFormatting sqref="B16:W16">
    <cfRule type="expression" dxfId="4037" priority="106">
      <formula>B$9&gt;=20/24</formula>
    </cfRule>
    <cfRule type="expression" dxfId="4036" priority="107">
      <formula>AND(B$9&gt;=14/24,B$9&lt;20/24)</formula>
    </cfRule>
    <cfRule type="expression" dxfId="4035" priority="108">
      <formula>AND(B$9&gt;=8/24,B$9&lt;14/24)</formula>
    </cfRule>
    <cfRule type="expression" dxfId="4034" priority="109">
      <formula>B$9&lt;8/24</formula>
    </cfRule>
  </conditionalFormatting>
  <conditionalFormatting sqref="B40:W40">
    <cfRule type="expression" dxfId="4033" priority="102">
      <formula>B$9&gt;=20/24</formula>
    </cfRule>
    <cfRule type="expression" dxfId="4032" priority="103">
      <formula>AND(B$9&gt;=14/24,B$9&lt;20/24)</formula>
    </cfRule>
    <cfRule type="expression" dxfId="4031" priority="104">
      <formula>AND(B$9&gt;=8/24,B$9&lt;14/24)</formula>
    </cfRule>
    <cfRule type="expression" dxfId="4030" priority="105">
      <formula>B$9&lt;8/24</formula>
    </cfRule>
  </conditionalFormatting>
  <conditionalFormatting sqref="B40:W40">
    <cfRule type="expression" dxfId="4029" priority="101">
      <formula>B40&gt;$AG40</formula>
    </cfRule>
  </conditionalFormatting>
  <conditionalFormatting sqref="B54:W60">
    <cfRule type="expression" dxfId="4028" priority="97">
      <formula>B$9&gt;=20/24</formula>
    </cfRule>
    <cfRule type="expression" dxfId="4027" priority="98">
      <formula>AND(B$9&gt;=14/24,B$9&lt;20/24)</formula>
    </cfRule>
    <cfRule type="expression" dxfId="4026" priority="99">
      <formula>AND(B$9&gt;=8/24,B$9&lt;14/24)</formula>
    </cfRule>
    <cfRule type="expression" dxfId="4025" priority="100">
      <formula>B$9&lt;8/24</formula>
    </cfRule>
  </conditionalFormatting>
  <conditionalFormatting sqref="B54:W60">
    <cfRule type="expression" dxfId="4024" priority="96">
      <formula>B54&gt;$AG54</formula>
    </cfRule>
  </conditionalFormatting>
  <conditionalFormatting sqref="B32:W32">
    <cfRule type="expression" dxfId="4023" priority="92">
      <formula>B$9&gt;=20/24</formula>
    </cfRule>
    <cfRule type="expression" dxfId="4022" priority="93">
      <formula>AND(B$9&gt;=14/24,B$9&lt;20/24)</formula>
    </cfRule>
    <cfRule type="expression" dxfId="4021" priority="94">
      <formula>AND(B$9&gt;=8/24,B$9&lt;14/24)</formula>
    </cfRule>
    <cfRule type="expression" dxfId="4020" priority="95">
      <formula>B$9&lt;8/24</formula>
    </cfRule>
  </conditionalFormatting>
  <conditionalFormatting sqref="B21:W21 B27:W27">
    <cfRule type="expression" dxfId="4019" priority="88">
      <formula>B$9&gt;=20/24</formula>
    </cfRule>
    <cfRule type="expression" dxfId="4018" priority="89">
      <formula>AND(B$9&gt;=14/24,B$9&lt;20/24)</formula>
    </cfRule>
    <cfRule type="expression" dxfId="4017" priority="90">
      <formula>AND(B$9&gt;=8/24,B$9&lt;14/24)</formula>
    </cfRule>
    <cfRule type="expression" dxfId="4016" priority="91">
      <formula>B$9&lt;8/24</formula>
    </cfRule>
  </conditionalFormatting>
  <conditionalFormatting sqref="B21:W21 B27:W27">
    <cfRule type="expression" dxfId="4015" priority="87">
      <formula>B21&gt;$AG21</formula>
    </cfRule>
  </conditionalFormatting>
  <conditionalFormatting sqref="A40">
    <cfRule type="expression" dxfId="4014" priority="86">
      <formula>$AH40=0</formula>
    </cfRule>
  </conditionalFormatting>
  <conditionalFormatting sqref="B78:AF78">
    <cfRule type="expression" dxfId="4013" priority="82">
      <formula>B$9&gt;=20/24</formula>
    </cfRule>
    <cfRule type="expression" dxfId="4012" priority="83">
      <formula>AND(B$9&gt;=14/24,B$9&lt;20/24)</formula>
    </cfRule>
    <cfRule type="expression" dxfId="4011" priority="84">
      <formula>AND(B$9&gt;=8/24,B$9&lt;14/24)</formula>
    </cfRule>
    <cfRule type="expression" dxfId="4010" priority="85">
      <formula>B$9&lt;8/24</formula>
    </cfRule>
  </conditionalFormatting>
  <conditionalFormatting sqref="B87:AF91">
    <cfRule type="expression" dxfId="4009" priority="78">
      <formula>B$9&gt;=20/24</formula>
    </cfRule>
    <cfRule type="expression" dxfId="4008" priority="79">
      <formula>AND(B$9&gt;=14/24,B$9&lt;20/24)</formula>
    </cfRule>
    <cfRule type="expression" dxfId="4007" priority="80">
      <formula>AND(B$9&gt;=8/24,B$9&lt;14/24)</formula>
    </cfRule>
    <cfRule type="expression" dxfId="4006" priority="81">
      <formula>B$9&lt;8/24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5:J45 K45:AF47">
    <cfRule type="expression" dxfId="4005" priority="74">
      <formula>C$9&gt;=20/24</formula>
    </cfRule>
    <cfRule type="expression" dxfId="4004" priority="75">
      <formula>AND(C$9&gt;=14/24,C$9&lt;20/24)</formula>
    </cfRule>
    <cfRule type="expression" dxfId="4003" priority="76">
      <formula>AND(C$9&gt;=8/24,C$9&lt;14/24)</formula>
    </cfRule>
    <cfRule type="expression" dxfId="4002" priority="77">
      <formula>C$9&lt;8/24</formula>
    </cfRule>
  </conditionalFormatting>
  <conditionalFormatting sqref="C45:J45 K45:AF47">
    <cfRule type="expression" dxfId="4001" priority="73">
      <formula>C45&gt;$AG45</formula>
    </cfRule>
  </conditionalFormatting>
  <conditionalFormatting sqref="B45:B48 C48:AG48 C46:J47">
    <cfRule type="expression" dxfId="4000" priority="69">
      <formula>B$9&gt;=20/24</formula>
    </cfRule>
    <cfRule type="expression" dxfId="3999" priority="70">
      <formula>AND(B$9&gt;=14/24,B$9&lt;20/24)</formula>
    </cfRule>
    <cfRule type="expression" dxfId="3998" priority="71">
      <formula>AND(B$9&gt;=8/24,B$9&lt;14/24)</formula>
    </cfRule>
    <cfRule type="expression" dxfId="3997" priority="72">
      <formula>B$9&lt;8/24</formula>
    </cfRule>
  </conditionalFormatting>
  <conditionalFormatting sqref="B45:B48 C48:AG48 C46:J47">
    <cfRule type="expression" dxfId="3996" priority="68">
      <formula>B45&gt;$AG45</formula>
    </cfRule>
  </conditionalFormatting>
  <conditionalFormatting sqref="C103:AF103">
    <cfRule type="expression" dxfId="3995" priority="64">
      <formula>C$9&gt;=20/24</formula>
    </cfRule>
    <cfRule type="expression" dxfId="3994" priority="65">
      <formula>AND(C$9&gt;=14/24,C$9&lt;20/24)</formula>
    </cfRule>
    <cfRule type="expression" dxfId="3993" priority="66">
      <formula>AND(C$9&gt;=8/24,C$9&lt;14/24)</formula>
    </cfRule>
    <cfRule type="expression" dxfId="3992" priority="67">
      <formula>C$9&lt;8/24</formula>
    </cfRule>
  </conditionalFormatting>
  <conditionalFormatting sqref="B103">
    <cfRule type="expression" dxfId="3991" priority="60">
      <formula>B$9&gt;=20/24</formula>
    </cfRule>
    <cfRule type="expression" dxfId="3990" priority="61">
      <formula>AND(B$9&gt;=14/24,B$9&lt;20/24)</formula>
    </cfRule>
    <cfRule type="expression" dxfId="3989" priority="62">
      <formula>AND(B$9&gt;=8/24,B$9&lt;14/24)</formula>
    </cfRule>
    <cfRule type="expression" dxfId="3988" priority="63">
      <formula>B$9&lt;8/24</formula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987" priority="54">
      <formula>$AH37=0</formula>
    </cfRule>
  </conditionalFormatting>
  <conditionalFormatting sqref="A86">
    <cfRule type="expression" dxfId="3986" priority="52">
      <formula>$AH86=0</formula>
    </cfRule>
  </conditionalFormatting>
  <conditionalFormatting sqref="A83">
    <cfRule type="expression" dxfId="3985" priority="53">
      <formula>$AH83=0</formula>
    </cfRule>
  </conditionalFormatting>
  <conditionalFormatting sqref="A113">
    <cfRule type="expression" dxfId="3984" priority="43">
      <formula>$AH113=0</formula>
    </cfRule>
  </conditionalFormatting>
  <conditionalFormatting sqref="C106:AF106">
    <cfRule type="expression" dxfId="3983" priority="39">
      <formula>C$9&gt;=20/24</formula>
    </cfRule>
    <cfRule type="expression" dxfId="3982" priority="40">
      <formula>AND(C$9&gt;=14/24,C$9&lt;20/24)</formula>
    </cfRule>
    <cfRule type="expression" dxfId="3981" priority="41">
      <formula>AND(C$9&gt;=8/24,C$9&lt;14/24)</formula>
    </cfRule>
    <cfRule type="expression" dxfId="3980" priority="42">
      <formula>C$9&lt;8/24</formula>
    </cfRule>
  </conditionalFormatting>
  <conditionalFormatting sqref="A106">
    <cfRule type="expression" dxfId="3979" priority="38">
      <formula>$AH106=0</formula>
    </cfRule>
  </conditionalFormatting>
  <conditionalFormatting sqref="B106">
    <cfRule type="expression" dxfId="3978" priority="34">
      <formula>B$9&gt;=20/24</formula>
    </cfRule>
    <cfRule type="expression" dxfId="3977" priority="35">
      <formula>AND(B$9&gt;=14/24,B$9&lt;20/24)</formula>
    </cfRule>
    <cfRule type="expression" dxfId="3976" priority="36">
      <formula>AND(B$9&gt;=8/24,B$9&lt;14/24)</formula>
    </cfRule>
    <cfRule type="expression" dxfId="3975" priority="37">
      <formula>B$9&lt;8/24</formula>
    </cfRule>
  </conditionalFormatting>
  <conditionalFormatting sqref="X56:AA60">
    <cfRule type="expression" dxfId="3974" priority="30">
      <formula>X$9&gt;=20/24</formula>
    </cfRule>
    <cfRule type="expression" dxfId="3973" priority="31">
      <formula>AND(X$9&gt;=14/24,X$9&lt;20/24)</formula>
    </cfRule>
    <cfRule type="expression" dxfId="3972" priority="32">
      <formula>AND(X$9&gt;=8/24,X$9&lt;14/24)</formula>
    </cfRule>
    <cfRule type="expression" dxfId="3971" priority="33">
      <formula>X$9&lt;8/24</formula>
    </cfRule>
  </conditionalFormatting>
  <conditionalFormatting sqref="X56:AA60">
    <cfRule type="expression" dxfId="3970" priority="29">
      <formula>X56&gt;$AG56</formula>
    </cfRule>
  </conditionalFormatting>
  <conditionalFormatting sqref="B19:AF19">
    <cfRule type="expression" dxfId="3969" priority="27">
      <formula>B19&gt;$AG19</formula>
    </cfRule>
  </conditionalFormatting>
  <conditionalFormatting sqref="A19">
    <cfRule type="expression" dxfId="3968" priority="26">
      <formula>$AH19=0</formula>
    </cfRule>
  </conditionalFormatting>
  <conditionalFormatting sqref="X19:AF19">
    <cfRule type="expression" dxfId="3967" priority="22">
      <formula>X$9&gt;=20/24</formula>
    </cfRule>
    <cfRule type="expression" dxfId="3966" priority="23">
      <formula>AND(X$9&gt;=14/24,X$9&lt;20/24)</formula>
    </cfRule>
    <cfRule type="expression" dxfId="3965" priority="24">
      <formula>AND(X$9&gt;=8/24,X$9&lt;14/24)</formula>
    </cfRule>
    <cfRule type="expression" dxfId="3964" priority="25">
      <formula>X$9&lt;8/24</formula>
    </cfRule>
  </conditionalFormatting>
  <conditionalFormatting sqref="B19:W19">
    <cfRule type="expression" dxfId="3963" priority="18">
      <formula>B$9&gt;=20/24</formula>
    </cfRule>
    <cfRule type="expression" dxfId="3962" priority="19">
      <formula>AND(B$9&gt;=14/24,B$9&lt;20/24)</formula>
    </cfRule>
    <cfRule type="expression" dxfId="3961" priority="20">
      <formula>AND(B$9&gt;=8/24,B$9&lt;14/24)</formula>
    </cfRule>
    <cfRule type="expression" dxfId="3960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959" priority="16">
      <formula>$AH34=0</formula>
    </cfRule>
  </conditionalFormatting>
  <conditionalFormatting sqref="X34:AF34">
    <cfRule type="expression" dxfId="3958" priority="12">
      <formula>X$9&gt;=20/24</formula>
    </cfRule>
    <cfRule type="expression" dxfId="3957" priority="13">
      <formula>AND(X$9&gt;=14/24,X$9&lt;20/24)</formula>
    </cfRule>
    <cfRule type="expression" dxfId="3956" priority="14">
      <formula>AND(X$9&gt;=8/24,X$9&lt;14/24)</formula>
    </cfRule>
    <cfRule type="expression" dxfId="3955" priority="15">
      <formula>X$9&lt;8/24</formula>
    </cfRule>
  </conditionalFormatting>
  <conditionalFormatting sqref="X34:AF34">
    <cfRule type="expression" dxfId="3954" priority="11">
      <formula>X34&gt;$AG34</formula>
    </cfRule>
  </conditionalFormatting>
  <conditionalFormatting sqref="M34:W34">
    <cfRule type="expression" dxfId="3953" priority="7">
      <formula>M$9&gt;=20/24</formula>
    </cfRule>
    <cfRule type="expression" dxfId="3952" priority="8">
      <formula>AND(M$9&gt;=14/24,M$9&lt;20/24)</formula>
    </cfRule>
    <cfRule type="expression" dxfId="3951" priority="9">
      <formula>AND(M$9&gt;=8/24,M$9&lt;14/24)</formula>
    </cfRule>
    <cfRule type="expression" dxfId="3950" priority="10">
      <formula>M$9&lt;8/24</formula>
    </cfRule>
  </conditionalFormatting>
  <conditionalFormatting sqref="M34:W34">
    <cfRule type="expression" dxfId="3949" priority="6">
      <formula>M34&gt;$AG34</formula>
    </cfRule>
  </conditionalFormatting>
  <conditionalFormatting sqref="B34:L34">
    <cfRule type="expression" dxfId="3948" priority="2">
      <formula>B$9&gt;=20/24</formula>
    </cfRule>
    <cfRule type="expression" dxfId="3947" priority="3">
      <formula>AND(B$9&gt;=14/24,B$9&lt;20/24)</formula>
    </cfRule>
    <cfRule type="expression" dxfId="3946" priority="4">
      <formula>AND(B$9&gt;=8/24,B$9&lt;14/24)</formula>
    </cfRule>
    <cfRule type="expression" dxfId="3945" priority="5">
      <formula>B$9&lt;8/24</formula>
    </cfRule>
  </conditionalFormatting>
  <conditionalFormatting sqref="B34:L34">
    <cfRule type="expression" dxfId="3944" priority="1">
      <formula>B34&gt;$AG34</formula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0567BD8B-5901-4C5F-91BD-D4C472B4DB5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471E7991-585F-4B45-A9E5-26746F73395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4DC772C4-3A11-41DD-91FE-C6E4D1CCD8E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E60672A0-2B4A-4DB6-BA95-D73C5E2C2AC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8" id="{45B98791-2121-4B0B-98DA-A1C774BC987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CFEB6B25-CA6A-4FD4-9626-43447DF1C7F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EBD4B759-2D7D-405A-B2B7-0FF1C1ADAD8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E0A3F2D2-5080-4BA1-87C6-F6AC64DBC61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44" id="{DE6715E9-ED00-43C1-B462-6FCE389FA28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79F8D19F-5B88-4D40-9AE6-A4993C5E078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7893E5C0-F451-4A98-A098-6C8436EAB03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92CF66C7-DB30-4650-80BE-1249312902C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27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16" sqref="L1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2079/08/21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48.1</v>
      </c>
      <c r="C5" s="30">
        <f t="shared" si="0"/>
        <v>39</v>
      </c>
      <c r="D5" s="30">
        <f t="shared" si="0"/>
        <v>40.299999999999997</v>
      </c>
      <c r="E5" s="30">
        <f t="shared" si="0"/>
        <v>40.9</v>
      </c>
      <c r="F5" s="30">
        <f t="shared" si="0"/>
        <v>41.2</v>
      </c>
      <c r="G5" s="30">
        <f t="shared" si="0"/>
        <v>56.6</v>
      </c>
      <c r="H5" s="30">
        <f t="shared" si="0"/>
        <v>55.5</v>
      </c>
      <c r="I5" s="30">
        <f t="shared" si="0"/>
        <v>47.9</v>
      </c>
      <c r="J5" s="30">
        <f t="shared" si="0"/>
        <v>48.5</v>
      </c>
      <c r="K5" s="30">
        <f t="shared" si="0"/>
        <v>47.8</v>
      </c>
      <c r="L5" s="30">
        <f t="shared" si="0"/>
        <v>53.6</v>
      </c>
      <c r="M5" s="30">
        <f t="shared" si="0"/>
        <v>33.6</v>
      </c>
      <c r="N5" s="30">
        <f t="shared" si="0"/>
        <v>49.6</v>
      </c>
      <c r="O5" s="30">
        <f t="shared" si="0"/>
        <v>171</v>
      </c>
      <c r="P5" s="30">
        <f t="shared" si="0"/>
        <v>159.1</v>
      </c>
      <c r="Q5" s="30">
        <f t="shared" si="0"/>
        <v>154.30000000000001</v>
      </c>
      <c r="R5" s="30">
        <f t="shared" si="0"/>
        <v>174</v>
      </c>
      <c r="S5" s="30">
        <f t="shared" si="0"/>
        <v>160.30000000000001</v>
      </c>
      <c r="T5" s="30">
        <f t="shared" si="0"/>
        <v>159</v>
      </c>
      <c r="U5" s="30">
        <f t="shared" si="0"/>
        <v>46.2</v>
      </c>
      <c r="V5" s="30">
        <f t="shared" si="0"/>
        <v>50</v>
      </c>
      <c r="W5" s="30">
        <f t="shared" si="0"/>
        <v>47.7</v>
      </c>
      <c r="X5" s="30">
        <f t="shared" si="0"/>
        <v>45.3</v>
      </c>
      <c r="Y5" s="30">
        <f t="shared" si="0"/>
        <v>46</v>
      </c>
      <c r="Z5" s="30">
        <f t="shared" si="0"/>
        <v>40</v>
      </c>
      <c r="AA5" s="30">
        <f t="shared" si="0"/>
        <v>44.3</v>
      </c>
      <c r="AB5" s="30">
        <f t="shared" si="0"/>
        <v>15.5</v>
      </c>
      <c r="AC5" s="30">
        <f t="shared" si="0"/>
        <v>14.4</v>
      </c>
      <c r="AD5" s="30">
        <f t="shared" si="0"/>
        <v>1.6</v>
      </c>
      <c r="AE5" s="30">
        <f t="shared" si="0"/>
        <v>60</v>
      </c>
      <c r="AF5" s="30">
        <f>B78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1575MW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Load=948</v>
      </c>
      <c r="B7" s="35">
        <f t="shared" ref="B7:AF7" si="1">B85</f>
        <v>955.6400000000001</v>
      </c>
      <c r="C7" s="35">
        <f t="shared" si="1"/>
        <v>959.14</v>
      </c>
      <c r="D7" s="35">
        <f t="shared" si="1"/>
        <v>947.94</v>
      </c>
      <c r="E7" s="35">
        <f t="shared" si="1"/>
        <v>958.14</v>
      </c>
      <c r="F7" s="35">
        <f t="shared" si="1"/>
        <v>956.84</v>
      </c>
      <c r="G7" s="35">
        <f t="shared" si="1"/>
        <v>1031.94</v>
      </c>
      <c r="H7" s="35">
        <f t="shared" si="1"/>
        <v>1099.8399999999999</v>
      </c>
      <c r="I7" s="35">
        <f t="shared" si="1"/>
        <v>1185.6399999999999</v>
      </c>
      <c r="J7" s="35">
        <f t="shared" si="1"/>
        <v>1366.24</v>
      </c>
      <c r="K7" s="35">
        <f t="shared" si="1"/>
        <v>1517.84</v>
      </c>
      <c r="L7" s="35">
        <f t="shared" si="1"/>
        <v>1575.04</v>
      </c>
      <c r="M7" s="35">
        <f t="shared" si="1"/>
        <v>1563.4399999999998</v>
      </c>
      <c r="N7" s="35">
        <f t="shared" si="1"/>
        <v>1518.2399999999998</v>
      </c>
      <c r="O7" s="35">
        <f t="shared" si="1"/>
        <v>1327.4399999999998</v>
      </c>
      <c r="P7" s="35">
        <f t="shared" si="1"/>
        <v>1303.8399999999999</v>
      </c>
      <c r="Q7" s="35">
        <f t="shared" si="1"/>
        <v>1220.3399999999997</v>
      </c>
      <c r="R7" s="35">
        <f t="shared" si="1"/>
        <v>1192.8399999999999</v>
      </c>
      <c r="S7" s="35">
        <f t="shared" si="1"/>
        <v>1227.94</v>
      </c>
      <c r="T7" s="35">
        <f t="shared" si="1"/>
        <v>1266.54</v>
      </c>
      <c r="U7" s="35">
        <f t="shared" si="1"/>
        <v>1237.94</v>
      </c>
      <c r="V7" s="35">
        <f t="shared" si="1"/>
        <v>1284.1400000000001</v>
      </c>
      <c r="W7" s="35">
        <f t="shared" si="1"/>
        <v>1587.6399999999999</v>
      </c>
      <c r="X7" s="35">
        <f t="shared" si="1"/>
        <v>1704.2400000000002</v>
      </c>
      <c r="Y7" s="35">
        <f t="shared" si="1"/>
        <v>1631.54</v>
      </c>
      <c r="Z7" s="35">
        <f t="shared" si="1"/>
        <v>1547.8400000000001</v>
      </c>
      <c r="AA7" s="35">
        <f t="shared" si="1"/>
        <v>1463.44</v>
      </c>
      <c r="AB7" s="35">
        <f t="shared" si="1"/>
        <v>1433.04</v>
      </c>
      <c r="AC7" s="35">
        <f t="shared" si="1"/>
        <v>1334.0400000000002</v>
      </c>
      <c r="AD7" s="35">
        <f t="shared" si="1"/>
        <v>1306.8400000000001</v>
      </c>
      <c r="AE7" s="35">
        <f t="shared" si="1"/>
        <v>1004.6400000000001</v>
      </c>
      <c r="AF7" s="35">
        <f t="shared" si="1"/>
        <v>954.83999999999992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27.2</v>
      </c>
      <c r="C11" s="45">
        <v>27.2</v>
      </c>
      <c r="D11" s="45">
        <v>27.2</v>
      </c>
      <c r="E11" s="45">
        <v>27.2</v>
      </c>
      <c r="F11" s="45">
        <v>27.2</v>
      </c>
      <c r="G11" s="45">
        <v>27.2</v>
      </c>
      <c r="H11" s="45">
        <v>27.2</v>
      </c>
      <c r="I11" s="45">
        <v>27.2</v>
      </c>
      <c r="J11" s="45">
        <v>27.2</v>
      </c>
      <c r="K11" s="45">
        <v>28.7</v>
      </c>
      <c r="L11" s="45">
        <v>28.7</v>
      </c>
      <c r="M11" s="45">
        <v>28.7</v>
      </c>
      <c r="N11" s="45">
        <v>28.7</v>
      </c>
      <c r="O11" s="45">
        <v>28.7</v>
      </c>
      <c r="P11" s="45">
        <v>28.7</v>
      </c>
      <c r="Q11" s="45">
        <v>28.7</v>
      </c>
      <c r="R11" s="45">
        <v>26.6</v>
      </c>
      <c r="S11" s="45">
        <v>27.7</v>
      </c>
      <c r="T11" s="46">
        <v>27.7</v>
      </c>
      <c r="U11" s="46">
        <v>27.8</v>
      </c>
      <c r="V11" s="46">
        <v>28.1</v>
      </c>
      <c r="W11" s="46">
        <v>29.2</v>
      </c>
      <c r="X11" s="46">
        <v>29.2</v>
      </c>
      <c r="Y11" s="46">
        <v>29.2</v>
      </c>
      <c r="Z11" s="46">
        <v>26.7</v>
      </c>
      <c r="AA11" s="46">
        <v>26.7</v>
      </c>
      <c r="AB11" s="46">
        <v>26.7</v>
      </c>
      <c r="AC11" s="46">
        <v>26.7</v>
      </c>
      <c r="AD11" s="46">
        <v>28.7</v>
      </c>
      <c r="AE11" s="46">
        <v>28.7</v>
      </c>
      <c r="AF11" s="46">
        <v>28.7</v>
      </c>
      <c r="AG11" s="47">
        <v>52.4</v>
      </c>
      <c r="AH11" s="48">
        <f>MAX(B11:AF11)</f>
        <v>29.2</v>
      </c>
      <c r="AI11" s="49">
        <f>MIN(B11:AF11)</f>
        <v>26.6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50.6</v>
      </c>
      <c r="L12" s="45">
        <v>50.6</v>
      </c>
      <c r="M12" s="45">
        <v>50.6</v>
      </c>
      <c r="N12" s="45">
        <v>50.6</v>
      </c>
      <c r="O12" s="45">
        <v>50.6</v>
      </c>
      <c r="P12" s="45">
        <v>50.6</v>
      </c>
      <c r="Q12" s="45">
        <v>50.6</v>
      </c>
      <c r="R12" s="45">
        <v>50.6</v>
      </c>
      <c r="S12" s="45">
        <v>50.2</v>
      </c>
      <c r="T12" s="45">
        <v>50.1</v>
      </c>
      <c r="U12" s="45">
        <v>50.7</v>
      </c>
      <c r="V12" s="45">
        <v>50.5</v>
      </c>
      <c r="W12" s="45">
        <v>50.5</v>
      </c>
      <c r="X12" s="45">
        <v>50.5</v>
      </c>
      <c r="Y12" s="45">
        <v>50.5</v>
      </c>
      <c r="Z12" s="45">
        <v>50.4</v>
      </c>
      <c r="AA12" s="45">
        <v>50.3</v>
      </c>
      <c r="AB12" s="45">
        <v>50.3</v>
      </c>
      <c r="AC12" s="45">
        <v>50.3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9" si="2">MAX(B12:AF12)</f>
        <v>50.7</v>
      </c>
      <c r="AI12" s="49">
        <f t="shared" ref="AI12:AI79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27.1</v>
      </c>
      <c r="C13" s="45">
        <v>27.1</v>
      </c>
      <c r="D13" s="45">
        <v>27.1</v>
      </c>
      <c r="E13" s="45">
        <v>27.1</v>
      </c>
      <c r="F13" s="45">
        <v>27.1</v>
      </c>
      <c r="G13" s="45">
        <v>27.1</v>
      </c>
      <c r="H13" s="45">
        <v>27.1</v>
      </c>
      <c r="I13" s="45">
        <v>27.1</v>
      </c>
      <c r="J13" s="45">
        <v>27.1</v>
      </c>
      <c r="K13" s="45">
        <v>24.6</v>
      </c>
      <c r="L13" s="45">
        <v>24.6</v>
      </c>
      <c r="M13" s="45">
        <v>24.6</v>
      </c>
      <c r="N13" s="45">
        <v>24.6</v>
      </c>
      <c r="O13" s="45">
        <v>24.6</v>
      </c>
      <c r="P13" s="45">
        <v>24.6</v>
      </c>
      <c r="Q13" s="45">
        <v>24.6</v>
      </c>
      <c r="R13" s="45">
        <v>24.6</v>
      </c>
      <c r="S13" s="45">
        <v>24.4</v>
      </c>
      <c r="T13" s="45">
        <v>25.2</v>
      </c>
      <c r="U13" s="45">
        <v>25.2</v>
      </c>
      <c r="V13" s="45">
        <v>27.9</v>
      </c>
      <c r="W13" s="45">
        <v>26.8</v>
      </c>
      <c r="X13" s="45">
        <v>26.8</v>
      </c>
      <c r="Y13" s="45">
        <v>26.8</v>
      </c>
      <c r="Z13" s="45">
        <v>29.6</v>
      </c>
      <c r="AA13" s="45">
        <v>28.1</v>
      </c>
      <c r="AB13" s="45">
        <v>28.1</v>
      </c>
      <c r="AC13" s="45">
        <v>28.1</v>
      </c>
      <c r="AD13" s="45">
        <v>27.7</v>
      </c>
      <c r="AE13" s="45">
        <v>27.7</v>
      </c>
      <c r="AF13" s="45">
        <v>27.7</v>
      </c>
      <c r="AG13" s="51">
        <v>45</v>
      </c>
      <c r="AH13" s="48">
        <f t="shared" si="2"/>
        <v>29.6</v>
      </c>
      <c r="AI13" s="49">
        <f t="shared" si="3"/>
        <v>24.4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14.6</v>
      </c>
      <c r="C14" s="45">
        <v>14.6</v>
      </c>
      <c r="D14" s="45">
        <v>14.6</v>
      </c>
      <c r="E14" s="45">
        <v>14.6</v>
      </c>
      <c r="F14" s="45">
        <v>14.6</v>
      </c>
      <c r="G14" s="45">
        <v>14.6</v>
      </c>
      <c r="H14" s="45">
        <v>14.6</v>
      </c>
      <c r="I14" s="45">
        <v>14.6</v>
      </c>
      <c r="J14" s="45">
        <v>14.6</v>
      </c>
      <c r="K14" s="45">
        <v>14.6</v>
      </c>
      <c r="L14" s="45">
        <v>14.6</v>
      </c>
      <c r="M14" s="45">
        <v>14.6</v>
      </c>
      <c r="N14" s="45">
        <v>14.6</v>
      </c>
      <c r="O14" s="45">
        <v>14.6</v>
      </c>
      <c r="P14" s="45">
        <v>14.6</v>
      </c>
      <c r="Q14" s="45">
        <v>14.6</v>
      </c>
      <c r="R14" s="45">
        <v>14.6</v>
      </c>
      <c r="S14" s="45">
        <v>14.6</v>
      </c>
      <c r="T14" s="45">
        <v>14.6</v>
      </c>
      <c r="U14" s="45">
        <v>14.6</v>
      </c>
      <c r="V14" s="45">
        <v>14.6</v>
      </c>
      <c r="W14" s="45">
        <v>14.6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14.6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24</v>
      </c>
      <c r="AF15" s="45">
        <v>24</v>
      </c>
      <c r="AG15" s="51">
        <v>36</v>
      </c>
      <c r="AH15" s="48">
        <f t="shared" si="2"/>
        <v>24</v>
      </c>
      <c r="AI15" s="49">
        <f t="shared" si="3"/>
        <v>24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13</v>
      </c>
      <c r="C16" s="45">
        <v>14.9</v>
      </c>
      <c r="D16" s="45">
        <v>14.9</v>
      </c>
      <c r="E16" s="45">
        <v>14.9</v>
      </c>
      <c r="F16" s="45">
        <v>14.9</v>
      </c>
      <c r="G16" s="45">
        <v>14.9</v>
      </c>
      <c r="H16" s="45">
        <v>14.9</v>
      </c>
      <c r="I16" s="45">
        <v>14.9</v>
      </c>
      <c r="J16" s="45">
        <v>14.9</v>
      </c>
      <c r="K16" s="45">
        <v>15.6</v>
      </c>
      <c r="L16" s="45">
        <v>15.6</v>
      </c>
      <c r="M16" s="45">
        <v>15.6</v>
      </c>
      <c r="N16" s="45">
        <v>15.6</v>
      </c>
      <c r="O16" s="45">
        <v>15.6</v>
      </c>
      <c r="P16" s="45">
        <v>15.6</v>
      </c>
      <c r="Q16" s="45">
        <v>15.6</v>
      </c>
      <c r="R16" s="45">
        <v>15.6</v>
      </c>
      <c r="S16" s="45">
        <v>14.8</v>
      </c>
      <c r="T16" s="45">
        <v>14.9</v>
      </c>
      <c r="U16" s="45">
        <v>14.9</v>
      </c>
      <c r="V16" s="45">
        <v>15.3</v>
      </c>
      <c r="W16" s="45">
        <v>15.1</v>
      </c>
      <c r="X16" s="45">
        <v>15.4</v>
      </c>
      <c r="Y16" s="45">
        <v>15.4</v>
      </c>
      <c r="Z16" s="45">
        <v>15.4</v>
      </c>
      <c r="AA16" s="45">
        <v>15.4</v>
      </c>
      <c r="AB16" s="45">
        <v>15.4</v>
      </c>
      <c r="AC16" s="45">
        <v>15.4</v>
      </c>
      <c r="AD16" s="45">
        <v>14.5</v>
      </c>
      <c r="AE16" s="45">
        <v>14.5</v>
      </c>
      <c r="AF16" s="45">
        <v>14.5</v>
      </c>
      <c r="AG16" s="52">
        <v>30</v>
      </c>
      <c r="AH16" s="48">
        <f t="shared" si="2"/>
        <v>15.6</v>
      </c>
      <c r="AI16" s="49">
        <f t="shared" si="3"/>
        <v>13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13.6</v>
      </c>
      <c r="C17" s="45">
        <v>13.6</v>
      </c>
      <c r="D17" s="45">
        <v>13.6</v>
      </c>
      <c r="E17" s="45">
        <v>13.6</v>
      </c>
      <c r="F17" s="45">
        <v>13.6</v>
      </c>
      <c r="G17" s="45">
        <v>13.6</v>
      </c>
      <c r="H17" s="45">
        <v>13.6</v>
      </c>
      <c r="I17" s="45">
        <v>13.6</v>
      </c>
      <c r="J17" s="45">
        <v>13.6</v>
      </c>
      <c r="K17" s="45">
        <v>17</v>
      </c>
      <c r="L17" s="45">
        <v>17</v>
      </c>
      <c r="M17" s="45">
        <v>17</v>
      </c>
      <c r="N17" s="45">
        <v>17</v>
      </c>
      <c r="O17" s="45">
        <v>17</v>
      </c>
      <c r="P17" s="45">
        <v>17</v>
      </c>
      <c r="Q17" s="45">
        <v>17</v>
      </c>
      <c r="R17" s="45">
        <v>17</v>
      </c>
      <c r="S17" s="45">
        <v>13.3</v>
      </c>
      <c r="T17" s="45">
        <v>13.5</v>
      </c>
      <c r="U17" s="45">
        <v>13.5</v>
      </c>
      <c r="V17" s="45">
        <v>13.3</v>
      </c>
      <c r="W17" s="45">
        <v>13.3</v>
      </c>
      <c r="X17" s="45">
        <v>13.3</v>
      </c>
      <c r="Y17" s="45">
        <v>13.3</v>
      </c>
      <c r="Z17" s="45">
        <v>13.3</v>
      </c>
      <c r="AA17" s="45">
        <v>13.3</v>
      </c>
      <c r="AB17" s="45">
        <v>13.3</v>
      </c>
      <c r="AC17" s="45">
        <v>13.3</v>
      </c>
      <c r="AD17" s="45">
        <v>14.9</v>
      </c>
      <c r="AE17" s="45">
        <v>14.9</v>
      </c>
      <c r="AF17" s="45">
        <v>14.9</v>
      </c>
      <c r="AG17" s="51">
        <v>24.2</v>
      </c>
      <c r="AH17" s="48">
        <f t="shared" si="2"/>
        <v>17</v>
      </c>
      <c r="AI17" s="49">
        <f t="shared" si="3"/>
        <v>13.3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15.5</v>
      </c>
      <c r="O18" s="45">
        <v>15.5</v>
      </c>
      <c r="P18" s="45">
        <v>15.5</v>
      </c>
      <c r="Q18" s="45">
        <v>15.5</v>
      </c>
      <c r="R18" s="45">
        <v>15.5</v>
      </c>
      <c r="S18" s="45">
        <v>15.5</v>
      </c>
      <c r="T18" s="45">
        <v>15.5</v>
      </c>
      <c r="U18" s="45">
        <v>15.5</v>
      </c>
      <c r="V18" s="45">
        <v>15.5</v>
      </c>
      <c r="W18" s="45">
        <v>15.5</v>
      </c>
      <c r="X18" s="45">
        <v>15.5</v>
      </c>
      <c r="Y18" s="45">
        <v>15.5</v>
      </c>
      <c r="Z18" s="45">
        <v>15.5</v>
      </c>
      <c r="AA18" s="45">
        <v>15.5</v>
      </c>
      <c r="AB18" s="45">
        <v>15.5</v>
      </c>
      <c r="AC18" s="45">
        <v>15.5</v>
      </c>
      <c r="AD18" s="45">
        <v>15.5</v>
      </c>
      <c r="AE18" s="45">
        <v>15.5</v>
      </c>
      <c r="AF18" s="45">
        <v>15.5</v>
      </c>
      <c r="AG18" s="51">
        <v>28</v>
      </c>
      <c r="AH18" s="48">
        <f t="shared" si="2"/>
        <v>15.5</v>
      </c>
      <c r="AI18" s="49">
        <f t="shared" si="3"/>
        <v>15.5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17</v>
      </c>
      <c r="H19" s="45">
        <v>17</v>
      </c>
      <c r="I19" s="45">
        <v>17</v>
      </c>
      <c r="J19" s="45">
        <v>17</v>
      </c>
      <c r="K19" s="45">
        <v>17</v>
      </c>
      <c r="L19" s="45">
        <v>17</v>
      </c>
      <c r="M19" s="45">
        <v>17</v>
      </c>
      <c r="N19" s="45">
        <v>17</v>
      </c>
      <c r="O19" s="45">
        <v>17</v>
      </c>
      <c r="P19" s="45">
        <v>17</v>
      </c>
      <c r="Q19" s="45">
        <v>17</v>
      </c>
      <c r="R19" s="45">
        <v>17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17</v>
      </c>
      <c r="AE19" s="45">
        <v>17</v>
      </c>
      <c r="AF19" s="45">
        <v>17</v>
      </c>
      <c r="AG19" s="52">
        <v>30</v>
      </c>
      <c r="AH19" s="48">
        <f t="shared" si="2"/>
        <v>17</v>
      </c>
      <c r="AI19" s="49">
        <f t="shared" si="3"/>
        <v>17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</v>
      </c>
      <c r="C20" s="45">
        <v>13.1</v>
      </c>
      <c r="D20" s="45">
        <v>13.1</v>
      </c>
      <c r="E20" s="45">
        <v>13.1</v>
      </c>
      <c r="F20" s="45">
        <v>13.1</v>
      </c>
      <c r="G20" s="45">
        <v>13.1</v>
      </c>
      <c r="H20" s="45">
        <v>13.1</v>
      </c>
      <c r="I20" s="45">
        <v>13.1</v>
      </c>
      <c r="J20" s="45">
        <v>13.1</v>
      </c>
      <c r="K20" s="45">
        <v>13.1</v>
      </c>
      <c r="L20" s="45">
        <v>13.1</v>
      </c>
      <c r="M20" s="45">
        <v>13.1</v>
      </c>
      <c r="N20" s="45">
        <v>13.1</v>
      </c>
      <c r="O20" s="45">
        <v>13.1</v>
      </c>
      <c r="P20" s="45">
        <v>13.1</v>
      </c>
      <c r="Q20" s="45">
        <v>13.1</v>
      </c>
      <c r="R20" s="45">
        <v>13.1</v>
      </c>
      <c r="S20" s="45">
        <v>13.1</v>
      </c>
      <c r="T20" s="45">
        <v>13.2</v>
      </c>
      <c r="U20" s="45">
        <v>13.2</v>
      </c>
      <c r="V20" s="45">
        <v>13.2</v>
      </c>
      <c r="W20" s="45">
        <v>13.2</v>
      </c>
      <c r="X20" s="45">
        <v>13.2</v>
      </c>
      <c r="Y20" s="45">
        <v>13.2</v>
      </c>
      <c r="Z20" s="45">
        <v>13.2</v>
      </c>
      <c r="AA20" s="45">
        <v>13.2</v>
      </c>
      <c r="AB20" s="45">
        <v>13.2</v>
      </c>
      <c r="AC20" s="45">
        <v>13.2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13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13.9</v>
      </c>
      <c r="C24" s="45">
        <v>13.9</v>
      </c>
      <c r="D24" s="45">
        <v>13.9</v>
      </c>
      <c r="E24" s="45">
        <v>13.9</v>
      </c>
      <c r="F24" s="45">
        <v>13.9</v>
      </c>
      <c r="G24" s="45">
        <v>13.9</v>
      </c>
      <c r="H24" s="45">
        <v>13.9</v>
      </c>
      <c r="I24" s="45">
        <v>13.9</v>
      </c>
      <c r="J24" s="45">
        <v>13.9</v>
      </c>
      <c r="K24" s="45">
        <v>13.9</v>
      </c>
      <c r="L24" s="45">
        <v>13.9</v>
      </c>
      <c r="M24" s="45">
        <v>13.9</v>
      </c>
      <c r="N24" s="45">
        <v>13.9</v>
      </c>
      <c r="O24" s="45">
        <v>13.9</v>
      </c>
      <c r="P24" s="45">
        <v>13.9</v>
      </c>
      <c r="Q24" s="45">
        <v>13.9</v>
      </c>
      <c r="R24" s="45">
        <v>13.9</v>
      </c>
      <c r="S24" s="45">
        <v>13.9</v>
      </c>
      <c r="T24" s="45">
        <v>13.9</v>
      </c>
      <c r="U24" s="45">
        <v>13.9</v>
      </c>
      <c r="V24" s="45">
        <v>13</v>
      </c>
      <c r="W24" s="45">
        <v>13</v>
      </c>
      <c r="X24" s="45">
        <v>13</v>
      </c>
      <c r="Y24" s="45">
        <v>13</v>
      </c>
      <c r="Z24" s="45">
        <v>13</v>
      </c>
      <c r="AA24" s="45">
        <v>13</v>
      </c>
      <c r="AB24" s="45">
        <v>13</v>
      </c>
      <c r="AC24" s="45">
        <v>13</v>
      </c>
      <c r="AD24" s="45">
        <v>12.5</v>
      </c>
      <c r="AE24" s="45">
        <v>12.5</v>
      </c>
      <c r="AF24" s="45">
        <v>12.5</v>
      </c>
      <c r="AG24" s="51">
        <v>23.5</v>
      </c>
      <c r="AH24" s="48">
        <f t="shared" si="2"/>
        <v>13.9</v>
      </c>
      <c r="AI24" s="49">
        <f t="shared" si="3"/>
        <v>12.5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14</v>
      </c>
      <c r="N27" s="45">
        <v>14</v>
      </c>
      <c r="O27" s="45">
        <v>14</v>
      </c>
      <c r="P27" s="45">
        <v>14</v>
      </c>
      <c r="Q27" s="45">
        <v>14</v>
      </c>
      <c r="R27" s="45">
        <v>14</v>
      </c>
      <c r="S27" s="45">
        <v>14</v>
      </c>
      <c r="T27" s="45">
        <v>14</v>
      </c>
      <c r="U27" s="45">
        <v>14</v>
      </c>
      <c r="V27" s="45">
        <v>14</v>
      </c>
      <c r="W27" s="45">
        <v>14</v>
      </c>
      <c r="X27" s="45">
        <v>14</v>
      </c>
      <c r="Y27" s="45">
        <v>14</v>
      </c>
      <c r="Z27" s="45">
        <v>14</v>
      </c>
      <c r="AA27" s="45">
        <v>14</v>
      </c>
      <c r="AB27" s="45">
        <v>14</v>
      </c>
      <c r="AC27" s="45">
        <v>14</v>
      </c>
      <c r="AD27" s="45">
        <v>14</v>
      </c>
      <c r="AE27" s="45">
        <v>14</v>
      </c>
      <c r="AF27" s="45">
        <v>14</v>
      </c>
      <c r="AG27" s="51">
        <v>22</v>
      </c>
      <c r="AH27" s="48">
        <f t="shared" si="2"/>
        <v>14</v>
      </c>
      <c r="AI27" s="49">
        <f t="shared" si="3"/>
        <v>14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>
        <v>3</v>
      </c>
      <c r="O30" s="45">
        <v>3</v>
      </c>
      <c r="P30" s="45">
        <v>3</v>
      </c>
      <c r="Q30" s="45">
        <v>3</v>
      </c>
      <c r="R30" s="45">
        <v>3</v>
      </c>
      <c r="S30" s="45">
        <v>3</v>
      </c>
      <c r="T30" s="45">
        <v>6</v>
      </c>
      <c r="U30" s="45">
        <v>6</v>
      </c>
      <c r="V30" s="45">
        <v>6</v>
      </c>
      <c r="W30" s="45">
        <v>6</v>
      </c>
      <c r="X30" s="45">
        <v>6</v>
      </c>
      <c r="Y30" s="45">
        <v>6</v>
      </c>
      <c r="Z30" s="45">
        <v>6</v>
      </c>
      <c r="AA30" s="45">
        <v>6</v>
      </c>
      <c r="AB30" s="45">
        <v>6</v>
      </c>
      <c r="AC30" s="45">
        <v>6</v>
      </c>
      <c r="AD30" s="45">
        <v>6</v>
      </c>
      <c r="AE30" s="45">
        <v>6</v>
      </c>
      <c r="AF30" s="45">
        <v>6</v>
      </c>
      <c r="AG30" s="51">
        <v>18</v>
      </c>
      <c r="AH30" s="48">
        <f t="shared" ref="AH30" si="4">MAX(B30:AF30)</f>
        <v>6</v>
      </c>
      <c r="AI30" s="49">
        <f t="shared" ref="AI30" si="5">MIN(B30:AF30)</f>
        <v>3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6.3</v>
      </c>
      <c r="C31" s="45">
        <v>6.3</v>
      </c>
      <c r="D31" s="45">
        <v>6.3</v>
      </c>
      <c r="E31" s="45">
        <v>6.3</v>
      </c>
      <c r="F31" s="45">
        <v>6.3</v>
      </c>
      <c r="G31" s="45">
        <v>6.3</v>
      </c>
      <c r="H31" s="45">
        <v>6.3</v>
      </c>
      <c r="I31" s="45">
        <v>6.3</v>
      </c>
      <c r="J31" s="45">
        <v>6.3</v>
      </c>
      <c r="K31" s="45">
        <v>6.3</v>
      </c>
      <c r="L31" s="45">
        <v>6.3</v>
      </c>
      <c r="M31" s="45">
        <v>6.3</v>
      </c>
      <c r="N31" s="45">
        <v>6.3</v>
      </c>
      <c r="O31" s="45">
        <v>6.3</v>
      </c>
      <c r="P31" s="45">
        <v>6.3</v>
      </c>
      <c r="Q31" s="45">
        <v>6.3</v>
      </c>
      <c r="R31" s="45">
        <v>6.3</v>
      </c>
      <c r="S31" s="45">
        <v>6.3</v>
      </c>
      <c r="T31" s="45">
        <v>6.3</v>
      </c>
      <c r="U31" s="45">
        <v>6.3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>MAX(B31:AF31)</f>
        <v>6.3</v>
      </c>
      <c r="AI31" s="49">
        <f>MIN(B31:AF31)</f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1">
        <v>12</v>
      </c>
      <c r="AH34" s="48">
        <f t="shared" si="2"/>
        <v>8</v>
      </c>
      <c r="AI34" s="49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7</v>
      </c>
      <c r="C40" s="45">
        <v>7</v>
      </c>
      <c r="D40" s="45">
        <v>7</v>
      </c>
      <c r="E40" s="45">
        <v>7</v>
      </c>
      <c r="F40" s="45">
        <v>7</v>
      </c>
      <c r="G40" s="45">
        <v>7</v>
      </c>
      <c r="H40" s="45">
        <v>7</v>
      </c>
      <c r="I40" s="45">
        <v>7</v>
      </c>
      <c r="J40" s="45">
        <v>7</v>
      </c>
      <c r="K40" s="45">
        <v>7</v>
      </c>
      <c r="L40" s="45">
        <v>7</v>
      </c>
      <c r="M40" s="45">
        <v>7</v>
      </c>
      <c r="N40" s="45">
        <v>7</v>
      </c>
      <c r="O40" s="45">
        <v>7</v>
      </c>
      <c r="P40" s="45">
        <v>7</v>
      </c>
      <c r="Q40" s="45">
        <v>7</v>
      </c>
      <c r="R40" s="45">
        <v>7</v>
      </c>
      <c r="S40" s="45">
        <v>7</v>
      </c>
      <c r="T40" s="45">
        <v>7</v>
      </c>
      <c r="U40" s="45">
        <v>7</v>
      </c>
      <c r="V40" s="45">
        <v>7</v>
      </c>
      <c r="W40" s="45">
        <v>7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7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0</v>
      </c>
      <c r="J41" s="57">
        <v>0</v>
      </c>
      <c r="K41" s="57">
        <v>0</v>
      </c>
      <c r="L41" s="57">
        <v>0</v>
      </c>
      <c r="M41" s="57">
        <v>2</v>
      </c>
      <c r="N41" s="57">
        <v>2</v>
      </c>
      <c r="O41" s="57">
        <v>2</v>
      </c>
      <c r="P41" s="57">
        <v>2</v>
      </c>
      <c r="Q41" s="57">
        <v>2</v>
      </c>
      <c r="R41" s="57">
        <v>2</v>
      </c>
      <c r="S41" s="57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2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220</v>
      </c>
      <c r="C42" s="57">
        <v>220</v>
      </c>
      <c r="D42" s="57">
        <v>220</v>
      </c>
      <c r="E42" s="57">
        <v>220</v>
      </c>
      <c r="F42" s="57">
        <v>220</v>
      </c>
      <c r="G42" s="57">
        <v>220</v>
      </c>
      <c r="H42" s="57">
        <v>220</v>
      </c>
      <c r="I42" s="57">
        <v>220</v>
      </c>
      <c r="J42" s="57">
        <v>220</v>
      </c>
      <c r="K42" s="57">
        <v>220</v>
      </c>
      <c r="L42" s="57">
        <v>220</v>
      </c>
      <c r="M42" s="57">
        <v>220</v>
      </c>
      <c r="N42" s="57">
        <v>220</v>
      </c>
      <c r="O42" s="57">
        <v>220</v>
      </c>
      <c r="P42" s="57">
        <v>220</v>
      </c>
      <c r="Q42" s="57">
        <v>220</v>
      </c>
      <c r="R42" s="57">
        <v>220</v>
      </c>
      <c r="S42" s="57">
        <v>220</v>
      </c>
      <c r="T42" s="57">
        <v>220</v>
      </c>
      <c r="U42" s="57">
        <v>220</v>
      </c>
      <c r="V42" s="57">
        <v>220</v>
      </c>
      <c r="W42" s="57">
        <v>220</v>
      </c>
      <c r="X42" s="57">
        <v>220</v>
      </c>
      <c r="Y42" s="57">
        <v>220</v>
      </c>
      <c r="Z42" s="57">
        <v>220</v>
      </c>
      <c r="AA42" s="57">
        <v>220</v>
      </c>
      <c r="AB42" s="57">
        <v>220</v>
      </c>
      <c r="AC42" s="57">
        <v>220</v>
      </c>
      <c r="AD42" s="57">
        <v>220</v>
      </c>
      <c r="AE42" s="57">
        <v>220</v>
      </c>
      <c r="AF42" s="57">
        <v>220</v>
      </c>
      <c r="AG42" s="55">
        <v>85</v>
      </c>
      <c r="AH42" s="48">
        <f t="shared" si="2"/>
        <v>220</v>
      </c>
      <c r="AI42" s="49">
        <f t="shared" si="3"/>
        <v>220</v>
      </c>
      <c r="AK42" s="50"/>
    </row>
    <row r="43" spans="1:88" ht="15.75" thickBot="1" x14ac:dyDescent="0.3">
      <c r="A43" s="58" t="s">
        <v>47</v>
      </c>
      <c r="B43" s="59">
        <f>34.4+41.1</f>
        <v>75.5</v>
      </c>
      <c r="C43" s="59">
        <f>34.4+40.7</f>
        <v>75.099999999999994</v>
      </c>
      <c r="D43" s="59">
        <v>74.900000000000006</v>
      </c>
      <c r="E43" s="59">
        <v>74.900000000000006</v>
      </c>
      <c r="F43" s="59">
        <v>74.900000000000006</v>
      </c>
      <c r="G43" s="59">
        <v>74.900000000000006</v>
      </c>
      <c r="H43" s="59">
        <v>74.900000000000006</v>
      </c>
      <c r="I43" s="59">
        <v>73</v>
      </c>
      <c r="J43" s="59">
        <v>73</v>
      </c>
      <c r="K43" s="59">
        <f>34.7+38.6</f>
        <v>73.300000000000011</v>
      </c>
      <c r="L43" s="57">
        <f>33.7+40.4</f>
        <v>74.099999999999994</v>
      </c>
      <c r="M43" s="57">
        <f>34.3+39.3</f>
        <v>73.599999999999994</v>
      </c>
      <c r="N43" s="57">
        <f>33.8+39.2</f>
        <v>73</v>
      </c>
      <c r="O43" s="57">
        <f>35.6+41.4</f>
        <v>77</v>
      </c>
      <c r="P43" s="57">
        <f>36+41</f>
        <v>77</v>
      </c>
      <c r="Q43" s="57"/>
      <c r="R43" s="57">
        <f>34.9+39.8</f>
        <v>74.699999999999989</v>
      </c>
      <c r="S43" s="59">
        <v>76.3</v>
      </c>
      <c r="T43" s="59">
        <v>76</v>
      </c>
      <c r="U43" s="59">
        <v>74</v>
      </c>
      <c r="V43" s="59">
        <v>68.099999999999994</v>
      </c>
      <c r="W43" s="59">
        <v>68.099999999999994</v>
      </c>
      <c r="X43" s="59">
        <v>68.099999999999994</v>
      </c>
      <c r="Y43" s="59">
        <v>68.2</v>
      </c>
      <c r="Z43" s="59">
        <v>72</v>
      </c>
      <c r="AA43" s="59">
        <v>72.900000000000006</v>
      </c>
      <c r="AB43" s="59">
        <f>33.1+37.2</f>
        <v>70.300000000000011</v>
      </c>
      <c r="AC43" s="59">
        <f>33.3+37.6</f>
        <v>70.900000000000006</v>
      </c>
      <c r="AD43" s="59">
        <f>33.2+35.6</f>
        <v>68.800000000000011</v>
      </c>
      <c r="AE43" s="59">
        <f>33.4+37</f>
        <v>70.400000000000006</v>
      </c>
      <c r="AF43" s="59">
        <f>33.6+39.4</f>
        <v>73</v>
      </c>
      <c r="AG43" s="55">
        <v>240</v>
      </c>
      <c r="AH43" s="48">
        <f t="shared" si="2"/>
        <v>77</v>
      </c>
      <c r="AI43" s="49">
        <f t="shared" si="3"/>
        <v>68.099999999999994</v>
      </c>
      <c r="AK43" s="50"/>
    </row>
    <row r="44" spans="1:88" ht="15.75" thickBot="1" x14ac:dyDescent="0.3">
      <c r="A44" s="60" t="s">
        <v>48</v>
      </c>
      <c r="B44" s="61">
        <f>SUM(B11:B42)</f>
        <v>610.9</v>
      </c>
      <c r="C44" s="61">
        <f>SUM(C11:C42)</f>
        <v>612.9</v>
      </c>
      <c r="D44" s="61">
        <f t="shared" ref="D44:AG44" si="6">SUM(D11:D42)</f>
        <v>612.9</v>
      </c>
      <c r="E44" s="61">
        <f t="shared" si="6"/>
        <v>612.9</v>
      </c>
      <c r="F44" s="61">
        <f t="shared" si="6"/>
        <v>612.9</v>
      </c>
      <c r="G44" s="61">
        <f t="shared" si="6"/>
        <v>612.9</v>
      </c>
      <c r="H44" s="61">
        <f t="shared" si="6"/>
        <v>612.9</v>
      </c>
      <c r="I44" s="61">
        <f t="shared" si="6"/>
        <v>612.9</v>
      </c>
      <c r="J44" s="61">
        <f t="shared" si="6"/>
        <v>612.9</v>
      </c>
      <c r="K44" s="61">
        <f t="shared" si="6"/>
        <v>616.29999999999995</v>
      </c>
      <c r="L44" s="61">
        <f t="shared" si="6"/>
        <v>616.29999999999995</v>
      </c>
      <c r="M44" s="61">
        <f t="shared" si="6"/>
        <v>618.29999999999995</v>
      </c>
      <c r="N44" s="61">
        <f t="shared" si="6"/>
        <v>621.29999999999995</v>
      </c>
      <c r="O44" s="61">
        <f t="shared" si="6"/>
        <v>621.29999999999995</v>
      </c>
      <c r="P44" s="61">
        <f t="shared" si="6"/>
        <v>621.29999999999995</v>
      </c>
      <c r="Q44" s="61">
        <f t="shared" si="6"/>
        <v>621.29999999999995</v>
      </c>
      <c r="R44" s="61">
        <f t="shared" si="6"/>
        <v>619.20000000000005</v>
      </c>
      <c r="S44" s="61">
        <f t="shared" si="6"/>
        <v>613.20000000000005</v>
      </c>
      <c r="T44" s="61">
        <f t="shared" si="6"/>
        <v>617.29999999999995</v>
      </c>
      <c r="U44" s="61">
        <f t="shared" si="6"/>
        <v>618</v>
      </c>
      <c r="V44" s="61">
        <f t="shared" si="6"/>
        <v>620</v>
      </c>
      <c r="W44" s="61">
        <f t="shared" si="6"/>
        <v>619.79999999999995</v>
      </c>
      <c r="X44" s="61">
        <f t="shared" si="6"/>
        <v>620.5</v>
      </c>
      <c r="Y44" s="61">
        <f t="shared" si="6"/>
        <v>620.5</v>
      </c>
      <c r="Z44" s="61">
        <f t="shared" si="6"/>
        <v>620.70000000000005</v>
      </c>
      <c r="AA44" s="61">
        <f t="shared" si="6"/>
        <v>619.1</v>
      </c>
      <c r="AB44" s="61">
        <f t="shared" si="6"/>
        <v>619.1</v>
      </c>
      <c r="AC44" s="61">
        <f t="shared" si="6"/>
        <v>619.1</v>
      </c>
      <c r="AD44" s="61">
        <f t="shared" si="6"/>
        <v>623</v>
      </c>
      <c r="AE44" s="61">
        <f t="shared" si="6"/>
        <v>623</v>
      </c>
      <c r="AF44" s="61">
        <f t="shared" si="6"/>
        <v>623</v>
      </c>
      <c r="AG44" s="62">
        <f t="shared" si="6"/>
        <v>814.78000000000009</v>
      </c>
      <c r="AH44" s="48">
        <f t="shared" si="2"/>
        <v>623</v>
      </c>
      <c r="AI44" s="49">
        <f t="shared" si="3"/>
        <v>610.9</v>
      </c>
      <c r="AK44" s="50"/>
    </row>
    <row r="45" spans="1:88" x14ac:dyDescent="0.25">
      <c r="A45" s="63" t="s">
        <v>49</v>
      </c>
      <c r="B45" s="45">
        <v>30</v>
      </c>
      <c r="C45" s="45">
        <v>30</v>
      </c>
      <c r="D45" s="45">
        <v>15</v>
      </c>
      <c r="E45" s="45">
        <v>15</v>
      </c>
      <c r="F45" s="45">
        <v>15</v>
      </c>
      <c r="G45" s="45">
        <v>25</v>
      </c>
      <c r="H45" s="45">
        <v>40</v>
      </c>
      <c r="I45" s="45">
        <v>105</v>
      </c>
      <c r="J45" s="45">
        <v>225</v>
      </c>
      <c r="K45" s="45">
        <v>300</v>
      </c>
      <c r="L45" s="45">
        <v>330</v>
      </c>
      <c r="M45" s="45">
        <v>330</v>
      </c>
      <c r="N45" s="45">
        <v>350</v>
      </c>
      <c r="O45" s="45">
        <v>175</v>
      </c>
      <c r="P45" s="45">
        <v>30</v>
      </c>
      <c r="Q45" s="45">
        <v>30</v>
      </c>
      <c r="R45" s="45">
        <v>30</v>
      </c>
      <c r="S45" s="45">
        <v>40</v>
      </c>
      <c r="T45" s="45">
        <v>20</v>
      </c>
      <c r="U45" s="45">
        <v>30</v>
      </c>
      <c r="V45" s="45">
        <v>160</v>
      </c>
      <c r="W45" s="45">
        <v>370</v>
      </c>
      <c r="X45" s="45">
        <v>456</v>
      </c>
      <c r="Y45" s="45">
        <v>386</v>
      </c>
      <c r="Z45" s="45">
        <v>335</v>
      </c>
      <c r="AA45" s="45">
        <v>300</v>
      </c>
      <c r="AB45" s="45">
        <v>300</v>
      </c>
      <c r="AC45" s="45">
        <v>240</v>
      </c>
      <c r="AD45" s="45">
        <v>210</v>
      </c>
      <c r="AE45" s="45">
        <v>30</v>
      </c>
      <c r="AF45" s="45">
        <v>15</v>
      </c>
      <c r="AG45" s="52">
        <v>456</v>
      </c>
      <c r="AH45" s="48">
        <f t="shared" si="2"/>
        <v>456</v>
      </c>
      <c r="AI45" s="49">
        <f t="shared" si="3"/>
        <v>15</v>
      </c>
      <c r="AK45" s="50"/>
    </row>
    <row r="46" spans="1:88" x14ac:dyDescent="0.25">
      <c r="A46" s="64" t="s">
        <v>50</v>
      </c>
      <c r="B46" s="65">
        <v>50</v>
      </c>
      <c r="C46" s="65">
        <v>50</v>
      </c>
      <c r="D46" s="65">
        <v>50</v>
      </c>
      <c r="E46" s="65">
        <v>50</v>
      </c>
      <c r="F46" s="65">
        <v>50</v>
      </c>
      <c r="G46" s="65">
        <v>50</v>
      </c>
      <c r="H46" s="65">
        <v>50</v>
      </c>
      <c r="I46" s="65">
        <v>50</v>
      </c>
      <c r="J46" s="65">
        <v>50</v>
      </c>
      <c r="K46" s="65">
        <v>50</v>
      </c>
      <c r="L46" s="65">
        <v>50</v>
      </c>
      <c r="M46" s="65">
        <v>50</v>
      </c>
      <c r="N46" s="65">
        <v>50</v>
      </c>
      <c r="O46" s="65">
        <v>50</v>
      </c>
      <c r="P46" s="65">
        <v>50</v>
      </c>
      <c r="Q46" s="65">
        <v>50</v>
      </c>
      <c r="R46" s="65">
        <v>50</v>
      </c>
      <c r="S46" s="65">
        <v>49</v>
      </c>
      <c r="T46" s="65">
        <v>49</v>
      </c>
      <c r="U46" s="65">
        <v>49</v>
      </c>
      <c r="V46" s="65">
        <v>49</v>
      </c>
      <c r="W46" s="65">
        <v>49</v>
      </c>
      <c r="X46" s="65">
        <v>49</v>
      </c>
      <c r="Y46" s="65">
        <v>50</v>
      </c>
      <c r="Z46" s="65">
        <v>50</v>
      </c>
      <c r="AA46" s="65">
        <v>50</v>
      </c>
      <c r="AB46" s="65">
        <v>50</v>
      </c>
      <c r="AC46" s="65">
        <v>50</v>
      </c>
      <c r="AD46" s="65">
        <v>50</v>
      </c>
      <c r="AE46" s="65">
        <v>50</v>
      </c>
      <c r="AF46" s="65">
        <v>50</v>
      </c>
      <c r="AG46" s="55">
        <v>60</v>
      </c>
      <c r="AH46" s="48">
        <f t="shared" si="2"/>
        <v>50</v>
      </c>
      <c r="AI46" s="49">
        <f t="shared" si="3"/>
        <v>49</v>
      </c>
      <c r="AK46" s="50"/>
    </row>
    <row r="47" spans="1:88" ht="15.75" thickBot="1" x14ac:dyDescent="0.3">
      <c r="A47" s="66" t="s">
        <v>51</v>
      </c>
      <c r="B47" s="67">
        <v>20.100000000000001</v>
      </c>
      <c r="C47" s="67">
        <v>20.100000000000001</v>
      </c>
      <c r="D47" s="67">
        <v>20.100000000000001</v>
      </c>
      <c r="E47" s="67">
        <v>20.100000000000001</v>
      </c>
      <c r="F47" s="67">
        <v>20.100000000000001</v>
      </c>
      <c r="G47" s="67">
        <v>20.100000000000001</v>
      </c>
      <c r="H47" s="67">
        <v>20.100000000000001</v>
      </c>
      <c r="I47" s="67">
        <v>20.100000000000001</v>
      </c>
      <c r="J47" s="67">
        <v>20.100000000000001</v>
      </c>
      <c r="K47" s="67">
        <v>20.100000000000001</v>
      </c>
      <c r="L47" s="67">
        <v>20.100000000000001</v>
      </c>
      <c r="M47" s="67">
        <v>20.100000000000001</v>
      </c>
      <c r="N47" s="67">
        <v>18.3</v>
      </c>
      <c r="O47" s="67">
        <v>18.3</v>
      </c>
      <c r="P47" s="67">
        <v>18.3</v>
      </c>
      <c r="Q47" s="67">
        <v>18.3</v>
      </c>
      <c r="R47" s="67">
        <v>18.3</v>
      </c>
      <c r="S47" s="67">
        <v>18.2</v>
      </c>
      <c r="T47" s="67">
        <v>18.100000000000001</v>
      </c>
      <c r="U47" s="67">
        <v>17.3</v>
      </c>
      <c r="V47" s="67">
        <v>17.3</v>
      </c>
      <c r="W47" s="67">
        <v>17.3</v>
      </c>
      <c r="X47" s="67">
        <v>21.7</v>
      </c>
      <c r="Y47" s="67">
        <v>21.6</v>
      </c>
      <c r="Z47" s="67">
        <v>20.100000000000001</v>
      </c>
      <c r="AA47" s="67">
        <v>20</v>
      </c>
      <c r="AB47" s="67">
        <v>20</v>
      </c>
      <c r="AC47" s="67">
        <v>20</v>
      </c>
      <c r="AD47" s="67">
        <v>20</v>
      </c>
      <c r="AE47" s="67">
        <v>20</v>
      </c>
      <c r="AF47" s="67">
        <v>20</v>
      </c>
      <c r="AG47" s="68">
        <v>22.1</v>
      </c>
      <c r="AH47" s="48">
        <f t="shared" si="2"/>
        <v>21.7</v>
      </c>
      <c r="AI47" s="49">
        <f t="shared" si="3"/>
        <v>17.3</v>
      </c>
      <c r="AK47" s="50"/>
    </row>
    <row r="48" spans="1:88" ht="15.75" thickBot="1" x14ac:dyDescent="0.3">
      <c r="A48" s="69" t="s">
        <v>52</v>
      </c>
      <c r="B48" s="61">
        <f t="shared" ref="B48:AG48" si="7">SUM(B45:B47)</f>
        <v>100.1</v>
      </c>
      <c r="C48" s="61">
        <f t="shared" si="7"/>
        <v>100.1</v>
      </c>
      <c r="D48" s="61">
        <f t="shared" si="7"/>
        <v>85.1</v>
      </c>
      <c r="E48" s="61">
        <f t="shared" si="7"/>
        <v>85.1</v>
      </c>
      <c r="F48" s="61">
        <f t="shared" si="7"/>
        <v>85.1</v>
      </c>
      <c r="G48" s="61">
        <f t="shared" si="7"/>
        <v>95.1</v>
      </c>
      <c r="H48" s="61">
        <f t="shared" si="7"/>
        <v>110.1</v>
      </c>
      <c r="I48" s="61">
        <f t="shared" si="7"/>
        <v>175.1</v>
      </c>
      <c r="J48" s="61">
        <f t="shared" si="7"/>
        <v>295.10000000000002</v>
      </c>
      <c r="K48" s="61">
        <f t="shared" si="7"/>
        <v>370.1</v>
      </c>
      <c r="L48" s="61">
        <f t="shared" si="7"/>
        <v>400.1</v>
      </c>
      <c r="M48" s="61">
        <f t="shared" si="7"/>
        <v>400.1</v>
      </c>
      <c r="N48" s="61">
        <f t="shared" si="7"/>
        <v>418.3</v>
      </c>
      <c r="O48" s="61">
        <f t="shared" si="7"/>
        <v>243.3</v>
      </c>
      <c r="P48" s="61">
        <f t="shared" si="7"/>
        <v>98.3</v>
      </c>
      <c r="Q48" s="61">
        <f t="shared" si="7"/>
        <v>98.3</v>
      </c>
      <c r="R48" s="61">
        <f t="shared" si="7"/>
        <v>98.3</v>
      </c>
      <c r="S48" s="61">
        <f t="shared" si="7"/>
        <v>107.2</v>
      </c>
      <c r="T48" s="61">
        <f t="shared" si="7"/>
        <v>87.1</v>
      </c>
      <c r="U48" s="61">
        <f t="shared" si="7"/>
        <v>96.3</v>
      </c>
      <c r="V48" s="61">
        <f t="shared" si="7"/>
        <v>226.3</v>
      </c>
      <c r="W48" s="61">
        <f t="shared" si="7"/>
        <v>436.3</v>
      </c>
      <c r="X48" s="61">
        <f t="shared" si="7"/>
        <v>526.70000000000005</v>
      </c>
      <c r="Y48" s="61">
        <f t="shared" si="7"/>
        <v>457.6</v>
      </c>
      <c r="Z48" s="61">
        <f t="shared" si="7"/>
        <v>405.1</v>
      </c>
      <c r="AA48" s="61">
        <f t="shared" si="7"/>
        <v>370</v>
      </c>
      <c r="AB48" s="61">
        <f t="shared" si="7"/>
        <v>370</v>
      </c>
      <c r="AC48" s="61">
        <f t="shared" si="7"/>
        <v>310</v>
      </c>
      <c r="AD48" s="61">
        <f t="shared" si="7"/>
        <v>280</v>
      </c>
      <c r="AE48" s="61">
        <f t="shared" si="7"/>
        <v>100</v>
      </c>
      <c r="AF48" s="61">
        <f t="shared" si="7"/>
        <v>85</v>
      </c>
      <c r="AG48" s="62">
        <f t="shared" si="7"/>
        <v>538.1</v>
      </c>
      <c r="AH48" s="48">
        <f t="shared" si="2"/>
        <v>526.70000000000005</v>
      </c>
      <c r="AI48" s="49">
        <f t="shared" si="3"/>
        <v>85</v>
      </c>
      <c r="AK48" s="50"/>
    </row>
    <row r="49" spans="1:41" x14ac:dyDescent="0.25">
      <c r="A49" s="44" t="s">
        <v>53</v>
      </c>
      <c r="B49" s="45">
        <v>35</v>
      </c>
      <c r="C49" s="45">
        <v>26.2</v>
      </c>
      <c r="D49" s="45">
        <v>26.3</v>
      </c>
      <c r="E49" s="45">
        <v>36</v>
      </c>
      <c r="F49" s="45">
        <v>26.8</v>
      </c>
      <c r="G49" s="45">
        <v>37</v>
      </c>
      <c r="H49" s="45">
        <v>76.2</v>
      </c>
      <c r="I49" s="45">
        <v>79.599999999999994</v>
      </c>
      <c r="J49" s="45">
        <v>125.8</v>
      </c>
      <c r="K49" s="45">
        <v>142.30000000000001</v>
      </c>
      <c r="L49" s="45">
        <v>142.30000000000001</v>
      </c>
      <c r="M49" s="45">
        <v>142.30000000000001</v>
      </c>
      <c r="N49" s="45">
        <v>142.30000000000001</v>
      </c>
      <c r="O49" s="45">
        <v>142.30000000000001</v>
      </c>
      <c r="P49" s="45">
        <v>142.30000000000001</v>
      </c>
      <c r="Q49" s="45">
        <v>114</v>
      </c>
      <c r="R49" s="45">
        <v>96.9</v>
      </c>
      <c r="S49" s="45">
        <v>94.2</v>
      </c>
      <c r="T49" s="45">
        <v>120</v>
      </c>
      <c r="U49" s="45">
        <v>132.5</v>
      </c>
      <c r="V49" s="45">
        <v>135.30000000000001</v>
      </c>
      <c r="W49" s="45">
        <v>141.69999999999999</v>
      </c>
      <c r="X49" s="45">
        <v>141.69999999999999</v>
      </c>
      <c r="Y49" s="45">
        <v>141.69999999999999</v>
      </c>
      <c r="Z49" s="45">
        <v>141.4</v>
      </c>
      <c r="AA49" s="45">
        <v>141.4</v>
      </c>
      <c r="AB49" s="45">
        <v>132</v>
      </c>
      <c r="AC49" s="45">
        <v>132.80000000000001</v>
      </c>
      <c r="AD49" s="45">
        <v>132.80000000000001</v>
      </c>
      <c r="AE49" s="45">
        <v>78</v>
      </c>
      <c r="AF49" s="45">
        <v>22.3</v>
      </c>
      <c r="AG49" s="52">
        <v>144</v>
      </c>
      <c r="AH49" s="48">
        <f t="shared" si="2"/>
        <v>142.30000000000001</v>
      </c>
      <c r="AI49" s="49">
        <f t="shared" si="3"/>
        <v>22.3</v>
      </c>
      <c r="AK49" s="50"/>
    </row>
    <row r="50" spans="1:41" x14ac:dyDescent="0.25">
      <c r="A50" s="54" t="s">
        <v>54</v>
      </c>
      <c r="B50" s="65">
        <v>34.9</v>
      </c>
      <c r="C50" s="65">
        <v>26</v>
      </c>
      <c r="D50" s="65">
        <v>31</v>
      </c>
      <c r="E50" s="65">
        <v>21.8</v>
      </c>
      <c r="F50" s="65">
        <v>29.5</v>
      </c>
      <c r="G50" s="65">
        <v>54</v>
      </c>
      <c r="H50" s="65">
        <v>57.4</v>
      </c>
      <c r="I50" s="65">
        <v>62</v>
      </c>
      <c r="J50" s="65">
        <v>69.8</v>
      </c>
      <c r="K50" s="65">
        <v>69.900000000000006</v>
      </c>
      <c r="L50" s="65">
        <v>70.599999999999994</v>
      </c>
      <c r="M50" s="65">
        <v>70.599999999999994</v>
      </c>
      <c r="N50" s="65">
        <v>70.599999999999994</v>
      </c>
      <c r="O50" s="65">
        <v>70.599999999999994</v>
      </c>
      <c r="P50" s="65">
        <v>70.599999999999994</v>
      </c>
      <c r="Q50" s="45">
        <v>55</v>
      </c>
      <c r="R50" s="45">
        <v>50.5</v>
      </c>
      <c r="S50" s="65">
        <v>70.099999999999994</v>
      </c>
      <c r="T50" s="65">
        <v>70.099999999999994</v>
      </c>
      <c r="U50" s="65">
        <v>50</v>
      </c>
      <c r="V50" s="65">
        <v>61.4</v>
      </c>
      <c r="W50" s="65">
        <v>69.599999999999994</v>
      </c>
      <c r="X50" s="65">
        <v>71</v>
      </c>
      <c r="Y50" s="65">
        <v>71</v>
      </c>
      <c r="Z50" s="65">
        <v>58</v>
      </c>
      <c r="AA50" s="65">
        <v>58</v>
      </c>
      <c r="AB50" s="65">
        <v>58</v>
      </c>
      <c r="AC50" s="65">
        <v>61.9</v>
      </c>
      <c r="AD50" s="65">
        <v>61.9</v>
      </c>
      <c r="AE50" s="65">
        <v>26.4</v>
      </c>
      <c r="AF50" s="65">
        <v>0</v>
      </c>
      <c r="AG50" s="55">
        <v>70</v>
      </c>
      <c r="AH50" s="48">
        <f t="shared" si="2"/>
        <v>71</v>
      </c>
      <c r="AI50" s="49">
        <f t="shared" si="3"/>
        <v>0</v>
      </c>
      <c r="AK50" s="50"/>
    </row>
    <row r="51" spans="1:41" x14ac:dyDescent="0.25">
      <c r="A51" s="54" t="s">
        <v>55</v>
      </c>
      <c r="B51" s="65">
        <v>33</v>
      </c>
      <c r="C51" s="65">
        <v>15.3</v>
      </c>
      <c r="D51" s="65">
        <v>37</v>
      </c>
      <c r="E51" s="65">
        <v>45.4</v>
      </c>
      <c r="F51" s="65">
        <v>45</v>
      </c>
      <c r="G51" s="65">
        <v>62</v>
      </c>
      <c r="H51" s="65">
        <v>55</v>
      </c>
      <c r="I51" s="65">
        <v>68.900000000000006</v>
      </c>
      <c r="J51" s="65">
        <v>68.8</v>
      </c>
      <c r="K51" s="65">
        <v>60</v>
      </c>
      <c r="L51" s="65">
        <v>62</v>
      </c>
      <c r="M51" s="65">
        <v>62</v>
      </c>
      <c r="N51" s="65">
        <v>62</v>
      </c>
      <c r="O51" s="65">
        <v>62</v>
      </c>
      <c r="P51" s="65">
        <v>62</v>
      </c>
      <c r="Q51" s="45">
        <v>34.299999999999997</v>
      </c>
      <c r="R51" s="45">
        <v>34.299999999999997</v>
      </c>
      <c r="S51" s="65">
        <v>45.6</v>
      </c>
      <c r="T51" s="65">
        <v>63.4</v>
      </c>
      <c r="U51" s="65">
        <v>67</v>
      </c>
      <c r="V51" s="65">
        <v>55.2</v>
      </c>
      <c r="W51" s="65">
        <v>67.5</v>
      </c>
      <c r="X51" s="65">
        <v>68.5</v>
      </c>
      <c r="Y51" s="65">
        <v>68.5</v>
      </c>
      <c r="Z51" s="65">
        <v>61.9</v>
      </c>
      <c r="AA51" s="65">
        <v>61.9</v>
      </c>
      <c r="AB51" s="65">
        <v>61.9</v>
      </c>
      <c r="AC51" s="65">
        <v>67</v>
      </c>
      <c r="AD51" s="65">
        <v>67</v>
      </c>
      <c r="AE51" s="65">
        <v>48.1</v>
      </c>
      <c r="AF51" s="65">
        <v>36.9</v>
      </c>
      <c r="AG51" s="55">
        <v>69</v>
      </c>
      <c r="AH51" s="48">
        <f t="shared" si="2"/>
        <v>68.900000000000006</v>
      </c>
      <c r="AI51" s="49">
        <f t="shared" si="3"/>
        <v>15.3</v>
      </c>
      <c r="AK51" s="50"/>
    </row>
    <row r="52" spans="1:41" x14ac:dyDescent="0.25">
      <c r="A52" s="54" t="s">
        <v>56</v>
      </c>
      <c r="B52" s="57">
        <v>61.2</v>
      </c>
      <c r="C52" s="57">
        <v>61.5</v>
      </c>
      <c r="D52" s="57">
        <v>61.5</v>
      </c>
      <c r="E52" s="57">
        <v>61.5</v>
      </c>
      <c r="F52" s="57">
        <v>61.5</v>
      </c>
      <c r="G52" s="57">
        <v>61.2</v>
      </c>
      <c r="H52" s="57">
        <v>61.5</v>
      </c>
      <c r="I52" s="57">
        <v>61.5</v>
      </c>
      <c r="J52" s="57">
        <v>61.2</v>
      </c>
      <c r="K52" s="57">
        <v>61.5</v>
      </c>
      <c r="L52" s="57">
        <v>61.2</v>
      </c>
      <c r="M52" s="57">
        <v>61.2</v>
      </c>
      <c r="N52" s="57">
        <v>61.2</v>
      </c>
      <c r="O52" s="57">
        <v>61.2</v>
      </c>
      <c r="P52" s="57">
        <v>61.2</v>
      </c>
      <c r="Q52" s="57">
        <v>61.2</v>
      </c>
      <c r="R52" s="57">
        <v>61.2</v>
      </c>
      <c r="S52" s="45">
        <v>61.2</v>
      </c>
      <c r="T52" s="45">
        <v>61.2</v>
      </c>
      <c r="U52" s="45">
        <v>61.2</v>
      </c>
      <c r="V52" s="45">
        <v>61.2</v>
      </c>
      <c r="W52" s="45">
        <v>61.2</v>
      </c>
      <c r="X52" s="65">
        <v>61.2</v>
      </c>
      <c r="Y52" s="65">
        <v>61.2</v>
      </c>
      <c r="Z52" s="65">
        <v>61.9</v>
      </c>
      <c r="AA52" s="65">
        <v>61.9</v>
      </c>
      <c r="AB52" s="65">
        <v>61.9</v>
      </c>
      <c r="AC52" s="65">
        <v>61.2</v>
      </c>
      <c r="AD52" s="65">
        <v>61.2</v>
      </c>
      <c r="AE52" s="57">
        <v>61.5</v>
      </c>
      <c r="AF52" s="57">
        <v>61.5</v>
      </c>
      <c r="AG52" s="55">
        <v>60</v>
      </c>
      <c r="AH52" s="48">
        <f t="shared" si="2"/>
        <v>61.9</v>
      </c>
      <c r="AI52" s="49">
        <f t="shared" si="3"/>
        <v>61.2</v>
      </c>
      <c r="AK52" s="50"/>
    </row>
    <row r="53" spans="1:41" x14ac:dyDescent="0.25">
      <c r="A53" s="54" t="s">
        <v>57</v>
      </c>
      <c r="B53" s="57">
        <v>13.9</v>
      </c>
      <c r="C53" s="57">
        <v>13.9</v>
      </c>
      <c r="D53" s="57">
        <v>0</v>
      </c>
      <c r="E53" s="57">
        <v>0</v>
      </c>
      <c r="F53" s="57">
        <v>0</v>
      </c>
      <c r="G53" s="57">
        <v>13.4</v>
      </c>
      <c r="H53" s="57">
        <v>15</v>
      </c>
      <c r="I53" s="57">
        <v>15</v>
      </c>
      <c r="J53" s="57">
        <v>29.6</v>
      </c>
      <c r="K53" s="57">
        <v>26.2</v>
      </c>
      <c r="L53" s="57">
        <v>29</v>
      </c>
      <c r="M53" s="57">
        <v>29</v>
      </c>
      <c r="N53" s="57">
        <v>29</v>
      </c>
      <c r="O53" s="57">
        <v>14</v>
      </c>
      <c r="P53" s="57">
        <v>14</v>
      </c>
      <c r="Q53" s="57">
        <v>14</v>
      </c>
      <c r="R53" s="57">
        <v>13.4</v>
      </c>
      <c r="S53" s="45">
        <v>13.6</v>
      </c>
      <c r="T53" s="45">
        <v>0</v>
      </c>
      <c r="U53" s="45">
        <v>0</v>
      </c>
      <c r="V53" s="45">
        <v>0</v>
      </c>
      <c r="W53" s="45">
        <v>15</v>
      </c>
      <c r="X53" s="65">
        <v>29.8</v>
      </c>
      <c r="Y53" s="65">
        <v>29.8</v>
      </c>
      <c r="Z53" s="65">
        <v>26</v>
      </c>
      <c r="AA53" s="65">
        <v>26</v>
      </c>
      <c r="AB53" s="65">
        <v>26</v>
      </c>
      <c r="AC53" s="65">
        <v>13.8</v>
      </c>
      <c r="AD53" s="65">
        <v>13.8</v>
      </c>
      <c r="AE53" s="57">
        <v>13.3</v>
      </c>
      <c r="AF53" s="57">
        <v>13.4</v>
      </c>
      <c r="AG53" s="55">
        <v>30</v>
      </c>
      <c r="AH53" s="48">
        <f t="shared" si="2"/>
        <v>29.8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8</v>
      </c>
      <c r="N54" s="65">
        <v>8</v>
      </c>
      <c r="O54" s="65">
        <v>8</v>
      </c>
      <c r="P54" s="65">
        <v>8</v>
      </c>
      <c r="Q54" s="65">
        <v>8</v>
      </c>
      <c r="R54" s="65">
        <v>8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</v>
      </c>
      <c r="C55" s="65">
        <v>17.3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17.3</v>
      </c>
      <c r="N55" s="65">
        <v>17.3</v>
      </c>
      <c r="O55" s="65">
        <v>17.3</v>
      </c>
      <c r="P55" s="65">
        <v>17.3</v>
      </c>
      <c r="Q55" s="65">
        <v>17.3</v>
      </c>
      <c r="R55" s="65">
        <v>17.3</v>
      </c>
      <c r="S55" s="45">
        <v>17.3</v>
      </c>
      <c r="T55" s="45">
        <v>18.3</v>
      </c>
      <c r="U55" s="45">
        <v>17.600000000000001</v>
      </c>
      <c r="V55" s="45">
        <v>17.600000000000001</v>
      </c>
      <c r="W55" s="45">
        <v>17.600000000000001</v>
      </c>
      <c r="X55" s="45">
        <v>0</v>
      </c>
      <c r="Y55" s="45">
        <v>0</v>
      </c>
      <c r="Z55" s="45">
        <v>0</v>
      </c>
      <c r="AA55" s="45">
        <v>0</v>
      </c>
      <c r="AB55" s="45">
        <v>17.3</v>
      </c>
      <c r="AC55" s="45">
        <v>17.3</v>
      </c>
      <c r="AD55" s="45">
        <v>17.3</v>
      </c>
      <c r="AE55" s="45">
        <v>17.3</v>
      </c>
      <c r="AF55" s="45">
        <v>17.3</v>
      </c>
      <c r="AG55" s="55">
        <v>24</v>
      </c>
      <c r="AH55" s="48">
        <f t="shared" si="2"/>
        <v>18.3</v>
      </c>
      <c r="AI55" s="49">
        <f t="shared" si="3"/>
        <v>0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4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15.6</v>
      </c>
      <c r="C57" s="65">
        <v>15.8</v>
      </c>
      <c r="D57" s="65">
        <v>15.8</v>
      </c>
      <c r="E57" s="65">
        <v>15.8</v>
      </c>
      <c r="F57" s="65">
        <v>15.8</v>
      </c>
      <c r="G57" s="65">
        <v>15.8</v>
      </c>
      <c r="H57" s="65">
        <v>15.8</v>
      </c>
      <c r="I57" s="65">
        <v>15.8</v>
      </c>
      <c r="J57" s="65">
        <v>15.8</v>
      </c>
      <c r="K57" s="65">
        <v>15.8</v>
      </c>
      <c r="L57" s="65">
        <v>15.8</v>
      </c>
      <c r="M57" s="65">
        <v>15.8</v>
      </c>
      <c r="N57" s="65">
        <v>15.8</v>
      </c>
      <c r="O57" s="65">
        <v>15.8</v>
      </c>
      <c r="P57" s="65">
        <v>15.8</v>
      </c>
      <c r="Q57" s="65">
        <v>15.8</v>
      </c>
      <c r="R57" s="65">
        <v>15.8</v>
      </c>
      <c r="S57" s="65">
        <v>14</v>
      </c>
      <c r="T57" s="45">
        <v>14.1</v>
      </c>
      <c r="U57" s="65">
        <v>14.5</v>
      </c>
      <c r="V57" s="65">
        <v>14.5</v>
      </c>
      <c r="W57" s="65">
        <v>14.5</v>
      </c>
      <c r="X57" s="65">
        <v>14.6</v>
      </c>
      <c r="Y57" s="65">
        <v>14.6</v>
      </c>
      <c r="Z57" s="65">
        <v>14.7</v>
      </c>
      <c r="AA57" s="65">
        <v>14.7</v>
      </c>
      <c r="AB57" s="65">
        <v>14.7</v>
      </c>
      <c r="AC57" s="65">
        <v>14.7</v>
      </c>
      <c r="AD57" s="65">
        <v>14.7</v>
      </c>
      <c r="AE57" s="65">
        <v>14.7</v>
      </c>
      <c r="AF57" s="65">
        <v>14.7</v>
      </c>
      <c r="AG57" s="55">
        <v>14.1</v>
      </c>
      <c r="AH57" s="48">
        <f t="shared" si="2"/>
        <v>15.8</v>
      </c>
      <c r="AI57" s="49">
        <f t="shared" si="3"/>
        <v>14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7.7</v>
      </c>
      <c r="C58" s="65">
        <v>7.7</v>
      </c>
      <c r="D58" s="65">
        <v>7.7</v>
      </c>
      <c r="E58" s="65">
        <v>7.7</v>
      </c>
      <c r="F58" s="65">
        <v>7.7</v>
      </c>
      <c r="G58" s="65">
        <v>7.7</v>
      </c>
      <c r="H58" s="65">
        <v>7.7</v>
      </c>
      <c r="I58" s="65">
        <v>7.7</v>
      </c>
      <c r="J58" s="65">
        <v>7.7</v>
      </c>
      <c r="K58" s="65">
        <v>7.7</v>
      </c>
      <c r="L58" s="65">
        <v>7.7</v>
      </c>
      <c r="M58" s="65">
        <v>7.7</v>
      </c>
      <c r="N58" s="65">
        <v>7.7</v>
      </c>
      <c r="O58" s="65">
        <v>7.7</v>
      </c>
      <c r="P58" s="65">
        <v>7.7</v>
      </c>
      <c r="Q58" s="65">
        <v>7.7</v>
      </c>
      <c r="R58" s="65">
        <v>9.3000000000000007</v>
      </c>
      <c r="S58" s="65">
        <v>3.2</v>
      </c>
      <c r="T58" s="45">
        <v>7.5</v>
      </c>
      <c r="U58" s="65">
        <v>7.5</v>
      </c>
      <c r="V58" s="65">
        <v>8.1</v>
      </c>
      <c r="W58" s="65">
        <v>8.1</v>
      </c>
      <c r="X58" s="65">
        <v>8.3000000000000007</v>
      </c>
      <c r="Y58" s="65">
        <v>8.3000000000000007</v>
      </c>
      <c r="Z58" s="65">
        <v>8.1999999999999993</v>
      </c>
      <c r="AA58" s="65">
        <v>8.1999999999999993</v>
      </c>
      <c r="AB58" s="65">
        <v>8.1999999999999993</v>
      </c>
      <c r="AC58" s="65">
        <v>7.5</v>
      </c>
      <c r="AD58" s="65">
        <v>7.5</v>
      </c>
      <c r="AE58" s="65">
        <v>7.5</v>
      </c>
      <c r="AF58" s="65">
        <v>7.5</v>
      </c>
      <c r="AG58" s="55">
        <v>14</v>
      </c>
      <c r="AH58" s="48">
        <f t="shared" si="2"/>
        <v>9.3000000000000007</v>
      </c>
      <c r="AI58" s="49">
        <f t="shared" si="3"/>
        <v>3.2</v>
      </c>
      <c r="AK58" s="50"/>
    </row>
    <row r="59" spans="1:41" x14ac:dyDescent="0.25">
      <c r="A59" s="54" t="s">
        <v>63</v>
      </c>
      <c r="B59" s="65">
        <v>7.4</v>
      </c>
      <c r="C59" s="65">
        <v>7.4</v>
      </c>
      <c r="D59" s="65">
        <v>7.4</v>
      </c>
      <c r="E59" s="65">
        <v>7.4</v>
      </c>
      <c r="F59" s="65">
        <v>7.4</v>
      </c>
      <c r="G59" s="65">
        <v>7.4</v>
      </c>
      <c r="H59" s="65">
        <v>7.4</v>
      </c>
      <c r="I59" s="65">
        <v>7.4</v>
      </c>
      <c r="J59" s="65">
        <v>7.4</v>
      </c>
      <c r="K59" s="65">
        <v>7.4</v>
      </c>
      <c r="L59" s="65">
        <v>7.4</v>
      </c>
      <c r="M59" s="65">
        <v>7.4</v>
      </c>
      <c r="N59" s="65">
        <v>7.4</v>
      </c>
      <c r="O59" s="65">
        <v>7.4</v>
      </c>
      <c r="P59" s="65">
        <v>7.4</v>
      </c>
      <c r="Q59" s="65">
        <v>7.4</v>
      </c>
      <c r="R59" s="65">
        <v>7.4</v>
      </c>
      <c r="S59" s="65">
        <v>7.4</v>
      </c>
      <c r="T59" s="45">
        <v>7.4</v>
      </c>
      <c r="U59" s="65">
        <v>7.4</v>
      </c>
      <c r="V59" s="65">
        <v>7.4</v>
      </c>
      <c r="W59" s="65">
        <v>7.4</v>
      </c>
      <c r="X59" s="65">
        <v>6.1</v>
      </c>
      <c r="Y59" s="65">
        <v>6.1</v>
      </c>
      <c r="Z59" s="65">
        <v>6.1</v>
      </c>
      <c r="AA59" s="65">
        <v>6.1</v>
      </c>
      <c r="AB59" s="65">
        <v>6.1</v>
      </c>
      <c r="AC59" s="65">
        <v>6.1</v>
      </c>
      <c r="AD59" s="65">
        <v>6.1</v>
      </c>
      <c r="AE59" s="65">
        <v>6.1</v>
      </c>
      <c r="AF59" s="65">
        <v>6.1</v>
      </c>
      <c r="AG59" s="55">
        <v>10.050000000000001</v>
      </c>
      <c r="AH59" s="48">
        <f t="shared" si="2"/>
        <v>7.4</v>
      </c>
      <c r="AI59" s="49">
        <f t="shared" si="3"/>
        <v>6.1</v>
      </c>
      <c r="AK59" s="50"/>
    </row>
    <row r="60" spans="1:41" x14ac:dyDescent="0.25">
      <c r="A60" s="54" t="s">
        <v>64</v>
      </c>
      <c r="B60" s="65">
        <v>3.4</v>
      </c>
      <c r="C60" s="65">
        <v>3.4</v>
      </c>
      <c r="D60" s="65">
        <v>3.4</v>
      </c>
      <c r="E60" s="65">
        <v>3.4</v>
      </c>
      <c r="F60" s="65">
        <v>3.4</v>
      </c>
      <c r="G60" s="65">
        <v>3.4</v>
      </c>
      <c r="H60" s="65">
        <v>3.4</v>
      </c>
      <c r="I60" s="65">
        <v>3.4</v>
      </c>
      <c r="J60" s="65">
        <v>3.4</v>
      </c>
      <c r="K60" s="65">
        <v>3.4</v>
      </c>
      <c r="L60" s="65">
        <v>3.4</v>
      </c>
      <c r="M60" s="65">
        <v>3.4</v>
      </c>
      <c r="N60" s="65">
        <v>3.4</v>
      </c>
      <c r="O60" s="65">
        <v>3.4</v>
      </c>
      <c r="P60" s="65">
        <v>3.4</v>
      </c>
      <c r="Q60" s="65">
        <v>3.4</v>
      </c>
      <c r="R60" s="65">
        <v>3.4</v>
      </c>
      <c r="S60" s="65">
        <v>3.4</v>
      </c>
      <c r="T60" s="45">
        <v>3.4</v>
      </c>
      <c r="U60" s="65">
        <v>3.4</v>
      </c>
      <c r="V60" s="65">
        <v>3.4</v>
      </c>
      <c r="W60" s="65">
        <v>3.4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3.4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8">SUM(B49:B61)</f>
        <v>232.94000000000003</v>
      </c>
      <c r="C62" s="61">
        <f t="shared" si="8"/>
        <v>198.04000000000002</v>
      </c>
      <c r="D62" s="61">
        <f t="shared" si="8"/>
        <v>210.94000000000003</v>
      </c>
      <c r="E62" s="61">
        <f t="shared" si="8"/>
        <v>219.84</v>
      </c>
      <c r="F62" s="61">
        <f t="shared" si="8"/>
        <v>217.94000000000003</v>
      </c>
      <c r="G62" s="61">
        <f t="shared" si="8"/>
        <v>282.73999999999995</v>
      </c>
      <c r="H62" s="61">
        <f t="shared" si="8"/>
        <v>320.24</v>
      </c>
      <c r="I62" s="61">
        <f t="shared" si="8"/>
        <v>342.14</v>
      </c>
      <c r="J62" s="61">
        <f t="shared" si="8"/>
        <v>410.34</v>
      </c>
      <c r="K62" s="61">
        <f t="shared" si="8"/>
        <v>415.04</v>
      </c>
      <c r="L62" s="61">
        <f t="shared" si="8"/>
        <v>420.23999999999995</v>
      </c>
      <c r="M62" s="61">
        <f t="shared" si="8"/>
        <v>428.23999999999995</v>
      </c>
      <c r="N62" s="61">
        <f t="shared" si="8"/>
        <v>428.23999999999995</v>
      </c>
      <c r="O62" s="61">
        <f t="shared" si="8"/>
        <v>413.23999999999995</v>
      </c>
      <c r="P62" s="61">
        <f t="shared" si="8"/>
        <v>413.23999999999995</v>
      </c>
      <c r="Q62" s="61">
        <f t="shared" si="8"/>
        <v>341.64</v>
      </c>
      <c r="R62" s="61">
        <f t="shared" si="8"/>
        <v>321.03999999999996</v>
      </c>
      <c r="S62" s="61">
        <f t="shared" si="8"/>
        <v>333.54</v>
      </c>
      <c r="T62" s="61">
        <f t="shared" si="8"/>
        <v>368.94</v>
      </c>
      <c r="U62" s="61">
        <f t="shared" si="8"/>
        <v>364.64</v>
      </c>
      <c r="V62" s="61">
        <f t="shared" si="8"/>
        <v>367.64000000000004</v>
      </c>
      <c r="W62" s="61">
        <f t="shared" si="8"/>
        <v>409.53999999999996</v>
      </c>
      <c r="X62" s="61">
        <f t="shared" si="8"/>
        <v>408.34000000000009</v>
      </c>
      <c r="Y62" s="61">
        <f t="shared" si="8"/>
        <v>408.34000000000009</v>
      </c>
      <c r="Z62" s="61">
        <f t="shared" si="8"/>
        <v>385.34000000000003</v>
      </c>
      <c r="AA62" s="61">
        <f t="shared" si="8"/>
        <v>385.34000000000003</v>
      </c>
      <c r="AB62" s="61">
        <f t="shared" si="8"/>
        <v>393.24000000000007</v>
      </c>
      <c r="AC62" s="61">
        <f t="shared" si="8"/>
        <v>389.44000000000011</v>
      </c>
      <c r="AD62" s="61">
        <f t="shared" si="8"/>
        <v>389.44000000000011</v>
      </c>
      <c r="AE62" s="61">
        <f t="shared" si="8"/>
        <v>280.04000000000008</v>
      </c>
      <c r="AF62" s="61">
        <f t="shared" si="8"/>
        <v>186.83999999999997</v>
      </c>
      <c r="AG62" s="62">
        <f t="shared" si="8"/>
        <v>489.91</v>
      </c>
      <c r="AH62" s="48">
        <f t="shared" si="2"/>
        <v>428.23999999999995</v>
      </c>
      <c r="AI62" s="49">
        <f t="shared" si="3"/>
        <v>186.83999999999997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49.2</v>
      </c>
      <c r="L63" s="45">
        <v>60</v>
      </c>
      <c r="M63" s="45">
        <v>39.799999999999997</v>
      </c>
      <c r="N63" s="45">
        <v>10</v>
      </c>
      <c r="O63" s="45">
        <v>0</v>
      </c>
      <c r="P63" s="45"/>
      <c r="Q63" s="45"/>
      <c r="R63" s="45"/>
      <c r="S63" s="45">
        <v>0</v>
      </c>
      <c r="T63" s="45">
        <v>20.6</v>
      </c>
      <c r="U63" s="45">
        <v>0</v>
      </c>
      <c r="V63" s="45">
        <v>10</v>
      </c>
      <c r="W63" s="45">
        <v>45</v>
      </c>
      <c r="X63" s="45">
        <v>60</v>
      </c>
      <c r="Y63" s="45">
        <v>59.7</v>
      </c>
      <c r="Z63" s="45">
        <v>55</v>
      </c>
      <c r="AA63" s="45">
        <v>29.1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8.6999999999999993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13.7</v>
      </c>
      <c r="L64" s="65">
        <v>22.4</v>
      </c>
      <c r="M64" s="65">
        <v>17.100000000000001</v>
      </c>
      <c r="N64" s="65">
        <v>5</v>
      </c>
      <c r="O64" s="65">
        <v>0</v>
      </c>
      <c r="P64" s="65"/>
      <c r="Q64" s="65"/>
      <c r="R64" s="65"/>
      <c r="S64" s="65">
        <v>0</v>
      </c>
      <c r="T64" s="65">
        <v>9</v>
      </c>
      <c r="U64" s="65">
        <v>0</v>
      </c>
      <c r="V64" s="65">
        <v>10.199999999999999</v>
      </c>
      <c r="W64" s="65">
        <v>20</v>
      </c>
      <c r="X64" s="65">
        <v>30.6</v>
      </c>
      <c r="Y64" s="65">
        <v>29.4</v>
      </c>
      <c r="Z64" s="65">
        <v>25</v>
      </c>
      <c r="AA64" s="65">
        <v>14.6</v>
      </c>
      <c r="AB64" s="65">
        <v>4.7</v>
      </c>
      <c r="AC64" s="65">
        <v>0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30.6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3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5</v>
      </c>
      <c r="L65" s="67">
        <v>8.1999999999999993</v>
      </c>
      <c r="M65" s="67">
        <v>6.3</v>
      </c>
      <c r="N65" s="67">
        <v>1.8</v>
      </c>
      <c r="O65" s="67">
        <v>0</v>
      </c>
      <c r="P65" s="67"/>
      <c r="Q65" s="67"/>
      <c r="R65" s="67"/>
      <c r="S65" s="67">
        <v>0</v>
      </c>
      <c r="T65" s="67">
        <v>3.3</v>
      </c>
      <c r="U65" s="67">
        <v>0</v>
      </c>
      <c r="V65" s="67">
        <v>3.8</v>
      </c>
      <c r="W65" s="67">
        <v>7</v>
      </c>
      <c r="X65" s="67">
        <v>10.4</v>
      </c>
      <c r="Y65" s="67">
        <v>10.7</v>
      </c>
      <c r="Z65" s="67">
        <v>10.7</v>
      </c>
      <c r="AA65" s="67">
        <v>5.3</v>
      </c>
      <c r="AB65" s="67">
        <v>1.7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10.7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9">SUM(B63:B65)</f>
        <v>11.7</v>
      </c>
      <c r="C66" s="61">
        <f t="shared" si="9"/>
        <v>0</v>
      </c>
      <c r="D66" s="61">
        <f t="shared" si="9"/>
        <v>0</v>
      </c>
      <c r="E66" s="61">
        <f t="shared" si="9"/>
        <v>0</v>
      </c>
      <c r="F66" s="61">
        <f t="shared" si="9"/>
        <v>0</v>
      </c>
      <c r="G66" s="61">
        <f t="shared" si="9"/>
        <v>0</v>
      </c>
      <c r="H66" s="61">
        <f t="shared" si="9"/>
        <v>0</v>
      </c>
      <c r="I66" s="61">
        <f t="shared" si="9"/>
        <v>0</v>
      </c>
      <c r="J66" s="61">
        <f t="shared" si="9"/>
        <v>0</v>
      </c>
      <c r="K66" s="61">
        <f t="shared" si="9"/>
        <v>67.900000000000006</v>
      </c>
      <c r="L66" s="61">
        <f t="shared" si="9"/>
        <v>90.600000000000009</v>
      </c>
      <c r="M66" s="61">
        <f t="shared" si="9"/>
        <v>63.199999999999996</v>
      </c>
      <c r="N66" s="61">
        <f t="shared" si="9"/>
        <v>16.8</v>
      </c>
      <c r="O66" s="61">
        <f t="shared" si="9"/>
        <v>0</v>
      </c>
      <c r="P66" s="61">
        <f t="shared" si="9"/>
        <v>0</v>
      </c>
      <c r="Q66" s="61">
        <f t="shared" si="9"/>
        <v>0</v>
      </c>
      <c r="R66" s="61">
        <f t="shared" si="9"/>
        <v>0</v>
      </c>
      <c r="S66" s="61">
        <f t="shared" si="9"/>
        <v>0</v>
      </c>
      <c r="T66" s="61">
        <f t="shared" si="9"/>
        <v>32.9</v>
      </c>
      <c r="U66" s="61">
        <f t="shared" si="9"/>
        <v>0</v>
      </c>
      <c r="V66" s="61">
        <f t="shared" si="9"/>
        <v>24</v>
      </c>
      <c r="W66" s="61">
        <f t="shared" si="9"/>
        <v>72</v>
      </c>
      <c r="X66" s="61">
        <f t="shared" si="9"/>
        <v>101</v>
      </c>
      <c r="Y66" s="61">
        <f t="shared" si="9"/>
        <v>99.8</v>
      </c>
      <c r="Z66" s="61">
        <f t="shared" si="9"/>
        <v>90.7</v>
      </c>
      <c r="AA66" s="61">
        <f t="shared" si="9"/>
        <v>49</v>
      </c>
      <c r="AB66" s="61">
        <f t="shared" si="9"/>
        <v>6.4</v>
      </c>
      <c r="AC66" s="61">
        <f t="shared" si="9"/>
        <v>0</v>
      </c>
      <c r="AD66" s="61">
        <f t="shared" si="9"/>
        <v>0</v>
      </c>
      <c r="AE66" s="61">
        <f t="shared" si="9"/>
        <v>0</v>
      </c>
      <c r="AF66" s="61">
        <f t="shared" si="9"/>
        <v>0</v>
      </c>
      <c r="AG66" s="62">
        <f t="shared" si="9"/>
        <v>106</v>
      </c>
      <c r="AH66" s="48">
        <f t="shared" si="2"/>
        <v>101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18</v>
      </c>
      <c r="I67" s="45">
        <v>16</v>
      </c>
      <c r="J67" s="45">
        <v>47.9</v>
      </c>
      <c r="K67" s="45">
        <v>48.5</v>
      </c>
      <c r="L67" s="45">
        <v>47.8</v>
      </c>
      <c r="M67" s="45">
        <v>53.6</v>
      </c>
      <c r="N67" s="45">
        <v>33.6</v>
      </c>
      <c r="O67" s="45">
        <v>41.9</v>
      </c>
      <c r="P67" s="45">
        <v>18</v>
      </c>
      <c r="Q67" s="45">
        <v>15.1</v>
      </c>
      <c r="R67" s="45">
        <v>16.3</v>
      </c>
      <c r="S67" s="45">
        <v>17</v>
      </c>
      <c r="T67" s="45">
        <v>14.3</v>
      </c>
      <c r="U67" s="45">
        <v>16</v>
      </c>
      <c r="V67" s="45">
        <v>44.2</v>
      </c>
      <c r="W67" s="45">
        <v>50</v>
      </c>
      <c r="X67" s="45">
        <v>47.7</v>
      </c>
      <c r="Y67" s="45">
        <v>45.3</v>
      </c>
      <c r="Z67" s="45">
        <v>46</v>
      </c>
      <c r="AA67" s="45">
        <v>40</v>
      </c>
      <c r="AB67" s="45">
        <v>44.3</v>
      </c>
      <c r="AC67" s="45">
        <v>15.5</v>
      </c>
      <c r="AD67" s="45">
        <v>14.4</v>
      </c>
      <c r="AE67" s="45">
        <v>0</v>
      </c>
      <c r="AF67" s="45">
        <v>0</v>
      </c>
      <c r="AG67" s="52"/>
      <c r="AH67" s="48">
        <f t="shared" si="2"/>
        <v>53.6</v>
      </c>
      <c r="AI67" s="49">
        <f t="shared" si="3"/>
        <v>0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/>
      <c r="R68" s="65"/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-22</v>
      </c>
      <c r="C69" s="65">
        <v>48.1</v>
      </c>
      <c r="D69" s="65">
        <v>39</v>
      </c>
      <c r="E69" s="65">
        <v>40.299999999999997</v>
      </c>
      <c r="F69" s="65">
        <v>40.9</v>
      </c>
      <c r="G69" s="65">
        <v>41.2</v>
      </c>
      <c r="H69" s="65">
        <v>38.6</v>
      </c>
      <c r="I69" s="65">
        <v>39.5</v>
      </c>
      <c r="J69" s="65">
        <v>-45.5</v>
      </c>
      <c r="K69" s="65">
        <v>-104</v>
      </c>
      <c r="L69" s="65">
        <v>-99.2</v>
      </c>
      <c r="M69" s="65">
        <v>-130</v>
      </c>
      <c r="N69" s="65">
        <v>-130</v>
      </c>
      <c r="O69" s="65">
        <v>7.7</v>
      </c>
      <c r="P69" s="65">
        <v>153</v>
      </c>
      <c r="Q69" s="65">
        <v>144</v>
      </c>
      <c r="R69" s="65">
        <v>138</v>
      </c>
      <c r="S69" s="65">
        <v>157</v>
      </c>
      <c r="T69" s="65">
        <v>146</v>
      </c>
      <c r="U69" s="65">
        <v>143</v>
      </c>
      <c r="V69" s="65">
        <v>2</v>
      </c>
      <c r="W69" s="65">
        <v>-102</v>
      </c>
      <c r="X69" s="65">
        <v>-179</v>
      </c>
      <c r="Y69" s="65">
        <v>-170</v>
      </c>
      <c r="Z69" s="65">
        <v>-172</v>
      </c>
      <c r="AA69" s="65">
        <v>-152</v>
      </c>
      <c r="AB69" s="65">
        <v>-167</v>
      </c>
      <c r="AC69" s="65">
        <v>-159</v>
      </c>
      <c r="AD69" s="65">
        <v>-139</v>
      </c>
      <c r="AE69" s="65">
        <v>1.6</v>
      </c>
      <c r="AF69" s="65">
        <v>60</v>
      </c>
      <c r="AG69" s="75"/>
      <c r="AH69" s="48">
        <f t="shared" si="2"/>
        <v>157</v>
      </c>
      <c r="AI69" s="49">
        <f t="shared" si="3"/>
        <v>-179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/>
      <c r="R70" s="76"/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/>
      <c r="R71" s="45"/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/>
      <c r="R72" s="77"/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/>
      <c r="R73" s="77"/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/>
      <c r="R74" s="76"/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/>
      <c r="R75" s="76"/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/>
      <c r="R76" s="79"/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/>
      <c r="R77" s="79"/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10">SUMIF(B67:B77,"&gt;0")</f>
        <v>0</v>
      </c>
      <c r="C78" s="61">
        <f t="shared" si="10"/>
        <v>48.1</v>
      </c>
      <c r="D78" s="61">
        <f t="shared" si="10"/>
        <v>39</v>
      </c>
      <c r="E78" s="61">
        <f t="shared" si="10"/>
        <v>40.299999999999997</v>
      </c>
      <c r="F78" s="61">
        <f t="shared" si="10"/>
        <v>40.9</v>
      </c>
      <c r="G78" s="61">
        <f t="shared" si="10"/>
        <v>41.2</v>
      </c>
      <c r="H78" s="61">
        <f t="shared" si="10"/>
        <v>56.6</v>
      </c>
      <c r="I78" s="61">
        <f t="shared" si="10"/>
        <v>55.5</v>
      </c>
      <c r="J78" s="61">
        <f t="shared" si="10"/>
        <v>47.9</v>
      </c>
      <c r="K78" s="61">
        <f t="shared" si="10"/>
        <v>48.5</v>
      </c>
      <c r="L78" s="61">
        <f t="shared" si="10"/>
        <v>47.8</v>
      </c>
      <c r="M78" s="61">
        <f t="shared" si="10"/>
        <v>53.6</v>
      </c>
      <c r="N78" s="61">
        <f t="shared" si="10"/>
        <v>33.6</v>
      </c>
      <c r="O78" s="61">
        <f t="shared" si="10"/>
        <v>49.6</v>
      </c>
      <c r="P78" s="61">
        <f t="shared" si="10"/>
        <v>171</v>
      </c>
      <c r="Q78" s="61">
        <f t="shared" si="10"/>
        <v>159.1</v>
      </c>
      <c r="R78" s="61">
        <f t="shared" si="10"/>
        <v>154.30000000000001</v>
      </c>
      <c r="S78" s="61">
        <f t="shared" si="10"/>
        <v>174</v>
      </c>
      <c r="T78" s="61">
        <f t="shared" si="10"/>
        <v>160.30000000000001</v>
      </c>
      <c r="U78" s="61">
        <f t="shared" si="10"/>
        <v>159</v>
      </c>
      <c r="V78" s="61">
        <f t="shared" si="10"/>
        <v>46.2</v>
      </c>
      <c r="W78" s="61">
        <f t="shared" si="10"/>
        <v>50</v>
      </c>
      <c r="X78" s="61">
        <f t="shared" si="10"/>
        <v>47.7</v>
      </c>
      <c r="Y78" s="61">
        <f t="shared" si="10"/>
        <v>45.3</v>
      </c>
      <c r="Z78" s="61">
        <f t="shared" si="10"/>
        <v>46</v>
      </c>
      <c r="AA78" s="61">
        <f t="shared" si="10"/>
        <v>40</v>
      </c>
      <c r="AB78" s="61">
        <f t="shared" si="10"/>
        <v>44.3</v>
      </c>
      <c r="AC78" s="61">
        <f t="shared" si="10"/>
        <v>15.5</v>
      </c>
      <c r="AD78" s="61">
        <f t="shared" si="10"/>
        <v>14.4</v>
      </c>
      <c r="AE78" s="61">
        <f t="shared" si="10"/>
        <v>1.6</v>
      </c>
      <c r="AF78" s="61">
        <f t="shared" si="10"/>
        <v>60</v>
      </c>
      <c r="AG78" s="81">
        <f>SUM(AG67:AG77)</f>
        <v>0</v>
      </c>
      <c r="AH78" s="48">
        <f t="shared" si="2"/>
        <v>174</v>
      </c>
      <c r="AI78" s="49">
        <f t="shared" si="3"/>
        <v>0</v>
      </c>
      <c r="AK78" s="50"/>
    </row>
    <row r="79" spans="1:37" x14ac:dyDescent="0.25">
      <c r="A79" s="44" t="s">
        <v>83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/>
      <c r="N79" s="76"/>
      <c r="O79" s="76"/>
      <c r="P79" s="76"/>
      <c r="Q79" s="76"/>
      <c r="R79" s="76"/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/>
      <c r="N80" s="77"/>
      <c r="O80" s="77"/>
      <c r="P80" s="77"/>
      <c r="Q80" s="77"/>
      <c r="R80" s="77"/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/>
      <c r="AC80" s="77"/>
      <c r="AD80" s="77"/>
      <c r="AE80" s="77"/>
      <c r="AF80" s="77"/>
      <c r="AG80" s="75">
        <v>14.4</v>
      </c>
      <c r="AH80" s="48">
        <f t="shared" ref="AH80:AH113" si="11">MAX(B80:AF80)</f>
        <v>0</v>
      </c>
      <c r="AI80" s="49">
        <f t="shared" ref="AI80:AI113" si="12">MIN(B80:AF80)</f>
        <v>0</v>
      </c>
      <c r="AK80" s="50"/>
    </row>
    <row r="81" spans="1:37" ht="15.75" thickBot="1" x14ac:dyDescent="0.3">
      <c r="A81" s="78" t="s">
        <v>85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/>
      <c r="N81" s="79"/>
      <c r="O81" s="79"/>
      <c r="P81" s="79"/>
      <c r="Q81" s="79"/>
      <c r="R81" s="79"/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/>
      <c r="AC81" s="79"/>
      <c r="AD81" s="79"/>
      <c r="AE81" s="79"/>
      <c r="AF81" s="79"/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87</v>
      </c>
      <c r="B83" s="83">
        <f t="shared" ref="B83:AG83" si="13">B44+B48+B66+B62+B78+B82</f>
        <v>955.6400000000001</v>
      </c>
      <c r="C83" s="83">
        <f t="shared" si="13"/>
        <v>959.14</v>
      </c>
      <c r="D83" s="83">
        <f t="shared" si="13"/>
        <v>947.94</v>
      </c>
      <c r="E83" s="83">
        <f t="shared" si="13"/>
        <v>958.14</v>
      </c>
      <c r="F83" s="83">
        <f t="shared" si="13"/>
        <v>956.84</v>
      </c>
      <c r="G83" s="83">
        <f t="shared" si="13"/>
        <v>1031.94</v>
      </c>
      <c r="H83" s="83">
        <f t="shared" si="13"/>
        <v>1099.8399999999999</v>
      </c>
      <c r="I83" s="83">
        <f t="shared" si="13"/>
        <v>1185.6399999999999</v>
      </c>
      <c r="J83" s="83">
        <f t="shared" si="13"/>
        <v>1366.24</v>
      </c>
      <c r="K83" s="83">
        <f t="shared" si="13"/>
        <v>1517.84</v>
      </c>
      <c r="L83" s="83">
        <f t="shared" si="13"/>
        <v>1575.04</v>
      </c>
      <c r="M83" s="83">
        <f t="shared" si="13"/>
        <v>1563.4399999999998</v>
      </c>
      <c r="N83" s="83">
        <f t="shared" si="13"/>
        <v>1518.2399999999998</v>
      </c>
      <c r="O83" s="83">
        <f t="shared" si="13"/>
        <v>1327.4399999999998</v>
      </c>
      <c r="P83" s="83">
        <f t="shared" si="13"/>
        <v>1303.8399999999999</v>
      </c>
      <c r="Q83" s="83">
        <f t="shared" si="13"/>
        <v>1220.3399999999997</v>
      </c>
      <c r="R83" s="83">
        <f t="shared" si="13"/>
        <v>1192.8399999999999</v>
      </c>
      <c r="S83" s="83">
        <f t="shared" si="13"/>
        <v>1227.94</v>
      </c>
      <c r="T83" s="83">
        <f t="shared" si="13"/>
        <v>1266.54</v>
      </c>
      <c r="U83" s="83">
        <f t="shared" si="13"/>
        <v>1237.94</v>
      </c>
      <c r="V83" s="83">
        <f t="shared" si="13"/>
        <v>1284.1400000000001</v>
      </c>
      <c r="W83" s="83">
        <f t="shared" si="13"/>
        <v>1587.6399999999999</v>
      </c>
      <c r="X83" s="83">
        <f t="shared" si="13"/>
        <v>1704.2400000000002</v>
      </c>
      <c r="Y83" s="83">
        <f t="shared" si="13"/>
        <v>1631.54</v>
      </c>
      <c r="Z83" s="83">
        <f t="shared" si="13"/>
        <v>1547.8400000000001</v>
      </c>
      <c r="AA83" s="83">
        <f t="shared" si="13"/>
        <v>1463.44</v>
      </c>
      <c r="AB83" s="83">
        <f t="shared" si="13"/>
        <v>1433.04</v>
      </c>
      <c r="AC83" s="83">
        <f t="shared" si="13"/>
        <v>1334.0400000000002</v>
      </c>
      <c r="AD83" s="83">
        <f t="shared" si="13"/>
        <v>1306.8400000000001</v>
      </c>
      <c r="AE83" s="83">
        <f t="shared" si="13"/>
        <v>1004.6400000000001</v>
      </c>
      <c r="AF83" s="83">
        <f t="shared" si="13"/>
        <v>954.83999999999992</v>
      </c>
      <c r="AG83" s="62">
        <f t="shared" si="13"/>
        <v>2004.1900000000003</v>
      </c>
      <c r="AH83" s="48">
        <f t="shared" si="11"/>
        <v>1704.2400000000002</v>
      </c>
      <c r="AI83" s="49">
        <f t="shared" si="12"/>
        <v>947.94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1"/>
        <v>0</v>
      </c>
      <c r="AI84" s="49">
        <f t="shared" si="12"/>
        <v>0</v>
      </c>
    </row>
    <row r="85" spans="1:37" ht="15.75" thickBot="1" x14ac:dyDescent="0.3">
      <c r="A85" s="74" t="s">
        <v>89</v>
      </c>
      <c r="B85" s="83">
        <f t="shared" ref="B85:AF85" si="14">B83+B84</f>
        <v>955.6400000000001</v>
      </c>
      <c r="C85" s="83">
        <f t="shared" si="14"/>
        <v>959.14</v>
      </c>
      <c r="D85" s="83">
        <f t="shared" si="14"/>
        <v>947.94</v>
      </c>
      <c r="E85" s="83">
        <f t="shared" si="14"/>
        <v>958.14</v>
      </c>
      <c r="F85" s="83">
        <f t="shared" si="14"/>
        <v>956.84</v>
      </c>
      <c r="G85" s="83">
        <f t="shared" si="14"/>
        <v>1031.94</v>
      </c>
      <c r="H85" s="83">
        <f t="shared" si="14"/>
        <v>1099.8399999999999</v>
      </c>
      <c r="I85" s="83">
        <f t="shared" si="14"/>
        <v>1185.6399999999999</v>
      </c>
      <c r="J85" s="83">
        <f t="shared" si="14"/>
        <v>1366.24</v>
      </c>
      <c r="K85" s="83">
        <f t="shared" si="14"/>
        <v>1517.84</v>
      </c>
      <c r="L85" s="83">
        <f t="shared" si="14"/>
        <v>1575.04</v>
      </c>
      <c r="M85" s="83">
        <f t="shared" si="14"/>
        <v>1563.4399999999998</v>
      </c>
      <c r="N85" s="83">
        <f t="shared" si="14"/>
        <v>1518.2399999999998</v>
      </c>
      <c r="O85" s="83">
        <f t="shared" si="14"/>
        <v>1327.4399999999998</v>
      </c>
      <c r="P85" s="83">
        <f t="shared" si="14"/>
        <v>1303.8399999999999</v>
      </c>
      <c r="Q85" s="83">
        <f t="shared" si="14"/>
        <v>1220.3399999999997</v>
      </c>
      <c r="R85" s="83">
        <f t="shared" si="14"/>
        <v>1192.8399999999999</v>
      </c>
      <c r="S85" s="83">
        <f t="shared" si="14"/>
        <v>1227.94</v>
      </c>
      <c r="T85" s="83">
        <f t="shared" si="14"/>
        <v>1266.54</v>
      </c>
      <c r="U85" s="83">
        <f t="shared" si="14"/>
        <v>1237.94</v>
      </c>
      <c r="V85" s="83">
        <f t="shared" si="14"/>
        <v>1284.1400000000001</v>
      </c>
      <c r="W85" s="83">
        <f t="shared" si="14"/>
        <v>1587.6399999999999</v>
      </c>
      <c r="X85" s="83">
        <f t="shared" si="14"/>
        <v>1704.2400000000002</v>
      </c>
      <c r="Y85" s="83">
        <f t="shared" si="14"/>
        <v>1631.54</v>
      </c>
      <c r="Z85" s="83">
        <f t="shared" si="14"/>
        <v>1547.8400000000001</v>
      </c>
      <c r="AA85" s="83">
        <f t="shared" si="14"/>
        <v>1463.44</v>
      </c>
      <c r="AB85" s="83">
        <f t="shared" si="14"/>
        <v>1433.04</v>
      </c>
      <c r="AC85" s="83">
        <f t="shared" si="14"/>
        <v>1334.0400000000002</v>
      </c>
      <c r="AD85" s="83">
        <f t="shared" si="14"/>
        <v>1306.8400000000001</v>
      </c>
      <c r="AE85" s="83">
        <f t="shared" si="14"/>
        <v>1004.6400000000001</v>
      </c>
      <c r="AF85" s="83">
        <f t="shared" si="14"/>
        <v>954.83999999999992</v>
      </c>
      <c r="AG85" s="81">
        <f>AG82+AG78+AG66+AG62+AG44+AG84</f>
        <v>1466.0900000000001</v>
      </c>
      <c r="AH85" s="48">
        <f t="shared" si="11"/>
        <v>1704.2400000000002</v>
      </c>
      <c r="AI85" s="49">
        <f t="shared" si="12"/>
        <v>947.94</v>
      </c>
    </row>
    <row r="86" spans="1:37" ht="15.75" thickBot="1" x14ac:dyDescent="0.3">
      <c r="A86" s="74" t="s">
        <v>90</v>
      </c>
      <c r="B86" s="83">
        <f t="shared" ref="B86:AF86" si="15">B85-B93</f>
        <v>933.6400000000001</v>
      </c>
      <c r="C86" s="83">
        <f t="shared" si="15"/>
        <v>959.14</v>
      </c>
      <c r="D86" s="83">
        <f t="shared" si="15"/>
        <v>947.94</v>
      </c>
      <c r="E86" s="83">
        <f t="shared" si="15"/>
        <v>958.14</v>
      </c>
      <c r="F86" s="83">
        <f t="shared" si="15"/>
        <v>956.84</v>
      </c>
      <c r="G86" s="83">
        <f t="shared" si="15"/>
        <v>1031.94</v>
      </c>
      <c r="H86" s="83">
        <f t="shared" si="15"/>
        <v>1099.8399999999999</v>
      </c>
      <c r="I86" s="83">
        <f t="shared" si="15"/>
        <v>1185.6399999999999</v>
      </c>
      <c r="J86" s="83">
        <f t="shared" si="15"/>
        <v>1320.74</v>
      </c>
      <c r="K86" s="83">
        <f t="shared" si="15"/>
        <v>1413.84</v>
      </c>
      <c r="L86" s="83">
        <f t="shared" si="15"/>
        <v>1475.84</v>
      </c>
      <c r="M86" s="83">
        <f t="shared" si="15"/>
        <v>1433.4399999999998</v>
      </c>
      <c r="N86" s="83">
        <f t="shared" si="15"/>
        <v>1388.2399999999998</v>
      </c>
      <c r="O86" s="83">
        <f t="shared" si="15"/>
        <v>1327.4399999999998</v>
      </c>
      <c r="P86" s="83">
        <f t="shared" si="15"/>
        <v>1303.8399999999999</v>
      </c>
      <c r="Q86" s="83">
        <f t="shared" si="15"/>
        <v>1220.3399999999997</v>
      </c>
      <c r="R86" s="83">
        <f t="shared" si="15"/>
        <v>1192.8399999999999</v>
      </c>
      <c r="S86" s="83">
        <f t="shared" si="15"/>
        <v>1227.94</v>
      </c>
      <c r="T86" s="83">
        <f t="shared" si="15"/>
        <v>1266.54</v>
      </c>
      <c r="U86" s="83">
        <f t="shared" si="15"/>
        <v>1237.94</v>
      </c>
      <c r="V86" s="83">
        <f t="shared" si="15"/>
        <v>1284.1400000000001</v>
      </c>
      <c r="W86" s="83">
        <f t="shared" si="15"/>
        <v>1485.6399999999999</v>
      </c>
      <c r="X86" s="83">
        <f t="shared" si="15"/>
        <v>1525.2400000000002</v>
      </c>
      <c r="Y86" s="83">
        <f t="shared" si="15"/>
        <v>1461.54</v>
      </c>
      <c r="Z86" s="83">
        <f t="shared" si="15"/>
        <v>1375.8400000000001</v>
      </c>
      <c r="AA86" s="83">
        <f t="shared" si="15"/>
        <v>1311.44</v>
      </c>
      <c r="AB86" s="83">
        <f t="shared" si="15"/>
        <v>1266.04</v>
      </c>
      <c r="AC86" s="83">
        <f t="shared" si="15"/>
        <v>1175.0400000000002</v>
      </c>
      <c r="AD86" s="83">
        <f t="shared" si="15"/>
        <v>1167.8400000000001</v>
      </c>
      <c r="AE86" s="83">
        <f t="shared" si="15"/>
        <v>1004.6400000000001</v>
      </c>
      <c r="AF86" s="83">
        <f t="shared" si="15"/>
        <v>954.83999999999992</v>
      </c>
      <c r="AG86" s="81"/>
      <c r="AH86" s="48">
        <f t="shared" si="11"/>
        <v>1525.2400000000002</v>
      </c>
      <c r="AI86" s="49">
        <f t="shared" si="12"/>
        <v>933.6400000000001</v>
      </c>
    </row>
    <row r="87" spans="1:37" x14ac:dyDescent="0.25">
      <c r="A87" s="44" t="s">
        <v>74</v>
      </c>
      <c r="B87" s="76">
        <f t="shared" ref="B87:AF87" si="16">IF(B70&lt;0,B70*-1,0)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si="16"/>
        <v>0</v>
      </c>
      <c r="M87" s="76">
        <f t="shared" si="16"/>
        <v>0</v>
      </c>
      <c r="N87" s="76">
        <f t="shared" si="16"/>
        <v>0</v>
      </c>
      <c r="O87" s="76">
        <f t="shared" si="16"/>
        <v>0</v>
      </c>
      <c r="P87" s="76">
        <f t="shared" si="16"/>
        <v>0</v>
      </c>
      <c r="Q87" s="76">
        <f t="shared" si="16"/>
        <v>0</v>
      </c>
      <c r="R87" s="76">
        <f t="shared" si="16"/>
        <v>0</v>
      </c>
      <c r="S87" s="76">
        <f t="shared" si="16"/>
        <v>0</v>
      </c>
      <c r="T87" s="76">
        <f t="shared" si="16"/>
        <v>0</v>
      </c>
      <c r="U87" s="76">
        <f t="shared" si="16"/>
        <v>0</v>
      </c>
      <c r="V87" s="76">
        <f t="shared" si="16"/>
        <v>0</v>
      </c>
      <c r="W87" s="76">
        <f t="shared" si="16"/>
        <v>0</v>
      </c>
      <c r="X87" s="76">
        <f t="shared" si="16"/>
        <v>0</v>
      </c>
      <c r="Y87" s="76">
        <f t="shared" si="16"/>
        <v>0</v>
      </c>
      <c r="Z87" s="76">
        <f t="shared" si="16"/>
        <v>0</v>
      </c>
      <c r="AA87" s="76">
        <f t="shared" si="16"/>
        <v>0</v>
      </c>
      <c r="AB87" s="76">
        <f t="shared" si="16"/>
        <v>0</v>
      </c>
      <c r="AC87" s="76">
        <f t="shared" si="16"/>
        <v>0</v>
      </c>
      <c r="AD87" s="76">
        <f t="shared" si="16"/>
        <v>0</v>
      </c>
      <c r="AE87" s="76">
        <f t="shared" si="16"/>
        <v>0</v>
      </c>
      <c r="AF87" s="76">
        <f t="shared" si="16"/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72</v>
      </c>
      <c r="B88" s="76">
        <f t="shared" ref="B88:AF88" si="17">IF(B68&lt;0,B68*-1,0)</f>
        <v>0</v>
      </c>
      <c r="C88" s="76">
        <f t="shared" si="17"/>
        <v>0</v>
      </c>
      <c r="D88" s="76">
        <f t="shared" si="17"/>
        <v>0</v>
      </c>
      <c r="E88" s="76">
        <f t="shared" si="17"/>
        <v>0</v>
      </c>
      <c r="F88" s="76">
        <f t="shared" si="17"/>
        <v>0</v>
      </c>
      <c r="G88" s="76">
        <f t="shared" si="17"/>
        <v>0</v>
      </c>
      <c r="H88" s="76">
        <f t="shared" si="17"/>
        <v>0</v>
      </c>
      <c r="I88" s="76">
        <f t="shared" si="17"/>
        <v>0</v>
      </c>
      <c r="J88" s="76">
        <f t="shared" si="17"/>
        <v>0</v>
      </c>
      <c r="K88" s="76">
        <f t="shared" si="17"/>
        <v>0</v>
      </c>
      <c r="L88" s="76">
        <f t="shared" si="17"/>
        <v>0</v>
      </c>
      <c r="M88" s="76">
        <f t="shared" si="17"/>
        <v>0</v>
      </c>
      <c r="N88" s="76">
        <f t="shared" si="17"/>
        <v>0</v>
      </c>
      <c r="O88" s="76">
        <f t="shared" si="17"/>
        <v>0</v>
      </c>
      <c r="P88" s="76">
        <f t="shared" si="17"/>
        <v>0</v>
      </c>
      <c r="Q88" s="76">
        <f t="shared" si="17"/>
        <v>0</v>
      </c>
      <c r="R88" s="76">
        <f t="shared" si="17"/>
        <v>0</v>
      </c>
      <c r="S88" s="76">
        <f t="shared" si="17"/>
        <v>0</v>
      </c>
      <c r="T88" s="76">
        <f t="shared" si="17"/>
        <v>0</v>
      </c>
      <c r="U88" s="76">
        <f t="shared" si="17"/>
        <v>0</v>
      </c>
      <c r="V88" s="76">
        <f t="shared" si="17"/>
        <v>0</v>
      </c>
      <c r="W88" s="76">
        <f t="shared" si="17"/>
        <v>0</v>
      </c>
      <c r="X88" s="76">
        <f t="shared" si="17"/>
        <v>0</v>
      </c>
      <c r="Y88" s="76">
        <f t="shared" si="17"/>
        <v>0</v>
      </c>
      <c r="Z88" s="76">
        <f t="shared" si="17"/>
        <v>0</v>
      </c>
      <c r="AA88" s="76">
        <f t="shared" si="17"/>
        <v>0</v>
      </c>
      <c r="AB88" s="76">
        <f t="shared" si="17"/>
        <v>0</v>
      </c>
      <c r="AC88" s="76">
        <f t="shared" si="17"/>
        <v>0</v>
      </c>
      <c r="AD88" s="76">
        <f t="shared" si="17"/>
        <v>0</v>
      </c>
      <c r="AE88" s="76">
        <f t="shared" si="17"/>
        <v>0</v>
      </c>
      <c r="AF88" s="76">
        <f t="shared" si="17"/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91</v>
      </c>
      <c r="B89" s="76">
        <f t="shared" ref="B89:AF89" si="18">IF(B71&lt;0,B71*-1,0)</f>
        <v>0</v>
      </c>
      <c r="C89" s="76">
        <f t="shared" si="18"/>
        <v>0</v>
      </c>
      <c r="D89" s="76">
        <f t="shared" si="18"/>
        <v>0</v>
      </c>
      <c r="E89" s="76">
        <f t="shared" si="18"/>
        <v>0</v>
      </c>
      <c r="F89" s="76">
        <f t="shared" si="18"/>
        <v>0</v>
      </c>
      <c r="G89" s="76">
        <f t="shared" si="18"/>
        <v>0</v>
      </c>
      <c r="H89" s="76">
        <f t="shared" si="18"/>
        <v>0</v>
      </c>
      <c r="I89" s="76">
        <f t="shared" si="18"/>
        <v>0</v>
      </c>
      <c r="J89" s="76">
        <f t="shared" si="18"/>
        <v>0</v>
      </c>
      <c r="K89" s="76">
        <f t="shared" si="18"/>
        <v>0</v>
      </c>
      <c r="L89" s="76">
        <f t="shared" si="18"/>
        <v>0</v>
      </c>
      <c r="M89" s="76">
        <f t="shared" si="18"/>
        <v>0</v>
      </c>
      <c r="N89" s="76">
        <f t="shared" si="18"/>
        <v>0</v>
      </c>
      <c r="O89" s="76">
        <f t="shared" si="18"/>
        <v>0</v>
      </c>
      <c r="P89" s="76">
        <f t="shared" si="18"/>
        <v>0</v>
      </c>
      <c r="Q89" s="76">
        <f t="shared" si="18"/>
        <v>0</v>
      </c>
      <c r="R89" s="76">
        <f t="shared" si="18"/>
        <v>0</v>
      </c>
      <c r="S89" s="76">
        <f t="shared" si="18"/>
        <v>0</v>
      </c>
      <c r="T89" s="76">
        <f t="shared" si="18"/>
        <v>0</v>
      </c>
      <c r="U89" s="76">
        <f t="shared" si="18"/>
        <v>0</v>
      </c>
      <c r="V89" s="76">
        <f t="shared" si="18"/>
        <v>0</v>
      </c>
      <c r="W89" s="76">
        <f t="shared" si="18"/>
        <v>0</v>
      </c>
      <c r="X89" s="76">
        <f t="shared" si="18"/>
        <v>0</v>
      </c>
      <c r="Y89" s="76">
        <f t="shared" si="18"/>
        <v>0</v>
      </c>
      <c r="Z89" s="76">
        <f t="shared" si="18"/>
        <v>0</v>
      </c>
      <c r="AA89" s="76">
        <f t="shared" si="18"/>
        <v>0</v>
      </c>
      <c r="AB89" s="76">
        <f t="shared" si="18"/>
        <v>0</v>
      </c>
      <c r="AC89" s="76">
        <f t="shared" si="18"/>
        <v>0</v>
      </c>
      <c r="AD89" s="76">
        <f t="shared" si="18"/>
        <v>0</v>
      </c>
      <c r="AE89" s="76">
        <f t="shared" si="18"/>
        <v>0</v>
      </c>
      <c r="AF89" s="76">
        <f t="shared" si="18"/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92</v>
      </c>
      <c r="B90" s="76">
        <f t="shared" ref="B90:AF90" si="19">IF(B69&lt;0,B69*-1,0)</f>
        <v>22</v>
      </c>
      <c r="C90" s="76">
        <f t="shared" si="19"/>
        <v>0</v>
      </c>
      <c r="D90" s="76">
        <f t="shared" si="19"/>
        <v>0</v>
      </c>
      <c r="E90" s="76">
        <f t="shared" si="19"/>
        <v>0</v>
      </c>
      <c r="F90" s="76">
        <f t="shared" si="19"/>
        <v>0</v>
      </c>
      <c r="G90" s="76">
        <f t="shared" si="19"/>
        <v>0</v>
      </c>
      <c r="H90" s="76">
        <f t="shared" si="19"/>
        <v>0</v>
      </c>
      <c r="I90" s="76">
        <f t="shared" si="19"/>
        <v>0</v>
      </c>
      <c r="J90" s="76">
        <f t="shared" si="19"/>
        <v>45.5</v>
      </c>
      <c r="K90" s="76">
        <f t="shared" si="19"/>
        <v>104</v>
      </c>
      <c r="L90" s="76">
        <f t="shared" si="19"/>
        <v>99.2</v>
      </c>
      <c r="M90" s="76">
        <f t="shared" si="19"/>
        <v>130</v>
      </c>
      <c r="N90" s="76">
        <f t="shared" si="19"/>
        <v>130</v>
      </c>
      <c r="O90" s="76">
        <f t="shared" si="19"/>
        <v>0</v>
      </c>
      <c r="P90" s="76">
        <f t="shared" si="19"/>
        <v>0</v>
      </c>
      <c r="Q90" s="76">
        <f t="shared" si="19"/>
        <v>0</v>
      </c>
      <c r="R90" s="76">
        <f t="shared" si="19"/>
        <v>0</v>
      </c>
      <c r="S90" s="76">
        <f t="shared" si="19"/>
        <v>0</v>
      </c>
      <c r="T90" s="76">
        <f t="shared" si="19"/>
        <v>0</v>
      </c>
      <c r="U90" s="76">
        <f t="shared" si="19"/>
        <v>0</v>
      </c>
      <c r="V90" s="76">
        <f t="shared" si="19"/>
        <v>0</v>
      </c>
      <c r="W90" s="76">
        <f t="shared" si="19"/>
        <v>102</v>
      </c>
      <c r="X90" s="76">
        <f t="shared" si="19"/>
        <v>179</v>
      </c>
      <c r="Y90" s="76">
        <f t="shared" si="19"/>
        <v>170</v>
      </c>
      <c r="Z90" s="76">
        <f t="shared" si="19"/>
        <v>172</v>
      </c>
      <c r="AA90" s="76">
        <f t="shared" si="19"/>
        <v>152</v>
      </c>
      <c r="AB90" s="76">
        <f t="shared" si="19"/>
        <v>167</v>
      </c>
      <c r="AC90" s="76">
        <f t="shared" si="19"/>
        <v>159</v>
      </c>
      <c r="AD90" s="76">
        <f t="shared" si="19"/>
        <v>139</v>
      </c>
      <c r="AE90" s="76">
        <f t="shared" si="19"/>
        <v>0</v>
      </c>
      <c r="AF90" s="76">
        <f t="shared" si="19"/>
        <v>0</v>
      </c>
      <c r="AG90" s="86"/>
      <c r="AH90" s="48">
        <f t="shared" si="11"/>
        <v>179</v>
      </c>
      <c r="AI90" s="49">
        <f t="shared" si="12"/>
        <v>0</v>
      </c>
    </row>
    <row r="91" spans="1:37" x14ac:dyDescent="0.25">
      <c r="A91" s="78" t="s">
        <v>71</v>
      </c>
      <c r="B91" s="76">
        <f t="shared" ref="B91:AF91" si="20">IF(B67&lt;0,B67*-1,0)</f>
        <v>0</v>
      </c>
      <c r="C91" s="76">
        <f t="shared" si="20"/>
        <v>0</v>
      </c>
      <c r="D91" s="76">
        <f t="shared" si="20"/>
        <v>0</v>
      </c>
      <c r="E91" s="76">
        <f t="shared" si="20"/>
        <v>0</v>
      </c>
      <c r="F91" s="76">
        <f t="shared" si="20"/>
        <v>0</v>
      </c>
      <c r="G91" s="76">
        <f t="shared" si="20"/>
        <v>0</v>
      </c>
      <c r="H91" s="76">
        <f t="shared" si="20"/>
        <v>0</v>
      </c>
      <c r="I91" s="76">
        <f t="shared" si="20"/>
        <v>0</v>
      </c>
      <c r="J91" s="76">
        <f t="shared" si="20"/>
        <v>0</v>
      </c>
      <c r="K91" s="76">
        <f t="shared" si="20"/>
        <v>0</v>
      </c>
      <c r="L91" s="76">
        <f t="shared" si="20"/>
        <v>0</v>
      </c>
      <c r="M91" s="76">
        <f t="shared" si="20"/>
        <v>0</v>
      </c>
      <c r="N91" s="76">
        <f t="shared" si="20"/>
        <v>0</v>
      </c>
      <c r="O91" s="76">
        <f t="shared" si="20"/>
        <v>0</v>
      </c>
      <c r="P91" s="76">
        <f t="shared" si="20"/>
        <v>0</v>
      </c>
      <c r="Q91" s="76">
        <f t="shared" si="20"/>
        <v>0</v>
      </c>
      <c r="R91" s="76">
        <f t="shared" si="20"/>
        <v>0</v>
      </c>
      <c r="S91" s="76">
        <f t="shared" si="20"/>
        <v>0</v>
      </c>
      <c r="T91" s="76">
        <f t="shared" si="20"/>
        <v>0</v>
      </c>
      <c r="U91" s="76">
        <f t="shared" si="20"/>
        <v>0</v>
      </c>
      <c r="V91" s="76">
        <f t="shared" si="20"/>
        <v>0</v>
      </c>
      <c r="W91" s="76">
        <f t="shared" si="20"/>
        <v>0</v>
      </c>
      <c r="X91" s="76">
        <f t="shared" si="20"/>
        <v>0</v>
      </c>
      <c r="Y91" s="76">
        <f t="shared" si="20"/>
        <v>0</v>
      </c>
      <c r="Z91" s="76">
        <f t="shared" si="20"/>
        <v>0</v>
      </c>
      <c r="AA91" s="76">
        <f t="shared" si="20"/>
        <v>0</v>
      </c>
      <c r="AB91" s="76">
        <f t="shared" si="20"/>
        <v>0</v>
      </c>
      <c r="AC91" s="76">
        <f t="shared" si="20"/>
        <v>0</v>
      </c>
      <c r="AD91" s="76">
        <f t="shared" si="20"/>
        <v>0</v>
      </c>
      <c r="AE91" s="76">
        <f t="shared" si="20"/>
        <v>0</v>
      </c>
      <c r="AF91" s="76">
        <f t="shared" si="20"/>
        <v>0</v>
      </c>
      <c r="AG91" s="86"/>
      <c r="AH91" s="48">
        <f t="shared" si="11"/>
        <v>0</v>
      </c>
      <c r="AI91" s="49">
        <f t="shared" si="12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94</v>
      </c>
      <c r="B93" s="61">
        <f t="shared" ref="B93:AF93" si="21">SUM(B87:B92)</f>
        <v>22</v>
      </c>
      <c r="C93" s="61">
        <f t="shared" si="21"/>
        <v>0</v>
      </c>
      <c r="D93" s="61">
        <f t="shared" si="21"/>
        <v>0</v>
      </c>
      <c r="E93" s="61">
        <f t="shared" si="21"/>
        <v>0</v>
      </c>
      <c r="F93" s="61">
        <f t="shared" si="21"/>
        <v>0</v>
      </c>
      <c r="G93" s="61">
        <f t="shared" si="21"/>
        <v>0</v>
      </c>
      <c r="H93" s="61">
        <f t="shared" si="21"/>
        <v>0</v>
      </c>
      <c r="I93" s="61">
        <f t="shared" si="21"/>
        <v>0</v>
      </c>
      <c r="J93" s="61">
        <f t="shared" si="21"/>
        <v>45.5</v>
      </c>
      <c r="K93" s="61">
        <f t="shared" si="21"/>
        <v>104</v>
      </c>
      <c r="L93" s="61">
        <f t="shared" si="21"/>
        <v>99.2</v>
      </c>
      <c r="M93" s="61">
        <f t="shared" si="21"/>
        <v>130</v>
      </c>
      <c r="N93" s="61">
        <f t="shared" si="21"/>
        <v>130</v>
      </c>
      <c r="O93" s="61">
        <f t="shared" si="21"/>
        <v>0</v>
      </c>
      <c r="P93" s="61">
        <f t="shared" si="21"/>
        <v>0</v>
      </c>
      <c r="Q93" s="61">
        <f t="shared" si="21"/>
        <v>0</v>
      </c>
      <c r="R93" s="61">
        <f t="shared" si="21"/>
        <v>0</v>
      </c>
      <c r="S93" s="61">
        <f t="shared" si="21"/>
        <v>0</v>
      </c>
      <c r="T93" s="61">
        <f t="shared" si="21"/>
        <v>0</v>
      </c>
      <c r="U93" s="61">
        <f t="shared" si="21"/>
        <v>0</v>
      </c>
      <c r="V93" s="61">
        <f t="shared" si="21"/>
        <v>0</v>
      </c>
      <c r="W93" s="61">
        <f t="shared" si="21"/>
        <v>102</v>
      </c>
      <c r="X93" s="61">
        <f t="shared" si="21"/>
        <v>179</v>
      </c>
      <c r="Y93" s="61">
        <f t="shared" si="21"/>
        <v>170</v>
      </c>
      <c r="Z93" s="61">
        <f t="shared" si="21"/>
        <v>172</v>
      </c>
      <c r="AA93" s="61">
        <f t="shared" si="21"/>
        <v>152</v>
      </c>
      <c r="AB93" s="61">
        <f t="shared" si="21"/>
        <v>167</v>
      </c>
      <c r="AC93" s="61">
        <f t="shared" si="21"/>
        <v>159</v>
      </c>
      <c r="AD93" s="61">
        <f t="shared" si="21"/>
        <v>139</v>
      </c>
      <c r="AE93" s="61">
        <f t="shared" si="21"/>
        <v>0</v>
      </c>
      <c r="AF93" s="61">
        <f t="shared" si="21"/>
        <v>0</v>
      </c>
      <c r="AG93" s="81"/>
      <c r="AH93" s="48">
        <f t="shared" si="11"/>
        <v>179</v>
      </c>
      <c r="AI93" s="49">
        <f t="shared" si="12"/>
        <v>0</v>
      </c>
      <c r="AK93" s="50"/>
    </row>
    <row r="94" spans="1:37" ht="15.75" thickBot="1" x14ac:dyDescent="0.3">
      <c r="A94" s="74" t="s">
        <v>95</v>
      </c>
      <c r="B94" s="61">
        <f t="shared" ref="B94:AF94" si="22">B78-B93</f>
        <v>-22</v>
      </c>
      <c r="C94" s="61">
        <f t="shared" si="22"/>
        <v>48.1</v>
      </c>
      <c r="D94" s="61">
        <f t="shared" si="22"/>
        <v>39</v>
      </c>
      <c r="E94" s="61">
        <f t="shared" si="22"/>
        <v>40.299999999999997</v>
      </c>
      <c r="F94" s="61">
        <f t="shared" si="22"/>
        <v>40.9</v>
      </c>
      <c r="G94" s="61">
        <f t="shared" si="22"/>
        <v>41.2</v>
      </c>
      <c r="H94" s="61">
        <f t="shared" si="22"/>
        <v>56.6</v>
      </c>
      <c r="I94" s="61">
        <f t="shared" si="22"/>
        <v>55.5</v>
      </c>
      <c r="J94" s="61">
        <f t="shared" si="22"/>
        <v>2.3999999999999986</v>
      </c>
      <c r="K94" s="61">
        <f t="shared" si="22"/>
        <v>-55.5</v>
      </c>
      <c r="L94" s="61">
        <f t="shared" si="22"/>
        <v>-51.400000000000006</v>
      </c>
      <c r="M94" s="61">
        <f t="shared" si="22"/>
        <v>-76.400000000000006</v>
      </c>
      <c r="N94" s="61">
        <f t="shared" si="22"/>
        <v>-96.4</v>
      </c>
      <c r="O94" s="61">
        <f t="shared" si="22"/>
        <v>49.6</v>
      </c>
      <c r="P94" s="61">
        <f t="shared" si="22"/>
        <v>171</v>
      </c>
      <c r="Q94" s="61">
        <f t="shared" si="22"/>
        <v>159.1</v>
      </c>
      <c r="R94" s="61">
        <f t="shared" si="22"/>
        <v>154.30000000000001</v>
      </c>
      <c r="S94" s="61">
        <f t="shared" si="22"/>
        <v>174</v>
      </c>
      <c r="T94" s="61">
        <f t="shared" si="22"/>
        <v>160.30000000000001</v>
      </c>
      <c r="U94" s="61">
        <f t="shared" si="22"/>
        <v>159</v>
      </c>
      <c r="V94" s="61">
        <f t="shared" si="22"/>
        <v>46.2</v>
      </c>
      <c r="W94" s="61">
        <f t="shared" si="22"/>
        <v>-52</v>
      </c>
      <c r="X94" s="61">
        <f t="shared" si="22"/>
        <v>-131.30000000000001</v>
      </c>
      <c r="Y94" s="61">
        <f t="shared" si="22"/>
        <v>-124.7</v>
      </c>
      <c r="Z94" s="61">
        <f t="shared" si="22"/>
        <v>-126</v>
      </c>
      <c r="AA94" s="61">
        <f t="shared" si="22"/>
        <v>-112</v>
      </c>
      <c r="AB94" s="61">
        <f t="shared" si="22"/>
        <v>-122.7</v>
      </c>
      <c r="AC94" s="61">
        <f t="shared" si="22"/>
        <v>-143.5</v>
      </c>
      <c r="AD94" s="61">
        <f t="shared" si="22"/>
        <v>-124.6</v>
      </c>
      <c r="AE94" s="61">
        <f t="shared" si="22"/>
        <v>1.6</v>
      </c>
      <c r="AF94" s="61">
        <f t="shared" si="22"/>
        <v>60</v>
      </c>
      <c r="AG94" s="81"/>
      <c r="AH94" s="48">
        <f t="shared" si="11"/>
        <v>174</v>
      </c>
      <c r="AI94" s="49">
        <f t="shared" si="12"/>
        <v>-143.5</v>
      </c>
    </row>
    <row r="95" spans="1:37" x14ac:dyDescent="0.25">
      <c r="A95" s="88" t="s">
        <v>96</v>
      </c>
      <c r="B95" s="89">
        <v>50.06</v>
      </c>
      <c r="C95" s="89">
        <v>50.036999999999999</v>
      </c>
      <c r="D95" s="89">
        <v>50</v>
      </c>
      <c r="E95" s="89">
        <v>49.8</v>
      </c>
      <c r="F95" s="89">
        <v>49.793999999999997</v>
      </c>
      <c r="G95" s="89">
        <v>50.061999999999998</v>
      </c>
      <c r="H95" s="89">
        <v>49.921999999999997</v>
      </c>
      <c r="I95" s="89">
        <v>50</v>
      </c>
      <c r="J95" s="89">
        <v>49.948</v>
      </c>
      <c r="K95" s="89">
        <v>49.962000000000003</v>
      </c>
      <c r="L95" s="89">
        <v>49.835000000000001</v>
      </c>
      <c r="M95" s="89">
        <v>49.966000000000001</v>
      </c>
      <c r="N95" s="89">
        <v>50.084000000000003</v>
      </c>
      <c r="O95" s="89">
        <v>49.835000000000001</v>
      </c>
      <c r="P95" s="89">
        <v>50.031999999999996</v>
      </c>
      <c r="Q95" s="89">
        <v>50.030999999999999</v>
      </c>
      <c r="R95" s="89">
        <v>50.026000000000003</v>
      </c>
      <c r="S95" s="89">
        <v>50.116999999999997</v>
      </c>
      <c r="T95" s="89">
        <v>50.017000000000003</v>
      </c>
      <c r="U95" s="89">
        <v>49.908999999999999</v>
      </c>
      <c r="V95" s="89">
        <v>49.747999999999998</v>
      </c>
      <c r="W95" s="89">
        <v>50</v>
      </c>
      <c r="X95" s="89">
        <v>49.945999999999998</v>
      </c>
      <c r="Y95" s="89">
        <v>50.097000000000001</v>
      </c>
      <c r="Z95" s="89">
        <v>50.195999999999998</v>
      </c>
      <c r="AA95" s="89">
        <v>50.024999999999999</v>
      </c>
      <c r="AB95" s="89">
        <v>50.078000000000003</v>
      </c>
      <c r="AC95" s="89">
        <v>49.844999999999999</v>
      </c>
      <c r="AD95" s="89">
        <v>50.048999999999999</v>
      </c>
      <c r="AE95" s="89">
        <v>49.976999999999997</v>
      </c>
      <c r="AF95" s="89">
        <v>49.819000000000003</v>
      </c>
      <c r="AG95" s="90"/>
      <c r="AH95" s="48">
        <f t="shared" si="11"/>
        <v>50.195999999999998</v>
      </c>
      <c r="AI95" s="49">
        <f t="shared" si="12"/>
        <v>49.747999999999998</v>
      </c>
    </row>
    <row r="96" spans="1:37" x14ac:dyDescent="0.25">
      <c r="A96" s="91" t="s">
        <v>97</v>
      </c>
      <c r="B96" s="65">
        <v>129.5</v>
      </c>
      <c r="C96" s="65">
        <v>129.5</v>
      </c>
      <c r="D96" s="65">
        <v>129</v>
      </c>
      <c r="E96" s="65">
        <v>129</v>
      </c>
      <c r="F96" s="65">
        <v>129</v>
      </c>
      <c r="G96" s="65">
        <v>128</v>
      </c>
      <c r="H96" s="65">
        <v>128</v>
      </c>
      <c r="I96" s="65">
        <v>127</v>
      </c>
      <c r="J96" s="65">
        <v>124.8</v>
      </c>
      <c r="K96" s="65">
        <v>126.3</v>
      </c>
      <c r="L96" s="65">
        <v>123.6</v>
      </c>
      <c r="M96" s="65">
        <v>123.7</v>
      </c>
      <c r="N96" s="65">
        <v>122.9</v>
      </c>
      <c r="O96" s="65">
        <v>122.9</v>
      </c>
      <c r="P96" s="65">
        <v>126.1</v>
      </c>
      <c r="Q96" s="65">
        <v>124.1</v>
      </c>
      <c r="R96" s="65">
        <v>124.4</v>
      </c>
      <c r="S96" s="65">
        <v>123.6</v>
      </c>
      <c r="T96" s="65">
        <v>124.7</v>
      </c>
      <c r="U96" s="65">
        <v>124.9</v>
      </c>
      <c r="V96" s="65">
        <v>125.6</v>
      </c>
      <c r="W96" s="65">
        <v>125.5</v>
      </c>
      <c r="X96" s="65">
        <v>126.1</v>
      </c>
      <c r="Y96" s="65">
        <v>127.7</v>
      </c>
      <c r="Z96" s="65">
        <v>128.5</v>
      </c>
      <c r="AA96" s="65">
        <v>127.9</v>
      </c>
      <c r="AB96" s="65">
        <v>127.8</v>
      </c>
      <c r="AC96" s="65">
        <v>127.5</v>
      </c>
      <c r="AD96" s="65">
        <v>127.4</v>
      </c>
      <c r="AE96" s="65">
        <v>130.19999999999999</v>
      </c>
      <c r="AF96" s="65">
        <v>129</v>
      </c>
      <c r="AG96" s="92"/>
      <c r="AH96" s="48">
        <f t="shared" si="11"/>
        <v>130.19999999999999</v>
      </c>
      <c r="AI96" s="49">
        <f t="shared" si="12"/>
        <v>122.9</v>
      </c>
    </row>
    <row r="97" spans="1:35" x14ac:dyDescent="0.25">
      <c r="A97" s="91" t="s">
        <v>98</v>
      </c>
      <c r="B97" s="65">
        <v>132.80000000000001</v>
      </c>
      <c r="C97" s="65">
        <v>132.9</v>
      </c>
      <c r="D97" s="65">
        <v>133</v>
      </c>
      <c r="E97" s="65">
        <v>133</v>
      </c>
      <c r="F97" s="65">
        <v>132.9</v>
      </c>
      <c r="G97" s="65">
        <v>131.9</v>
      </c>
      <c r="H97" s="65">
        <v>131.9</v>
      </c>
      <c r="I97" s="65">
        <v>131</v>
      </c>
      <c r="J97" s="65">
        <v>128.30000000000001</v>
      </c>
      <c r="K97" s="65">
        <v>128.80000000000001</v>
      </c>
      <c r="L97" s="65">
        <v>127</v>
      </c>
      <c r="M97" s="65">
        <v>126.5</v>
      </c>
      <c r="N97" s="65">
        <v>125.8</v>
      </c>
      <c r="O97" s="65">
        <v>125.8</v>
      </c>
      <c r="P97" s="65">
        <v>129</v>
      </c>
      <c r="Q97" s="65">
        <v>126.8</v>
      </c>
      <c r="R97" s="65">
        <v>127.8</v>
      </c>
      <c r="S97" s="65">
        <v>126.7</v>
      </c>
      <c r="T97" s="65">
        <v>128.1</v>
      </c>
      <c r="U97" s="65">
        <v>127.9</v>
      </c>
      <c r="V97" s="65">
        <v>127.8</v>
      </c>
      <c r="W97" s="65">
        <v>127.4</v>
      </c>
      <c r="X97" s="65">
        <v>127.9</v>
      </c>
      <c r="Y97" s="65">
        <v>129.19999999999999</v>
      </c>
      <c r="Z97" s="65">
        <v>130.19999999999999</v>
      </c>
      <c r="AA97" s="65">
        <v>129.80000000000001</v>
      </c>
      <c r="AB97" s="65">
        <v>133</v>
      </c>
      <c r="AC97" s="65">
        <v>129.80000000000001</v>
      </c>
      <c r="AD97" s="65">
        <v>129.80000000000001</v>
      </c>
      <c r="AE97" s="65">
        <v>132.5</v>
      </c>
      <c r="AF97" s="65">
        <v>132.19999999999999</v>
      </c>
      <c r="AG97" s="92"/>
      <c r="AH97" s="48">
        <f t="shared" si="11"/>
        <v>133</v>
      </c>
      <c r="AI97" s="49">
        <f t="shared" si="12"/>
        <v>125.8</v>
      </c>
    </row>
    <row r="98" spans="1:35" x14ac:dyDescent="0.25">
      <c r="A98" s="91" t="s">
        <v>99</v>
      </c>
      <c r="B98" s="65">
        <v>131.69999999999999</v>
      </c>
      <c r="C98" s="65">
        <v>133.1</v>
      </c>
      <c r="D98" s="65">
        <v>132.9</v>
      </c>
      <c r="E98" s="65">
        <v>132.9</v>
      </c>
      <c r="F98" s="65">
        <v>132.5</v>
      </c>
      <c r="G98" s="65">
        <v>131.4</v>
      </c>
      <c r="H98" s="65">
        <v>131.4</v>
      </c>
      <c r="I98" s="65">
        <v>129</v>
      </c>
      <c r="J98" s="65">
        <v>128.69999999999999</v>
      </c>
      <c r="K98" s="65">
        <v>126.3</v>
      </c>
      <c r="L98" s="65">
        <v>126</v>
      </c>
      <c r="M98" s="65">
        <v>125.6</v>
      </c>
      <c r="N98" s="65">
        <v>130.5</v>
      </c>
      <c r="O98" s="65">
        <v>130</v>
      </c>
      <c r="P98" s="65">
        <v>131.80000000000001</v>
      </c>
      <c r="Q98" s="65">
        <v>130.1</v>
      </c>
      <c r="R98" s="65">
        <v>131.30000000000001</v>
      </c>
      <c r="S98" s="65">
        <v>128.19999999999999</v>
      </c>
      <c r="T98" s="65">
        <v>129.5</v>
      </c>
      <c r="U98" s="65">
        <v>128.80000000000001</v>
      </c>
      <c r="V98" s="65">
        <v>129.1</v>
      </c>
      <c r="W98" s="65">
        <v>128</v>
      </c>
      <c r="X98" s="65">
        <v>129.30000000000001</v>
      </c>
      <c r="Y98" s="65">
        <v>130.19999999999999</v>
      </c>
      <c r="Z98" s="65">
        <v>132.1</v>
      </c>
      <c r="AA98" s="65">
        <v>131.69999999999999</v>
      </c>
      <c r="AB98" s="65">
        <v>133</v>
      </c>
      <c r="AC98" s="65">
        <v>133.6</v>
      </c>
      <c r="AD98" s="65">
        <v>133.5</v>
      </c>
      <c r="AE98" s="65">
        <v>133.4</v>
      </c>
      <c r="AF98" s="65">
        <v>132.69999999999999</v>
      </c>
      <c r="AG98" s="92"/>
      <c r="AH98" s="48">
        <f t="shared" si="11"/>
        <v>133.6</v>
      </c>
      <c r="AI98" s="49">
        <f t="shared" si="12"/>
        <v>125.6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101</v>
      </c>
      <c r="B100" s="94">
        <v>134.5</v>
      </c>
      <c r="C100" s="94">
        <v>133.4</v>
      </c>
      <c r="D100" s="94">
        <v>132.6</v>
      </c>
      <c r="E100" s="94">
        <v>132.6</v>
      </c>
      <c r="F100" s="94">
        <v>132.69999999999999</v>
      </c>
      <c r="G100" s="94">
        <v>134</v>
      </c>
      <c r="H100" s="94">
        <v>134</v>
      </c>
      <c r="I100" s="94">
        <v>135</v>
      </c>
      <c r="J100" s="94">
        <v>135.9</v>
      </c>
      <c r="K100" s="94">
        <v>133.1</v>
      </c>
      <c r="L100" s="94">
        <v>134.1</v>
      </c>
      <c r="M100" s="94">
        <v>131.1</v>
      </c>
      <c r="N100" s="94">
        <v>134</v>
      </c>
      <c r="O100" s="94">
        <v>134.1</v>
      </c>
      <c r="P100" s="94">
        <v>134.30000000000001</v>
      </c>
      <c r="Q100" s="94">
        <v>132.4</v>
      </c>
      <c r="R100" s="94">
        <v>132.9</v>
      </c>
      <c r="S100" s="94">
        <v>134.30000000000001</v>
      </c>
      <c r="T100" s="94">
        <v>135.19999999999999</v>
      </c>
      <c r="U100" s="94">
        <v>133.5</v>
      </c>
      <c r="V100" s="94">
        <v>133.4</v>
      </c>
      <c r="W100" s="94">
        <v>133.5</v>
      </c>
      <c r="X100" s="94">
        <v>134.5</v>
      </c>
      <c r="Y100" s="94">
        <v>135.1</v>
      </c>
      <c r="Z100" s="94">
        <v>133.5</v>
      </c>
      <c r="AA100" s="94">
        <v>134.5</v>
      </c>
      <c r="AB100" s="94">
        <v>133.6</v>
      </c>
      <c r="AC100" s="94">
        <v>132.1</v>
      </c>
      <c r="AD100" s="94">
        <v>132.1</v>
      </c>
      <c r="AE100" s="94">
        <v>136</v>
      </c>
      <c r="AF100" s="94">
        <v>134.69999999999999</v>
      </c>
      <c r="AG100" s="95"/>
      <c r="AH100" s="48">
        <f t="shared" si="11"/>
        <v>136</v>
      </c>
      <c r="AI100" s="49">
        <f t="shared" si="12"/>
        <v>131.1</v>
      </c>
    </row>
    <row r="101" spans="1:35" x14ac:dyDescent="0.25">
      <c r="A101" s="91" t="s">
        <v>102</v>
      </c>
      <c r="B101" s="65">
        <v>135.19999999999999</v>
      </c>
      <c r="C101" s="65">
        <v>134.80000000000001</v>
      </c>
      <c r="D101" s="65">
        <v>134</v>
      </c>
      <c r="E101" s="65">
        <v>134</v>
      </c>
      <c r="F101" s="65">
        <v>135</v>
      </c>
      <c r="G101" s="65">
        <v>135</v>
      </c>
      <c r="H101" s="65">
        <v>134</v>
      </c>
      <c r="I101" s="65">
        <v>134</v>
      </c>
      <c r="J101" s="65">
        <v>131.9</v>
      </c>
      <c r="K101" s="65">
        <v>128.80000000000001</v>
      </c>
      <c r="L101" s="65">
        <v>125.6</v>
      </c>
      <c r="M101" s="65">
        <v>128.30000000000001</v>
      </c>
      <c r="N101" s="65">
        <v>128.30000000000001</v>
      </c>
      <c r="O101" s="65">
        <v>127.3</v>
      </c>
      <c r="P101" s="65">
        <v>131.80000000000001</v>
      </c>
      <c r="Q101" s="65">
        <v>128.6</v>
      </c>
      <c r="R101" s="65">
        <v>130.9</v>
      </c>
      <c r="S101" s="65">
        <v>132</v>
      </c>
      <c r="T101" s="65">
        <v>130.19999999999999</v>
      </c>
      <c r="U101" s="65">
        <v>127.5</v>
      </c>
      <c r="V101" s="65">
        <v>136</v>
      </c>
      <c r="W101" s="65">
        <v>129</v>
      </c>
      <c r="X101" s="65">
        <v>133</v>
      </c>
      <c r="Y101" s="65">
        <v>133.19999999999999</v>
      </c>
      <c r="Z101" s="65">
        <v>135</v>
      </c>
      <c r="AA101" s="65">
        <v>137</v>
      </c>
      <c r="AB101" s="65">
        <v>133.5</v>
      </c>
      <c r="AC101" s="65">
        <v>131</v>
      </c>
      <c r="AD101" s="65">
        <v>131.6</v>
      </c>
      <c r="AE101" s="65">
        <v>135.80000000000001</v>
      </c>
      <c r="AF101" s="65">
        <v>135.19999999999999</v>
      </c>
      <c r="AG101" s="92"/>
      <c r="AH101" s="48">
        <f t="shared" si="11"/>
        <v>137</v>
      </c>
      <c r="AI101" s="49">
        <f t="shared" si="12"/>
        <v>125.6</v>
      </c>
    </row>
    <row r="102" spans="1:35" ht="15.75" thickBot="1" x14ac:dyDescent="0.3">
      <c r="A102" s="91" t="s">
        <v>104</v>
      </c>
      <c r="B102" s="96">
        <v>66.7</v>
      </c>
      <c r="C102" s="96">
        <v>66.8</v>
      </c>
      <c r="D102" s="96">
        <v>67</v>
      </c>
      <c r="E102" s="96">
        <v>67</v>
      </c>
      <c r="F102" s="96">
        <v>66.7</v>
      </c>
      <c r="G102" s="96">
        <v>66.3</v>
      </c>
      <c r="H102" s="96">
        <v>66</v>
      </c>
      <c r="I102" s="96">
        <v>65.7</v>
      </c>
      <c r="J102" s="96">
        <v>64.599999999999994</v>
      </c>
      <c r="K102" s="96">
        <v>64.7</v>
      </c>
      <c r="L102" s="96">
        <v>63.7</v>
      </c>
      <c r="M102" s="96">
        <v>63.6</v>
      </c>
      <c r="N102" s="96">
        <v>63.6</v>
      </c>
      <c r="O102" s="96">
        <v>62.9</v>
      </c>
      <c r="P102" s="96">
        <v>64.599999999999994</v>
      </c>
      <c r="Q102" s="96">
        <v>63.3</v>
      </c>
      <c r="R102" s="96">
        <v>64</v>
      </c>
      <c r="S102" s="96">
        <v>63.9</v>
      </c>
      <c r="T102" s="96">
        <v>64.5</v>
      </c>
      <c r="U102" s="96">
        <v>64.099999999999994</v>
      </c>
      <c r="V102" s="96">
        <v>64.400000000000006</v>
      </c>
      <c r="W102" s="96">
        <v>64.099999999999994</v>
      </c>
      <c r="X102" s="96">
        <v>64.099999999999994</v>
      </c>
      <c r="Y102" s="96">
        <v>64.8</v>
      </c>
      <c r="Z102" s="96">
        <v>65.3</v>
      </c>
      <c r="AA102" s="96">
        <v>65.2</v>
      </c>
      <c r="AB102" s="96">
        <v>65.099999999999994</v>
      </c>
      <c r="AC102" s="96">
        <v>65.099999999999994</v>
      </c>
      <c r="AD102" s="96">
        <v>65.3</v>
      </c>
      <c r="AE102" s="96">
        <v>66.5</v>
      </c>
      <c r="AF102" s="96">
        <v>66.2</v>
      </c>
      <c r="AG102" s="97"/>
      <c r="AH102" s="48">
        <f t="shared" si="11"/>
        <v>67</v>
      </c>
      <c r="AI102" s="49">
        <f t="shared" si="12"/>
        <v>62.9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105</v>
      </c>
      <c r="B104" s="100">
        <f t="shared" ref="B104:AF104" si="23">SUM(B16,B22,B25:B26,B52,B54:B55,B57,B59,B105:B109,B131,B137,B143,B152,B154,B166,B173,B176:B177,B184,B186,B188,B192:B194,B196:B198,B203,B209:B210,B212:B214,B222,B227)</f>
        <v>82.600000000000009</v>
      </c>
      <c r="C104" s="100">
        <f t="shared" si="23"/>
        <v>84.64</v>
      </c>
      <c r="D104" s="100">
        <f t="shared" si="23"/>
        <v>84.04000000000002</v>
      </c>
      <c r="E104" s="100">
        <f t="shared" si="23"/>
        <v>84.44</v>
      </c>
      <c r="F104" s="100">
        <f t="shared" si="23"/>
        <v>82.44</v>
      </c>
      <c r="G104" s="100">
        <f t="shared" si="23"/>
        <v>110.34000000000002</v>
      </c>
      <c r="H104" s="100">
        <f t="shared" si="23"/>
        <v>142.94</v>
      </c>
      <c r="I104" s="100">
        <f t="shared" si="23"/>
        <v>172.44</v>
      </c>
      <c r="J104" s="100">
        <f t="shared" si="23"/>
        <v>229.74</v>
      </c>
      <c r="K104" s="100">
        <f t="shared" si="23"/>
        <v>264.34000000000003</v>
      </c>
      <c r="L104" s="100">
        <f t="shared" si="23"/>
        <v>279.03999999999996</v>
      </c>
      <c r="M104" s="100">
        <f t="shared" si="23"/>
        <v>311.14000000000004</v>
      </c>
      <c r="N104" s="100">
        <f t="shared" si="23"/>
        <v>283.44000000000005</v>
      </c>
      <c r="O104" s="100">
        <f t="shared" si="23"/>
        <v>283.44000000000005</v>
      </c>
      <c r="P104" s="100">
        <f t="shared" si="23"/>
        <v>257.54000000000002</v>
      </c>
      <c r="Q104" s="100">
        <f t="shared" si="23"/>
        <v>237.40000000000003</v>
      </c>
      <c r="R104" s="100">
        <f t="shared" si="23"/>
        <v>226.60000000000002</v>
      </c>
      <c r="S104" s="100">
        <f t="shared" si="23"/>
        <v>221</v>
      </c>
      <c r="T104" s="100">
        <f t="shared" si="23"/>
        <v>213.10000000000002</v>
      </c>
      <c r="U104" s="100">
        <f t="shared" si="23"/>
        <v>239.80000000000004</v>
      </c>
      <c r="V104" s="100">
        <f t="shared" si="23"/>
        <v>282.40000000000003</v>
      </c>
      <c r="W104" s="100">
        <f t="shared" si="23"/>
        <v>307.89999999999998</v>
      </c>
      <c r="X104" s="100">
        <f t="shared" si="23"/>
        <v>295.59999999999997</v>
      </c>
      <c r="Y104" s="100">
        <f t="shared" si="23"/>
        <v>281.5</v>
      </c>
      <c r="Z104" s="100">
        <f t="shared" si="23"/>
        <v>273.70000000000005</v>
      </c>
      <c r="AA104" s="100">
        <f t="shared" si="23"/>
        <v>273</v>
      </c>
      <c r="AB104" s="100">
        <f t="shared" si="23"/>
        <v>289.10000000000002</v>
      </c>
      <c r="AC104" s="100">
        <f t="shared" si="23"/>
        <v>253.59999999999997</v>
      </c>
      <c r="AD104" s="100">
        <f t="shared" si="23"/>
        <v>241.40000000000003</v>
      </c>
      <c r="AE104" s="100">
        <f t="shared" si="23"/>
        <v>170.8</v>
      </c>
      <c r="AF104" s="100">
        <f t="shared" si="23"/>
        <v>115.29999999999998</v>
      </c>
      <c r="AG104" s="101"/>
      <c r="AH104" s="48">
        <f t="shared" si="11"/>
        <v>311.14000000000004</v>
      </c>
      <c r="AI104" s="49">
        <f t="shared" si="12"/>
        <v>82.44</v>
      </c>
    </row>
    <row r="105" spans="1:35" x14ac:dyDescent="0.25">
      <c r="A105" s="88" t="s">
        <v>106</v>
      </c>
      <c r="B105" s="102">
        <v>11.7</v>
      </c>
      <c r="C105" s="102">
        <v>5.0999999999999996</v>
      </c>
      <c r="D105" s="102">
        <v>11.3</v>
      </c>
      <c r="E105" s="102">
        <v>12.5</v>
      </c>
      <c r="F105" s="102">
        <v>14.8</v>
      </c>
      <c r="G105" s="102">
        <v>26</v>
      </c>
      <c r="H105" s="102">
        <v>30</v>
      </c>
      <c r="I105" s="102">
        <v>31.6</v>
      </c>
      <c r="J105" s="102">
        <v>47.1</v>
      </c>
      <c r="K105" s="102">
        <v>42.1</v>
      </c>
      <c r="L105" s="102">
        <v>41.8</v>
      </c>
      <c r="M105" s="102">
        <v>44.3</v>
      </c>
      <c r="N105" s="102">
        <v>47.4</v>
      </c>
      <c r="O105" s="102">
        <v>47.4</v>
      </c>
      <c r="P105" s="102">
        <v>38.9</v>
      </c>
      <c r="Q105" s="102">
        <v>29</v>
      </c>
      <c r="R105" s="102">
        <v>29</v>
      </c>
      <c r="S105" s="102">
        <v>31.4</v>
      </c>
      <c r="T105" s="102">
        <v>40.4</v>
      </c>
      <c r="U105" s="102">
        <v>39.200000000000003</v>
      </c>
      <c r="V105" s="102">
        <v>50.4</v>
      </c>
      <c r="W105" s="102">
        <v>50</v>
      </c>
      <c r="X105" s="102">
        <v>46.4</v>
      </c>
      <c r="Y105" s="102">
        <v>47.1</v>
      </c>
      <c r="Z105" s="102">
        <v>49.7</v>
      </c>
      <c r="AA105" s="102">
        <v>53.8</v>
      </c>
      <c r="AB105" s="102">
        <v>54.3</v>
      </c>
      <c r="AC105" s="102">
        <v>58.1</v>
      </c>
      <c r="AD105" s="102">
        <v>58.1</v>
      </c>
      <c r="AE105" s="102">
        <v>33.5</v>
      </c>
      <c r="AF105" s="102">
        <v>10.5</v>
      </c>
      <c r="AG105" s="103">
        <v>75</v>
      </c>
      <c r="AH105" s="48">
        <f t="shared" si="11"/>
        <v>58.1</v>
      </c>
      <c r="AI105" s="49">
        <f t="shared" si="12"/>
        <v>5.0999999999999996</v>
      </c>
    </row>
    <row r="106" spans="1:35" x14ac:dyDescent="0.25">
      <c r="A106" s="91" t="s">
        <v>107</v>
      </c>
      <c r="B106" s="104">
        <v>25.5</v>
      </c>
      <c r="C106" s="104">
        <v>16.899999999999999</v>
      </c>
      <c r="D106" s="104">
        <v>25.8</v>
      </c>
      <c r="E106" s="104">
        <v>26</v>
      </c>
      <c r="F106" s="104">
        <v>27.6</v>
      </c>
      <c r="G106" s="104">
        <v>43.9</v>
      </c>
      <c r="H106" s="104">
        <v>50</v>
      </c>
      <c r="I106" s="104">
        <v>50.5</v>
      </c>
      <c r="J106" s="104">
        <v>69.7</v>
      </c>
      <c r="K106" s="104">
        <v>63.3</v>
      </c>
      <c r="L106" s="104">
        <v>61.1</v>
      </c>
      <c r="M106" s="104">
        <v>65.400000000000006</v>
      </c>
      <c r="N106" s="104">
        <v>69.5</v>
      </c>
      <c r="O106" s="104">
        <v>69.5</v>
      </c>
      <c r="P106" s="104">
        <v>57.1</v>
      </c>
      <c r="Q106" s="104">
        <v>43</v>
      </c>
      <c r="R106" s="104">
        <v>46</v>
      </c>
      <c r="S106" s="104">
        <v>50.4</v>
      </c>
      <c r="T106" s="104">
        <v>60.9</v>
      </c>
      <c r="U106" s="104">
        <v>59.1</v>
      </c>
      <c r="V106" s="104">
        <v>70.3</v>
      </c>
      <c r="W106" s="104">
        <v>68</v>
      </c>
      <c r="X106" s="104">
        <v>63.6</v>
      </c>
      <c r="Y106" s="104">
        <v>63.5</v>
      </c>
      <c r="Z106" s="104">
        <v>68.400000000000006</v>
      </c>
      <c r="AA106" s="104">
        <v>74.099999999999994</v>
      </c>
      <c r="AB106" s="104">
        <v>75</v>
      </c>
      <c r="AC106" s="104">
        <v>82.4</v>
      </c>
      <c r="AD106" s="104">
        <v>82.1</v>
      </c>
      <c r="AE106" s="104">
        <v>47.6</v>
      </c>
      <c r="AF106" s="104">
        <v>19</v>
      </c>
      <c r="AG106" s="103">
        <v>240</v>
      </c>
      <c r="AH106" s="48">
        <f t="shared" si="11"/>
        <v>82.4</v>
      </c>
      <c r="AI106" s="49">
        <f t="shared" si="12"/>
        <v>16.899999999999999</v>
      </c>
    </row>
    <row r="107" spans="1:35" x14ac:dyDescent="0.25">
      <c r="A107" s="91" t="s">
        <v>108</v>
      </c>
      <c r="B107" s="104">
        <v>-94</v>
      </c>
      <c r="C107" s="104">
        <v>-80</v>
      </c>
      <c r="D107" s="104">
        <v>-93.2</v>
      </c>
      <c r="E107" s="104">
        <v>-94</v>
      </c>
      <c r="F107" s="104">
        <v>-97.5</v>
      </c>
      <c r="G107" s="104">
        <v>-98</v>
      </c>
      <c r="H107" s="104">
        <v>-81</v>
      </c>
      <c r="I107" s="104">
        <v>-56</v>
      </c>
      <c r="J107" s="104">
        <v>-38.6</v>
      </c>
      <c r="K107" s="104">
        <v>-33</v>
      </c>
      <c r="L107" s="104">
        <v>-24</v>
      </c>
      <c r="M107" s="104">
        <v>5</v>
      </c>
      <c r="N107" s="104">
        <f>-3.1-3.9</f>
        <v>-7</v>
      </c>
      <c r="O107" s="104">
        <f>-3.1-3.9</f>
        <v>-7</v>
      </c>
      <c r="P107" s="104">
        <f>-6.2-6.6</f>
        <v>-12.8</v>
      </c>
      <c r="Q107" s="104">
        <f>-3-4</f>
        <v>-7</v>
      </c>
      <c r="R107" s="104">
        <f>-9-9</f>
        <v>-18</v>
      </c>
      <c r="S107" s="104">
        <v>-19</v>
      </c>
      <c r="T107" s="104">
        <v>-57</v>
      </c>
      <c r="U107" s="104">
        <v>-16.2</v>
      </c>
      <c r="V107" s="104">
        <v>-18</v>
      </c>
      <c r="W107" s="104">
        <v>-15</v>
      </c>
      <c r="X107" s="104">
        <v>-5</v>
      </c>
      <c r="Y107" s="104">
        <v>-19</v>
      </c>
      <c r="Z107" s="104">
        <v>-30.3</v>
      </c>
      <c r="AA107" s="104">
        <v>-24</v>
      </c>
      <c r="AB107" s="104">
        <f>-1.9-4.4</f>
        <v>-6.3000000000000007</v>
      </c>
      <c r="AC107" s="104">
        <f>-21-24</f>
        <v>-45</v>
      </c>
      <c r="AD107" s="104">
        <f>-25.2-28</f>
        <v>-53.2</v>
      </c>
      <c r="AE107" s="104">
        <f>-28.6-30.2</f>
        <v>-58.8</v>
      </c>
      <c r="AF107" s="104">
        <f>-29-32</f>
        <v>-61</v>
      </c>
      <c r="AG107" s="103">
        <v>240</v>
      </c>
      <c r="AH107" s="48">
        <f t="shared" si="11"/>
        <v>5</v>
      </c>
      <c r="AI107" s="49">
        <f t="shared" si="12"/>
        <v>-98</v>
      </c>
    </row>
    <row r="108" spans="1:35" x14ac:dyDescent="0.25">
      <c r="A108" s="91" t="s">
        <v>109</v>
      </c>
      <c r="B108" s="104">
        <v>-5.2</v>
      </c>
      <c r="C108" s="104">
        <v>-5.3</v>
      </c>
      <c r="D108" s="104">
        <v>-7.8</v>
      </c>
      <c r="E108" s="104">
        <v>-8</v>
      </c>
      <c r="F108" s="104">
        <v>-10.4</v>
      </c>
      <c r="G108" s="104">
        <v>-9.1999999999999993</v>
      </c>
      <c r="H108" s="104">
        <v>-4</v>
      </c>
      <c r="I108" s="104">
        <v>-1.6</v>
      </c>
      <c r="J108" s="104">
        <v>3.9</v>
      </c>
      <c r="K108" s="104">
        <v>43.3</v>
      </c>
      <c r="L108" s="104">
        <v>51.8</v>
      </c>
      <c r="M108" s="104">
        <v>40.1</v>
      </c>
      <c r="N108" s="104">
        <v>17.2</v>
      </c>
      <c r="O108" s="104">
        <v>17.2</v>
      </c>
      <c r="P108" s="104">
        <v>18</v>
      </c>
      <c r="Q108" s="104">
        <v>17</v>
      </c>
      <c r="R108" s="104">
        <v>14.2</v>
      </c>
      <c r="S108" s="104">
        <v>13.4</v>
      </c>
      <c r="T108" s="104">
        <v>22.8</v>
      </c>
      <c r="U108" s="104">
        <v>12</v>
      </c>
      <c r="V108" s="104">
        <v>33.6</v>
      </c>
      <c r="W108" s="104">
        <v>59</v>
      </c>
      <c r="X108" s="104">
        <v>63.2</v>
      </c>
      <c r="Y108" s="104">
        <v>62.5</v>
      </c>
      <c r="Z108" s="104">
        <v>57.7</v>
      </c>
      <c r="AA108" s="104">
        <v>40.9</v>
      </c>
      <c r="AB108" s="104">
        <v>20.6</v>
      </c>
      <c r="AC108" s="104">
        <v>13.3</v>
      </c>
      <c r="AD108" s="104">
        <v>10.5</v>
      </c>
      <c r="AE108" s="104">
        <v>4.3</v>
      </c>
      <c r="AF108" s="104">
        <v>2.6</v>
      </c>
      <c r="AG108" s="103">
        <v>60</v>
      </c>
      <c r="AH108" s="48">
        <f t="shared" si="11"/>
        <v>63.2</v>
      </c>
      <c r="AI108" s="49">
        <f t="shared" si="12"/>
        <v>-10.4</v>
      </c>
    </row>
    <row r="109" spans="1:35" x14ac:dyDescent="0.25">
      <c r="A109" s="105" t="s">
        <v>110</v>
      </c>
      <c r="B109" s="106">
        <v>0</v>
      </c>
      <c r="C109" s="106">
        <v>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6">
        <v>0</v>
      </c>
      <c r="K109" s="106">
        <v>0</v>
      </c>
      <c r="L109" s="106">
        <v>0</v>
      </c>
      <c r="M109" s="106">
        <v>0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0</v>
      </c>
      <c r="Y109" s="106">
        <v>0</v>
      </c>
      <c r="Z109" s="106">
        <v>0</v>
      </c>
      <c r="AA109" s="106">
        <v>0</v>
      </c>
      <c r="AB109" s="106">
        <v>0</v>
      </c>
      <c r="AC109" s="106">
        <v>0</v>
      </c>
      <c r="AD109" s="106">
        <v>0</v>
      </c>
      <c r="AE109" s="106">
        <v>0</v>
      </c>
      <c r="AF109" s="106">
        <v>0</v>
      </c>
      <c r="AG109" s="107">
        <v>120</v>
      </c>
      <c r="AH109" s="48">
        <f t="shared" si="11"/>
        <v>0</v>
      </c>
      <c r="AI109" s="49">
        <f t="shared" si="12"/>
        <v>0</v>
      </c>
    </row>
    <row r="110" spans="1:35" x14ac:dyDescent="0.25">
      <c r="A110" s="105" t="s">
        <v>111</v>
      </c>
      <c r="B110" s="106">
        <v>33.1</v>
      </c>
      <c r="C110" s="106">
        <v>48.8</v>
      </c>
      <c r="D110" s="106">
        <v>31.1</v>
      </c>
      <c r="E110" s="106">
        <v>33</v>
      </c>
      <c r="F110" s="106">
        <v>40.700000000000003</v>
      </c>
      <c r="G110" s="106">
        <v>36</v>
      </c>
      <c r="H110" s="106">
        <v>36.799999999999997</v>
      </c>
      <c r="I110" s="106">
        <v>65.599999999999994</v>
      </c>
      <c r="J110" s="106">
        <v>74</v>
      </c>
      <c r="K110" s="106">
        <v>62.3</v>
      </c>
      <c r="L110" s="106">
        <v>77.099999999999994</v>
      </c>
      <c r="M110" s="106">
        <v>63.9</v>
      </c>
      <c r="N110" s="106">
        <v>83.5</v>
      </c>
      <c r="O110" s="106">
        <v>83.5</v>
      </c>
      <c r="P110" s="106">
        <v>81.3</v>
      </c>
      <c r="Q110" s="106">
        <v>95</v>
      </c>
      <c r="R110" s="106">
        <v>89.2</v>
      </c>
      <c r="S110" s="106">
        <v>91.4</v>
      </c>
      <c r="T110" s="106">
        <v>73</v>
      </c>
      <c r="U110" s="106">
        <v>77.5</v>
      </c>
      <c r="V110" s="106">
        <v>65.5</v>
      </c>
      <c r="W110" s="106">
        <v>69</v>
      </c>
      <c r="X110" s="106">
        <v>79</v>
      </c>
      <c r="Y110" s="106">
        <v>62.6</v>
      </c>
      <c r="Z110" s="106">
        <v>42.6</v>
      </c>
      <c r="AA110" s="106">
        <v>47.6</v>
      </c>
      <c r="AB110" s="106">
        <v>54</v>
      </c>
      <c r="AC110" s="106">
        <v>28</v>
      </c>
      <c r="AD110" s="106">
        <v>20</v>
      </c>
      <c r="AE110" s="106">
        <v>24.3</v>
      </c>
      <c r="AF110" s="106">
        <v>54</v>
      </c>
      <c r="AG110" s="107"/>
      <c r="AH110" s="48">
        <f t="shared" si="11"/>
        <v>95</v>
      </c>
      <c r="AI110" s="49">
        <f t="shared" si="12"/>
        <v>20</v>
      </c>
    </row>
    <row r="111" spans="1:35" x14ac:dyDescent="0.25">
      <c r="A111" s="105" t="s">
        <v>112</v>
      </c>
      <c r="B111" s="106">
        <v>50.8</v>
      </c>
      <c r="C111" s="106">
        <v>51.4</v>
      </c>
      <c r="D111" s="106">
        <v>55.4</v>
      </c>
      <c r="E111" s="106">
        <v>55.4</v>
      </c>
      <c r="F111" s="106">
        <v>50.6</v>
      </c>
      <c r="G111" s="106">
        <v>46.9</v>
      </c>
      <c r="H111" s="106">
        <v>33.5</v>
      </c>
      <c r="I111" s="106">
        <v>46.1</v>
      </c>
      <c r="J111" s="106">
        <v>10.1</v>
      </c>
      <c r="K111" s="106">
        <v>15.2</v>
      </c>
      <c r="L111" s="106">
        <v>22.4</v>
      </c>
      <c r="M111" s="106">
        <v>10.5</v>
      </c>
      <c r="N111" s="106">
        <v>3.6</v>
      </c>
      <c r="O111" s="106">
        <v>3.6</v>
      </c>
      <c r="P111" s="106">
        <v>12.1</v>
      </c>
      <c r="Q111" s="106">
        <v>24</v>
      </c>
      <c r="R111" s="106">
        <v>24.3</v>
      </c>
      <c r="S111" s="106">
        <v>39.1</v>
      </c>
      <c r="T111" s="106">
        <v>24.4</v>
      </c>
      <c r="U111" s="106">
        <v>26.1</v>
      </c>
      <c r="V111" s="106">
        <v>-0.4</v>
      </c>
      <c r="W111" s="106">
        <v>9</v>
      </c>
      <c r="X111" s="106">
        <v>20.8</v>
      </c>
      <c r="Y111" s="106">
        <v>18.7</v>
      </c>
      <c r="Z111" s="106">
        <v>3.5</v>
      </c>
      <c r="AA111" s="106">
        <v>3.7</v>
      </c>
      <c r="AB111" s="106">
        <v>-4</v>
      </c>
      <c r="AC111" s="106">
        <v>-5.8</v>
      </c>
      <c r="AD111" s="106">
        <v>-6.4</v>
      </c>
      <c r="AE111" s="106">
        <v>15.8</v>
      </c>
      <c r="AF111" s="106">
        <v>45</v>
      </c>
      <c r="AG111" s="108"/>
      <c r="AH111" s="48">
        <f t="shared" si="11"/>
        <v>55.4</v>
      </c>
      <c r="AI111" s="49">
        <f t="shared" si="12"/>
        <v>-6.4</v>
      </c>
    </row>
    <row r="112" spans="1:35" x14ac:dyDescent="0.25">
      <c r="A112" s="109" t="s">
        <v>113</v>
      </c>
      <c r="B112" s="94">
        <v>45.6</v>
      </c>
      <c r="C112" s="94">
        <v>46.2</v>
      </c>
      <c r="D112" s="94">
        <v>46.6</v>
      </c>
      <c r="E112" s="94">
        <v>46.6</v>
      </c>
      <c r="F112" s="94">
        <v>48.6</v>
      </c>
      <c r="G112" s="94">
        <v>43.3</v>
      </c>
      <c r="H112" s="94">
        <v>39.4</v>
      </c>
      <c r="I112" s="94">
        <v>34.6</v>
      </c>
      <c r="J112" s="94">
        <v>28.7</v>
      </c>
      <c r="K112" s="94">
        <v>23.8</v>
      </c>
      <c r="L112" s="94">
        <v>19.5</v>
      </c>
      <c r="M112" s="94">
        <v>18</v>
      </c>
      <c r="N112" s="94">
        <v>29.1</v>
      </c>
      <c r="O112" s="94">
        <v>29.1</v>
      </c>
      <c r="P112" s="94">
        <v>29.5</v>
      </c>
      <c r="Q112" s="94">
        <v>31</v>
      </c>
      <c r="R112" s="94">
        <v>33.5</v>
      </c>
      <c r="S112" s="94">
        <v>32.6</v>
      </c>
      <c r="T112" s="94">
        <v>31.4</v>
      </c>
      <c r="U112" s="94">
        <v>26.2</v>
      </c>
      <c r="V112" s="94">
        <v>7.2</v>
      </c>
      <c r="W112" s="94">
        <v>0</v>
      </c>
      <c r="X112" s="94">
        <v>1</v>
      </c>
      <c r="Y112" s="94">
        <v>13.1</v>
      </c>
      <c r="Z112" s="94">
        <v>21.9</v>
      </c>
      <c r="AA112" s="94">
        <v>26.2</v>
      </c>
      <c r="AB112" s="94">
        <v>27.6</v>
      </c>
      <c r="AC112" s="94">
        <v>32.200000000000003</v>
      </c>
      <c r="AD112" s="94">
        <v>30</v>
      </c>
      <c r="AE112" s="94">
        <v>39.200000000000003</v>
      </c>
      <c r="AF112" s="94">
        <v>42</v>
      </c>
      <c r="AG112" s="108"/>
      <c r="AH112" s="48">
        <f t="shared" si="11"/>
        <v>48.6</v>
      </c>
      <c r="AI112" s="49">
        <f t="shared" si="12"/>
        <v>0</v>
      </c>
    </row>
    <row r="113" spans="1:37" ht="15.75" thickBot="1" x14ac:dyDescent="0.3">
      <c r="A113" s="109" t="s">
        <v>114</v>
      </c>
      <c r="B113" s="94">
        <v>55.4</v>
      </c>
      <c r="C113" s="94">
        <v>45.1</v>
      </c>
      <c r="D113" s="94">
        <v>58.4</v>
      </c>
      <c r="E113" s="94">
        <v>59</v>
      </c>
      <c r="F113" s="94">
        <v>62.7</v>
      </c>
      <c r="G113" s="94">
        <v>65</v>
      </c>
      <c r="H113" s="94">
        <v>55.8</v>
      </c>
      <c r="I113" s="94">
        <v>34.4</v>
      </c>
      <c r="J113" s="94">
        <v>34.6</v>
      </c>
      <c r="K113" s="94">
        <v>31.3</v>
      </c>
      <c r="L113" s="94">
        <v>22</v>
      </c>
      <c r="M113" s="94">
        <v>18.100000000000001</v>
      </c>
      <c r="N113" s="94">
        <v>13.1</v>
      </c>
      <c r="O113" s="94">
        <v>13.1</v>
      </c>
      <c r="P113" s="94">
        <v>12.7</v>
      </c>
      <c r="Q113" s="94">
        <v>4.7</v>
      </c>
      <c r="R113" s="94">
        <v>12.3</v>
      </c>
      <c r="S113" s="94">
        <v>10.8</v>
      </c>
      <c r="T113" s="94">
        <v>41.1</v>
      </c>
      <c r="U113" s="94">
        <v>15.5</v>
      </c>
      <c r="V113" s="94">
        <v>21.5</v>
      </c>
      <c r="W113" s="94">
        <v>23</v>
      </c>
      <c r="X113" s="94"/>
      <c r="Y113" s="94">
        <v>22.9</v>
      </c>
      <c r="Z113" s="94">
        <v>30.5</v>
      </c>
      <c r="AA113" s="94">
        <v>26.5</v>
      </c>
      <c r="AB113" s="94">
        <v>22.6</v>
      </c>
      <c r="AC113" s="94">
        <v>41.6</v>
      </c>
      <c r="AD113" s="94">
        <v>48</v>
      </c>
      <c r="AE113" s="94">
        <v>44.3</v>
      </c>
      <c r="AF113" s="94">
        <v>36</v>
      </c>
      <c r="AG113" s="108"/>
      <c r="AH113" s="48">
        <f t="shared" si="11"/>
        <v>65</v>
      </c>
      <c r="AI113" s="49">
        <f t="shared" si="12"/>
        <v>4.7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4">SUM(B115:B219)</f>
        <v>0</v>
      </c>
      <c r="C220" s="125">
        <f t="shared" si="24"/>
        <v>0</v>
      </c>
      <c r="D220" s="125">
        <f t="shared" si="24"/>
        <v>0</v>
      </c>
      <c r="E220" s="125">
        <f t="shared" si="24"/>
        <v>0</v>
      </c>
      <c r="F220" s="125">
        <f t="shared" si="24"/>
        <v>0</v>
      </c>
      <c r="G220" s="125">
        <f t="shared" si="24"/>
        <v>0</v>
      </c>
      <c r="H220" s="125">
        <f t="shared" si="24"/>
        <v>0</v>
      </c>
      <c r="I220" s="125">
        <f t="shared" si="24"/>
        <v>0</v>
      </c>
      <c r="J220" s="125">
        <f t="shared" si="24"/>
        <v>0</v>
      </c>
      <c r="K220" s="125">
        <f t="shared" si="24"/>
        <v>0</v>
      </c>
      <c r="L220" s="125">
        <f t="shared" si="24"/>
        <v>0</v>
      </c>
      <c r="M220" s="125">
        <f t="shared" si="24"/>
        <v>0</v>
      </c>
      <c r="N220" s="125">
        <f t="shared" si="24"/>
        <v>0</v>
      </c>
      <c r="O220" s="125">
        <f t="shared" si="24"/>
        <v>0</v>
      </c>
      <c r="P220" s="125">
        <f t="shared" si="24"/>
        <v>0</v>
      </c>
      <c r="Q220" s="125">
        <f t="shared" si="24"/>
        <v>0</v>
      </c>
      <c r="R220" s="125">
        <f t="shared" si="24"/>
        <v>0</v>
      </c>
      <c r="S220" s="125">
        <f t="shared" si="24"/>
        <v>0</v>
      </c>
      <c r="T220" s="125">
        <f t="shared" si="24"/>
        <v>0</v>
      </c>
      <c r="U220" s="125">
        <f t="shared" si="24"/>
        <v>0</v>
      </c>
      <c r="V220" s="125">
        <f t="shared" si="24"/>
        <v>0</v>
      </c>
      <c r="W220" s="125">
        <f t="shared" si="24"/>
        <v>0</v>
      </c>
      <c r="X220" s="125">
        <f t="shared" si="24"/>
        <v>0</v>
      </c>
      <c r="Y220" s="125">
        <f t="shared" si="24"/>
        <v>0</v>
      </c>
      <c r="Z220" s="125">
        <f t="shared" si="24"/>
        <v>0</v>
      </c>
      <c r="AA220" s="125">
        <f t="shared" si="24"/>
        <v>0</v>
      </c>
      <c r="AB220" s="125">
        <f t="shared" si="24"/>
        <v>0</v>
      </c>
      <c r="AC220" s="125">
        <f t="shared" si="24"/>
        <v>0</v>
      </c>
      <c r="AD220" s="125">
        <f t="shared" si="24"/>
        <v>0</v>
      </c>
      <c r="AE220" s="125">
        <f t="shared" si="24"/>
        <v>0</v>
      </c>
      <c r="AF220" s="126">
        <f t="shared" si="24"/>
        <v>0</v>
      </c>
      <c r="AG220" s="127">
        <f t="shared" si="24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5">AF222</f>
        <v>0</v>
      </c>
      <c r="C222" s="129">
        <v>0.3</v>
      </c>
      <c r="D222" s="129">
        <f t="shared" ref="D222:P227" si="26">C222</f>
        <v>0.3</v>
      </c>
      <c r="E222" s="129">
        <f t="shared" si="26"/>
        <v>0.3</v>
      </c>
      <c r="F222" s="129">
        <f t="shared" si="26"/>
        <v>0.3</v>
      </c>
      <c r="G222" s="129">
        <f t="shared" si="26"/>
        <v>0.3</v>
      </c>
      <c r="H222" s="129">
        <f t="shared" si="26"/>
        <v>0.3</v>
      </c>
      <c r="I222" s="129">
        <f t="shared" si="26"/>
        <v>0.3</v>
      </c>
      <c r="J222" s="129">
        <f t="shared" si="26"/>
        <v>0.3</v>
      </c>
      <c r="K222" s="129">
        <f t="shared" si="26"/>
        <v>0.3</v>
      </c>
      <c r="L222" s="129">
        <f t="shared" si="26"/>
        <v>0.3</v>
      </c>
      <c r="M222" s="129">
        <f t="shared" si="26"/>
        <v>0.3</v>
      </c>
      <c r="N222" s="129">
        <f t="shared" si="26"/>
        <v>0.3</v>
      </c>
      <c r="O222" s="129">
        <f t="shared" si="26"/>
        <v>0.3</v>
      </c>
      <c r="P222" s="129">
        <f t="shared" si="26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5"/>
        <v>0</v>
      </c>
      <c r="C223" s="117">
        <v>0.4</v>
      </c>
      <c r="D223" s="117">
        <f t="shared" si="26"/>
        <v>0.4</v>
      </c>
      <c r="E223" s="117">
        <f t="shared" si="26"/>
        <v>0.4</v>
      </c>
      <c r="F223" s="117">
        <f t="shared" si="26"/>
        <v>0.4</v>
      </c>
      <c r="G223" s="117">
        <f t="shared" si="26"/>
        <v>0.4</v>
      </c>
      <c r="H223" s="117">
        <f t="shared" si="26"/>
        <v>0.4</v>
      </c>
      <c r="I223" s="117">
        <f t="shared" si="26"/>
        <v>0.4</v>
      </c>
      <c r="J223" s="117">
        <f t="shared" si="26"/>
        <v>0.4</v>
      </c>
      <c r="K223" s="117">
        <f t="shared" si="26"/>
        <v>0.4</v>
      </c>
      <c r="L223" s="117">
        <f t="shared" si="26"/>
        <v>0.4</v>
      </c>
      <c r="M223" s="117">
        <f t="shared" si="26"/>
        <v>0.4</v>
      </c>
      <c r="N223" s="117">
        <f t="shared" si="26"/>
        <v>0.4</v>
      </c>
      <c r="O223" s="117">
        <f t="shared" si="26"/>
        <v>0.4</v>
      </c>
      <c r="P223" s="117">
        <f t="shared" si="26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5"/>
        <v>0</v>
      </c>
      <c r="C224" s="117">
        <v>1.5</v>
      </c>
      <c r="D224" s="117">
        <f t="shared" si="26"/>
        <v>1.5</v>
      </c>
      <c r="E224" s="117">
        <f t="shared" si="26"/>
        <v>1.5</v>
      </c>
      <c r="F224" s="117">
        <f t="shared" si="26"/>
        <v>1.5</v>
      </c>
      <c r="G224" s="117">
        <f t="shared" si="26"/>
        <v>1.5</v>
      </c>
      <c r="H224" s="117">
        <f t="shared" si="26"/>
        <v>1.5</v>
      </c>
      <c r="I224" s="117">
        <f t="shared" si="26"/>
        <v>1.5</v>
      </c>
      <c r="J224" s="117">
        <f t="shared" si="26"/>
        <v>1.5</v>
      </c>
      <c r="K224" s="117">
        <f t="shared" si="26"/>
        <v>1.5</v>
      </c>
      <c r="L224" s="117">
        <f t="shared" si="26"/>
        <v>1.5</v>
      </c>
      <c r="M224" s="117">
        <f t="shared" si="26"/>
        <v>1.5</v>
      </c>
      <c r="N224" s="117">
        <f t="shared" si="26"/>
        <v>1.5</v>
      </c>
      <c r="O224" s="117">
        <f t="shared" si="26"/>
        <v>1.5</v>
      </c>
      <c r="P224" s="117">
        <f t="shared" si="26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5"/>
        <v>0</v>
      </c>
      <c r="C225" s="117">
        <v>0.3</v>
      </c>
      <c r="D225" s="117">
        <f t="shared" si="26"/>
        <v>0.3</v>
      </c>
      <c r="E225" s="117">
        <f t="shared" si="26"/>
        <v>0.3</v>
      </c>
      <c r="F225" s="117">
        <f t="shared" si="26"/>
        <v>0.3</v>
      </c>
      <c r="G225" s="117">
        <f t="shared" si="26"/>
        <v>0.3</v>
      </c>
      <c r="H225" s="117">
        <f t="shared" si="26"/>
        <v>0.3</v>
      </c>
      <c r="I225" s="117">
        <f t="shared" si="26"/>
        <v>0.3</v>
      </c>
      <c r="J225" s="117">
        <f t="shared" si="26"/>
        <v>0.3</v>
      </c>
      <c r="K225" s="117">
        <f t="shared" si="26"/>
        <v>0.3</v>
      </c>
      <c r="L225" s="117">
        <f t="shared" si="26"/>
        <v>0.3</v>
      </c>
      <c r="M225" s="117">
        <f t="shared" si="26"/>
        <v>0.3</v>
      </c>
      <c r="N225" s="117">
        <f t="shared" si="26"/>
        <v>0.3</v>
      </c>
      <c r="O225" s="117">
        <f t="shared" si="26"/>
        <v>0.3</v>
      </c>
      <c r="P225" s="117">
        <f t="shared" si="26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5"/>
        <v>0</v>
      </c>
      <c r="C226" s="117">
        <v>0.4</v>
      </c>
      <c r="D226" s="117">
        <f t="shared" si="26"/>
        <v>0.4</v>
      </c>
      <c r="E226" s="117">
        <f t="shared" si="26"/>
        <v>0.4</v>
      </c>
      <c r="F226" s="117">
        <f t="shared" si="26"/>
        <v>0.4</v>
      </c>
      <c r="G226" s="117">
        <f t="shared" si="26"/>
        <v>0.4</v>
      </c>
      <c r="H226" s="117">
        <f t="shared" si="26"/>
        <v>0.4</v>
      </c>
      <c r="I226" s="117">
        <f t="shared" si="26"/>
        <v>0.4</v>
      </c>
      <c r="J226" s="117">
        <f t="shared" si="26"/>
        <v>0.4</v>
      </c>
      <c r="K226" s="117">
        <f t="shared" si="26"/>
        <v>0.4</v>
      </c>
      <c r="L226" s="117">
        <f t="shared" si="26"/>
        <v>0.4</v>
      </c>
      <c r="M226" s="117">
        <f t="shared" si="26"/>
        <v>0.4</v>
      </c>
      <c r="N226" s="117">
        <f t="shared" si="26"/>
        <v>0.4</v>
      </c>
      <c r="O226" s="117">
        <f t="shared" si="26"/>
        <v>0.4</v>
      </c>
      <c r="P226" s="117">
        <f t="shared" si="26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5"/>
        <v>0</v>
      </c>
      <c r="C227" s="121">
        <v>0.64</v>
      </c>
      <c r="D227" s="121">
        <f t="shared" si="26"/>
        <v>0.64</v>
      </c>
      <c r="E227" s="121">
        <f t="shared" si="26"/>
        <v>0.64</v>
      </c>
      <c r="F227" s="121">
        <f t="shared" si="26"/>
        <v>0.64</v>
      </c>
      <c r="G227" s="121">
        <f t="shared" si="26"/>
        <v>0.64</v>
      </c>
      <c r="H227" s="121">
        <f t="shared" si="26"/>
        <v>0.64</v>
      </c>
      <c r="I227" s="121">
        <f t="shared" si="26"/>
        <v>0.64</v>
      </c>
      <c r="J227" s="121">
        <f t="shared" si="26"/>
        <v>0.64</v>
      </c>
      <c r="K227" s="121">
        <f t="shared" si="26"/>
        <v>0.64</v>
      </c>
      <c r="L227" s="121">
        <f t="shared" si="26"/>
        <v>0.64</v>
      </c>
      <c r="M227" s="121">
        <f t="shared" si="26"/>
        <v>0.64</v>
      </c>
      <c r="N227" s="121">
        <f t="shared" si="26"/>
        <v>0.64</v>
      </c>
      <c r="O227" s="121">
        <f t="shared" si="26"/>
        <v>0.64</v>
      </c>
      <c r="P227" s="121">
        <f t="shared" si="26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7">SUM(B222:B227)</f>
        <v>0</v>
      </c>
      <c r="C228" s="125">
        <f t="shared" si="27"/>
        <v>3.54</v>
      </c>
      <c r="D228" s="125">
        <f t="shared" si="27"/>
        <v>3.54</v>
      </c>
      <c r="E228" s="125">
        <f t="shared" si="27"/>
        <v>3.54</v>
      </c>
      <c r="F228" s="125">
        <f t="shared" si="27"/>
        <v>3.54</v>
      </c>
      <c r="G228" s="125">
        <f t="shared" si="27"/>
        <v>3.54</v>
      </c>
      <c r="H228" s="125">
        <f t="shared" si="27"/>
        <v>3.54</v>
      </c>
      <c r="I228" s="125">
        <f t="shared" si="27"/>
        <v>3.54</v>
      </c>
      <c r="J228" s="125">
        <f t="shared" si="27"/>
        <v>3.54</v>
      </c>
      <c r="K228" s="125">
        <f t="shared" si="27"/>
        <v>3.54</v>
      </c>
      <c r="L228" s="125">
        <f t="shared" si="27"/>
        <v>3.54</v>
      </c>
      <c r="M228" s="125">
        <f t="shared" si="27"/>
        <v>3.54</v>
      </c>
      <c r="N228" s="125">
        <f t="shared" si="27"/>
        <v>3.54</v>
      </c>
      <c r="O228" s="125">
        <f t="shared" si="27"/>
        <v>3.54</v>
      </c>
      <c r="P228" s="125">
        <f t="shared" si="27"/>
        <v>3.54</v>
      </c>
      <c r="Q228" s="125">
        <f t="shared" si="27"/>
        <v>0</v>
      </c>
      <c r="R228" s="125">
        <f t="shared" si="27"/>
        <v>0</v>
      </c>
      <c r="S228" s="125">
        <f t="shared" si="27"/>
        <v>0</v>
      </c>
      <c r="T228" s="125">
        <f t="shared" si="27"/>
        <v>0</v>
      </c>
      <c r="U228" s="125">
        <f t="shared" si="27"/>
        <v>0</v>
      </c>
      <c r="V228" s="125">
        <f t="shared" si="27"/>
        <v>0</v>
      </c>
      <c r="W228" s="125">
        <f t="shared" si="27"/>
        <v>0</v>
      </c>
      <c r="X228" s="125">
        <f t="shared" si="27"/>
        <v>0</v>
      </c>
      <c r="Y228" s="125">
        <f t="shared" si="27"/>
        <v>0</v>
      </c>
      <c r="Z228" s="125">
        <f t="shared" si="27"/>
        <v>0</v>
      </c>
      <c r="AA228" s="125">
        <f t="shared" si="27"/>
        <v>0</v>
      </c>
      <c r="AB228" s="125">
        <f t="shared" si="27"/>
        <v>0</v>
      </c>
      <c r="AC228" s="125">
        <f t="shared" si="27"/>
        <v>0</v>
      </c>
      <c r="AD228" s="125">
        <f t="shared" si="27"/>
        <v>0</v>
      </c>
      <c r="AE228" s="125">
        <f t="shared" si="27"/>
        <v>0</v>
      </c>
      <c r="AF228" s="125">
        <f t="shared" si="27"/>
        <v>0</v>
      </c>
      <c r="AG228" s="134">
        <f t="shared" si="27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1575.04</v>
      </c>
      <c r="C237" s="150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2079/08/21)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28">B85</f>
        <v>955.6400000000001</v>
      </c>
      <c r="U242" s="159">
        <f t="shared" si="28"/>
        <v>959.14</v>
      </c>
      <c r="V242" s="159">
        <f t="shared" si="28"/>
        <v>947.94</v>
      </c>
      <c r="W242" s="159">
        <f t="shared" si="28"/>
        <v>958.14</v>
      </c>
      <c r="X242" s="159">
        <f t="shared" si="28"/>
        <v>956.84</v>
      </c>
      <c r="Y242" s="159">
        <f t="shared" si="28"/>
        <v>1031.94</v>
      </c>
      <c r="Z242" s="159">
        <f t="shared" si="28"/>
        <v>1099.8399999999999</v>
      </c>
      <c r="AA242" s="159">
        <f t="shared" si="28"/>
        <v>1185.6399999999999</v>
      </c>
      <c r="AB242" s="159">
        <f t="shared" si="28"/>
        <v>1366.24</v>
      </c>
      <c r="AC242" s="159">
        <f t="shared" si="28"/>
        <v>1517.84</v>
      </c>
      <c r="AD242" s="159">
        <f t="shared" si="28"/>
        <v>1575.04</v>
      </c>
      <c r="AE242" s="159">
        <f t="shared" si="28"/>
        <v>1563.4399999999998</v>
      </c>
      <c r="AF242" s="159">
        <f t="shared" si="28"/>
        <v>1518.2399999999998</v>
      </c>
      <c r="AG242" s="159">
        <f t="shared" si="28"/>
        <v>1327.4399999999998</v>
      </c>
      <c r="AH242" s="159">
        <f t="shared" si="28"/>
        <v>1303.8399999999999</v>
      </c>
      <c r="AI242" s="159">
        <f t="shared" si="28"/>
        <v>1220.3399999999997</v>
      </c>
      <c r="AJ242" s="159">
        <f t="shared" si="28"/>
        <v>1192.8399999999999</v>
      </c>
      <c r="AK242" s="159">
        <f t="shared" si="28"/>
        <v>1227.94</v>
      </c>
      <c r="AL242" s="159">
        <f t="shared" si="28"/>
        <v>1266.54</v>
      </c>
      <c r="AM242" s="159">
        <f t="shared" si="28"/>
        <v>1237.94</v>
      </c>
      <c r="AN242" s="159">
        <f t="shared" si="28"/>
        <v>1284.1400000000001</v>
      </c>
      <c r="AO242" s="159">
        <f t="shared" si="28"/>
        <v>1587.6399999999999</v>
      </c>
      <c r="AP242" s="159">
        <f t="shared" si="28"/>
        <v>1704.2400000000002</v>
      </c>
      <c r="AQ242" s="159">
        <f t="shared" si="28"/>
        <v>1631.54</v>
      </c>
      <c r="AR242" s="159">
        <f t="shared" si="28"/>
        <v>1547.8400000000001</v>
      </c>
      <c r="AS242" s="159">
        <f t="shared" si="28"/>
        <v>1463.44</v>
      </c>
      <c r="AT242" s="159">
        <f t="shared" si="28"/>
        <v>1433.04</v>
      </c>
      <c r="AU242" s="159">
        <f t="shared" si="28"/>
        <v>1334.0400000000002</v>
      </c>
      <c r="AV242" s="159">
        <f t="shared" si="28"/>
        <v>1306.8400000000001</v>
      </c>
      <c r="AW242" s="159">
        <f t="shared" si="28"/>
        <v>1004.6400000000001</v>
      </c>
      <c r="AX242" s="159">
        <f t="shared" si="28"/>
        <v>954.83999999999992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29">C227</f>
        <v>0.64</v>
      </c>
      <c r="C263" s="162">
        <f t="shared" si="29"/>
        <v>0.64</v>
      </c>
      <c r="D263" s="162">
        <f t="shared" si="29"/>
        <v>0.64</v>
      </c>
      <c r="E263" s="162">
        <f t="shared" si="29"/>
        <v>0.64</v>
      </c>
      <c r="F263" s="162">
        <f t="shared" si="29"/>
        <v>0.64</v>
      </c>
      <c r="G263" s="162">
        <f t="shared" si="29"/>
        <v>0.64</v>
      </c>
      <c r="H263" s="162">
        <f t="shared" si="29"/>
        <v>0.64</v>
      </c>
      <c r="I263" s="162">
        <f t="shared" si="29"/>
        <v>0.64</v>
      </c>
      <c r="J263" s="162">
        <f t="shared" si="29"/>
        <v>0.64</v>
      </c>
      <c r="K263" s="162">
        <f t="shared" si="29"/>
        <v>0.64</v>
      </c>
      <c r="L263" s="162">
        <f t="shared" si="29"/>
        <v>0.64</v>
      </c>
      <c r="M263" s="162">
        <f t="shared" si="29"/>
        <v>0.64</v>
      </c>
      <c r="N263" s="162">
        <f t="shared" si="29"/>
        <v>0.64</v>
      </c>
      <c r="O263" s="162">
        <f t="shared" si="29"/>
        <v>0.64</v>
      </c>
      <c r="P263" s="162">
        <f t="shared" si="29"/>
        <v>0</v>
      </c>
      <c r="Q263" s="162">
        <f t="shared" si="29"/>
        <v>0</v>
      </c>
      <c r="R263" s="162">
        <f t="shared" si="29"/>
        <v>0</v>
      </c>
      <c r="S263" s="162">
        <f t="shared" si="29"/>
        <v>0</v>
      </c>
      <c r="T263" s="162">
        <f t="shared" si="29"/>
        <v>0</v>
      </c>
      <c r="U263" s="162">
        <f t="shared" si="29"/>
        <v>0</v>
      </c>
      <c r="V263" s="162">
        <f t="shared" si="29"/>
        <v>0</v>
      </c>
      <c r="W263" s="162">
        <f t="shared" si="29"/>
        <v>0</v>
      </c>
      <c r="X263" s="162">
        <f t="shared" si="29"/>
        <v>0</v>
      </c>
      <c r="Y263" s="162">
        <f t="shared" si="29"/>
        <v>0</v>
      </c>
      <c r="Z263" s="162">
        <f t="shared" si="29"/>
        <v>0</v>
      </c>
      <c r="AA263" s="162">
        <f t="shared" si="29"/>
        <v>0</v>
      </c>
      <c r="AB263" s="162">
        <f t="shared" si="29"/>
        <v>0</v>
      </c>
      <c r="AC263" s="162">
        <f t="shared" si="29"/>
        <v>0</v>
      </c>
      <c r="AD263" s="162">
        <f t="shared" si="29"/>
        <v>0</v>
      </c>
      <c r="AE263" s="162">
        <f t="shared" si="29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0">IF(B231&lt;100,"",B231-520)</f>
        <v/>
      </c>
      <c r="C264" s="163" t="str">
        <f t="shared" si="30"/>
        <v/>
      </c>
      <c r="D264" s="163" t="str">
        <f t="shared" si="30"/>
        <v/>
      </c>
      <c r="E264" s="163" t="str">
        <f t="shared" si="30"/>
        <v/>
      </c>
      <c r="F264" s="163" t="str">
        <f t="shared" si="30"/>
        <v/>
      </c>
      <c r="G264" s="163" t="str">
        <f t="shared" si="30"/>
        <v/>
      </c>
      <c r="H264" s="163" t="str">
        <f t="shared" si="30"/>
        <v/>
      </c>
      <c r="I264" s="163" t="str">
        <f t="shared" si="30"/>
        <v/>
      </c>
      <c r="J264" s="163" t="str">
        <f t="shared" si="30"/>
        <v/>
      </c>
      <c r="K264" s="163" t="str">
        <f t="shared" si="30"/>
        <v/>
      </c>
      <c r="L264" s="163" t="str">
        <f t="shared" si="30"/>
        <v/>
      </c>
      <c r="M264" s="163" t="str">
        <f t="shared" si="30"/>
        <v/>
      </c>
      <c r="N264" s="163" t="str">
        <f t="shared" si="30"/>
        <v/>
      </c>
      <c r="O264" s="163" t="str">
        <f t="shared" si="30"/>
        <v/>
      </c>
      <c r="P264" s="163" t="str">
        <f t="shared" si="30"/>
        <v/>
      </c>
      <c r="Q264" s="163" t="str">
        <f t="shared" si="30"/>
        <v/>
      </c>
      <c r="R264" s="163" t="str">
        <f t="shared" si="30"/>
        <v/>
      </c>
      <c r="S264" s="163" t="str">
        <f t="shared" si="30"/>
        <v/>
      </c>
      <c r="T264" s="163" t="str">
        <f t="shared" si="30"/>
        <v/>
      </c>
      <c r="U264" s="163" t="str">
        <f t="shared" si="30"/>
        <v/>
      </c>
      <c r="V264" s="163" t="str">
        <f t="shared" si="30"/>
        <v/>
      </c>
      <c r="W264" s="163" t="str">
        <f t="shared" si="30"/>
        <v/>
      </c>
      <c r="X264" s="163" t="str">
        <f t="shared" si="30"/>
        <v/>
      </c>
      <c r="Y264" s="163" t="str">
        <f t="shared" si="30"/>
        <v/>
      </c>
      <c r="Z264" s="163" t="str">
        <f t="shared" si="30"/>
        <v/>
      </c>
      <c r="AA264" s="163" t="str">
        <f t="shared" si="30"/>
        <v/>
      </c>
      <c r="AB264" s="163" t="str">
        <f t="shared" si="30"/>
        <v/>
      </c>
      <c r="AC264" s="163" t="str">
        <f t="shared" si="30"/>
        <v/>
      </c>
      <c r="AD264" s="163" t="str">
        <f t="shared" si="30"/>
        <v/>
      </c>
      <c r="AE264" s="163" t="str">
        <f t="shared" si="30"/>
        <v/>
      </c>
      <c r="AF264" s="163" t="str">
        <f t="shared" si="30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1">IF(B232&lt;100,"",B232-620)</f>
        <v/>
      </c>
      <c r="C265" s="163" t="str">
        <f t="shared" si="31"/>
        <v/>
      </c>
      <c r="D265" s="163" t="str">
        <f t="shared" si="31"/>
        <v/>
      </c>
      <c r="E265" s="163" t="str">
        <f t="shared" si="31"/>
        <v/>
      </c>
      <c r="F265" s="163" t="str">
        <f t="shared" si="31"/>
        <v/>
      </c>
      <c r="G265" s="163" t="str">
        <f t="shared" si="31"/>
        <v/>
      </c>
      <c r="H265" s="163" t="str">
        <f t="shared" si="31"/>
        <v/>
      </c>
      <c r="I265" s="163" t="str">
        <f t="shared" si="31"/>
        <v/>
      </c>
      <c r="J265" s="163" t="str">
        <f t="shared" si="31"/>
        <v/>
      </c>
      <c r="K265" s="163" t="str">
        <f t="shared" si="31"/>
        <v/>
      </c>
      <c r="L265" s="163" t="str">
        <f t="shared" si="31"/>
        <v/>
      </c>
      <c r="M265" s="163" t="str">
        <f t="shared" si="31"/>
        <v/>
      </c>
      <c r="N265" s="163" t="str">
        <f t="shared" si="31"/>
        <v/>
      </c>
      <c r="O265" s="163" t="str">
        <f t="shared" si="31"/>
        <v/>
      </c>
      <c r="P265" s="163" t="str">
        <f t="shared" si="31"/>
        <v/>
      </c>
      <c r="Q265" s="163" t="str">
        <f t="shared" si="31"/>
        <v/>
      </c>
      <c r="R265" s="163" t="str">
        <f t="shared" si="31"/>
        <v/>
      </c>
      <c r="S265" s="163" t="str">
        <f t="shared" si="31"/>
        <v/>
      </c>
      <c r="T265" s="163" t="str">
        <f t="shared" si="31"/>
        <v/>
      </c>
      <c r="U265" s="163" t="str">
        <f t="shared" si="31"/>
        <v/>
      </c>
      <c r="V265" s="163" t="str">
        <f t="shared" si="31"/>
        <v/>
      </c>
      <c r="W265" s="163" t="str">
        <f t="shared" si="31"/>
        <v/>
      </c>
      <c r="X265" s="163" t="str">
        <f t="shared" si="31"/>
        <v/>
      </c>
      <c r="Y265" s="163" t="str">
        <f t="shared" si="31"/>
        <v/>
      </c>
      <c r="Z265" s="163" t="str">
        <f t="shared" si="31"/>
        <v/>
      </c>
      <c r="AA265" s="163" t="str">
        <f t="shared" si="31"/>
        <v/>
      </c>
      <c r="AB265" s="163" t="str">
        <f t="shared" si="31"/>
        <v/>
      </c>
      <c r="AC265" s="163" t="str">
        <f t="shared" si="31"/>
        <v/>
      </c>
      <c r="AD265" s="163" t="str">
        <f t="shared" si="31"/>
        <v/>
      </c>
      <c r="AE265" s="163" t="str">
        <f t="shared" si="31"/>
        <v/>
      </c>
      <c r="AF265" s="163" t="str">
        <f t="shared" si="31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2">IF(B233&lt;100,"",B233-330)</f>
        <v/>
      </c>
      <c r="C266" s="163" t="str">
        <f t="shared" si="32"/>
        <v/>
      </c>
      <c r="D266" s="163" t="str">
        <f t="shared" si="32"/>
        <v/>
      </c>
      <c r="E266" s="163" t="str">
        <f t="shared" si="32"/>
        <v/>
      </c>
      <c r="F266" s="163" t="str">
        <f t="shared" si="32"/>
        <v/>
      </c>
      <c r="G266" s="163" t="str">
        <f t="shared" si="32"/>
        <v/>
      </c>
      <c r="H266" s="163" t="str">
        <f t="shared" si="32"/>
        <v/>
      </c>
      <c r="I266" s="163" t="str">
        <f t="shared" si="32"/>
        <v/>
      </c>
      <c r="J266" s="163" t="str">
        <f t="shared" si="32"/>
        <v/>
      </c>
      <c r="K266" s="163" t="str">
        <f t="shared" si="32"/>
        <v/>
      </c>
      <c r="L266" s="163" t="str">
        <f t="shared" si="32"/>
        <v/>
      </c>
      <c r="M266" s="163" t="str">
        <f t="shared" si="32"/>
        <v/>
      </c>
      <c r="N266" s="163" t="str">
        <f t="shared" si="32"/>
        <v/>
      </c>
      <c r="O266" s="163" t="str">
        <f t="shared" si="32"/>
        <v/>
      </c>
      <c r="P266" s="163" t="str">
        <f t="shared" si="32"/>
        <v/>
      </c>
      <c r="Q266" s="163" t="str">
        <f t="shared" si="32"/>
        <v/>
      </c>
      <c r="R266" s="163" t="str">
        <f t="shared" si="32"/>
        <v/>
      </c>
      <c r="S266" s="163" t="str">
        <f t="shared" si="32"/>
        <v/>
      </c>
      <c r="T266" s="163" t="str">
        <f t="shared" si="32"/>
        <v/>
      </c>
      <c r="U266" s="163" t="str">
        <f t="shared" si="32"/>
        <v/>
      </c>
      <c r="V266" s="163" t="str">
        <f t="shared" si="32"/>
        <v/>
      </c>
      <c r="W266" s="163" t="str">
        <f t="shared" si="32"/>
        <v/>
      </c>
      <c r="X266" s="163" t="str">
        <f t="shared" si="32"/>
        <v/>
      </c>
      <c r="Y266" s="163" t="str">
        <f t="shared" si="32"/>
        <v/>
      </c>
      <c r="Z266" s="163" t="str">
        <f t="shared" si="32"/>
        <v/>
      </c>
      <c r="AA266" s="163" t="str">
        <f t="shared" si="32"/>
        <v/>
      </c>
      <c r="AB266" s="163" t="str">
        <f t="shared" si="32"/>
        <v/>
      </c>
      <c r="AC266" s="163" t="str">
        <f t="shared" si="32"/>
        <v/>
      </c>
      <c r="AD266" s="163" t="str">
        <f t="shared" si="32"/>
        <v/>
      </c>
      <c r="AE266" s="163" t="str">
        <f t="shared" si="32"/>
        <v/>
      </c>
      <c r="AF266" s="163" t="str">
        <f t="shared" si="32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3">IF(B234&lt;100,"",B234-1500)</f>
        <v/>
      </c>
      <c r="C267" s="163" t="str">
        <f t="shared" si="33"/>
        <v/>
      </c>
      <c r="D267" s="163" t="str">
        <f t="shared" si="33"/>
        <v/>
      </c>
      <c r="E267" s="163" t="str">
        <f t="shared" si="33"/>
        <v/>
      </c>
      <c r="F267" s="163" t="str">
        <f t="shared" si="33"/>
        <v/>
      </c>
      <c r="G267" s="163" t="str">
        <f t="shared" si="33"/>
        <v/>
      </c>
      <c r="H267" s="163" t="str">
        <f t="shared" si="33"/>
        <v/>
      </c>
      <c r="I267" s="163" t="str">
        <f t="shared" si="33"/>
        <v/>
      </c>
      <c r="J267" s="163" t="str">
        <f t="shared" si="33"/>
        <v/>
      </c>
      <c r="K267" s="163" t="str">
        <f t="shared" si="33"/>
        <v/>
      </c>
      <c r="L267" s="163" t="str">
        <f t="shared" si="33"/>
        <v/>
      </c>
      <c r="M267" s="163" t="str">
        <f t="shared" si="33"/>
        <v/>
      </c>
      <c r="N267" s="163" t="str">
        <f t="shared" si="33"/>
        <v/>
      </c>
      <c r="O267" s="163" t="str">
        <f t="shared" si="33"/>
        <v/>
      </c>
      <c r="P267" s="163" t="str">
        <f t="shared" si="33"/>
        <v/>
      </c>
      <c r="Q267" s="163" t="str">
        <f t="shared" si="33"/>
        <v/>
      </c>
      <c r="R267" s="163" t="str">
        <f t="shared" si="33"/>
        <v/>
      </c>
      <c r="S267" s="163" t="str">
        <f t="shared" si="33"/>
        <v/>
      </c>
      <c r="T267" s="163" t="str">
        <f t="shared" si="33"/>
        <v/>
      </c>
      <c r="U267" s="163" t="str">
        <f t="shared" si="33"/>
        <v/>
      </c>
      <c r="V267" s="163" t="str">
        <f t="shared" si="33"/>
        <v/>
      </c>
      <c r="W267" s="163" t="str">
        <f t="shared" si="33"/>
        <v/>
      </c>
      <c r="X267" s="163" t="str">
        <f t="shared" si="33"/>
        <v/>
      </c>
      <c r="Y267" s="163" t="str">
        <f t="shared" si="33"/>
        <v/>
      </c>
      <c r="Z267" s="163" t="str">
        <f t="shared" si="33"/>
        <v/>
      </c>
      <c r="AA267" s="163" t="str">
        <f t="shared" si="33"/>
        <v/>
      </c>
      <c r="AB267" s="163" t="str">
        <f t="shared" si="33"/>
        <v/>
      </c>
      <c r="AC267" s="163" t="str">
        <f t="shared" si="33"/>
        <v/>
      </c>
      <c r="AD267" s="163" t="str">
        <f t="shared" si="33"/>
        <v/>
      </c>
      <c r="AE267" s="163" t="str">
        <f t="shared" si="33"/>
        <v/>
      </c>
      <c r="AF267" s="163" t="str">
        <f t="shared" si="33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42:D42 S32 B38:D41 E38:J42 C107:AF112 C105:AF105 B31:R32 K42:AF42 K38:S41 T11:AF11 B17:AF18 B15:AF15 B22:AF26">
    <cfRule type="expression" dxfId="3931" priority="244">
      <formula>B$9&gt;=20/24</formula>
    </cfRule>
    <cfRule type="expression" dxfId="3930" priority="245">
      <formula>AND(B$9&gt;=14/24,B$9&lt;20/24)</formula>
    </cfRule>
    <cfRule type="expression" dxfId="3929" priority="246">
      <formula>AND(B$9&gt;=8/24,B$9&lt;14/24)</formula>
    </cfRule>
    <cfRule type="expression" dxfId="3928" priority="247">
      <formula>B$9&lt;8/24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3927" priority="239">
      <formula>S$9&gt;=20/24</formula>
    </cfRule>
    <cfRule type="expression" dxfId="3926" priority="240">
      <formula>AND(S$9&gt;=14/24,S$9&lt;20/24)</formula>
    </cfRule>
    <cfRule type="expression" dxfId="3925" priority="241">
      <formula>AND(S$9&gt;=8/24,S$9&lt;14/24)</formula>
    </cfRule>
    <cfRule type="expression" dxfId="3924" priority="242">
      <formula>S$9&lt;8/24</formula>
    </cfRule>
  </conditionalFormatting>
  <conditionalFormatting sqref="AG61 S43:V43 S32 C42:V42 B12:R18 W42:AF43 B20:AF20 B22:AF26 T41:AF41 S11:AF18">
    <cfRule type="expression" dxfId="3923" priority="238">
      <formula>B11&gt;$AG11</formula>
    </cfRule>
  </conditionalFormatting>
  <conditionalFormatting sqref="A95:A105 A55:A82 A91:A93 A198:A228 A42:A53 A114:A185 A38:A39 A87:A89 A84:A85 A107:A109 A35:A36 A17:A18 A11:A15 A20:A33">
    <cfRule type="expression" dxfId="3922" priority="237">
      <formula>$AH11=0</formula>
    </cfRule>
  </conditionalFormatting>
  <conditionalFormatting sqref="A110">
    <cfRule type="expression" dxfId="3921" priority="236">
      <formula>$AH110=0</formula>
    </cfRule>
  </conditionalFormatting>
  <conditionalFormatting sqref="AL39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920" priority="234">
      <formula>$AH41=0</formula>
    </cfRule>
  </conditionalFormatting>
  <conditionalFormatting sqref="A94">
    <cfRule type="expression" dxfId="3919" priority="233">
      <formula>$AH94=0</formula>
    </cfRule>
  </conditionalFormatting>
  <conditionalFormatting sqref="A16">
    <cfRule type="expression" dxfId="3918" priority="232">
      <formula>$AH16=0</formula>
    </cfRule>
  </conditionalFormatting>
  <conditionalFormatting sqref="A192:A197">
    <cfRule type="expression" dxfId="3917" priority="231">
      <formula>$AH192=0</formula>
    </cfRule>
  </conditionalFormatting>
  <conditionalFormatting sqref="A186:A191">
    <cfRule type="expression" dxfId="3916" priority="230">
      <formula>$AH186=0</formula>
    </cfRule>
  </conditionalFormatting>
  <conditionalFormatting sqref="A54">
    <cfRule type="expression" dxfId="3915" priority="229">
      <formula>$AH54=0</formula>
    </cfRule>
  </conditionalFormatting>
  <conditionalFormatting sqref="A90">
    <cfRule type="expression" dxfId="3914" priority="228">
      <formula>$AH90=0</formula>
    </cfRule>
  </conditionalFormatting>
  <conditionalFormatting sqref="C95:AF95">
    <cfRule type="expression" dxfId="3913" priority="224">
      <formula>C$9&gt;=20/24</formula>
    </cfRule>
    <cfRule type="expression" dxfId="3912" priority="225">
      <formula>AND(C$9&gt;=14/24,C$9&lt;20/24)</formula>
    </cfRule>
    <cfRule type="expression" dxfId="3911" priority="226">
      <formula>AND(C$9&gt;=8/24,C$9&lt;14/24)</formula>
    </cfRule>
    <cfRule type="expression" dxfId="3910" priority="227">
      <formula>C$9&lt;8/24</formula>
    </cfRule>
  </conditionalFormatting>
  <conditionalFormatting sqref="AL40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09" priority="250">
      <formula>C$9&gt;=20/24</formula>
    </cfRule>
    <cfRule type="expression" dxfId="3908" priority="251">
      <formula>AND(C$9&gt;=14/24,C$9&lt;20/24)</formula>
    </cfRule>
    <cfRule type="expression" dxfId="3907" priority="252">
      <formula>AND(C$9&gt;=8/24,C$9&lt;14/24)</formula>
    </cfRule>
    <cfRule type="expression" dxfId="3906" priority="253">
      <formula>C$9&lt;8/24</formula>
    </cfRule>
  </conditionalFormatting>
  <conditionalFormatting sqref="A229">
    <cfRule type="expression" dxfId="3905" priority="254">
      <formula>$AH229=0</formula>
    </cfRule>
  </conditionalFormatting>
  <conditionalFormatting sqref="AG241">
    <cfRule type="expression" dxfId="3904" priority="255">
      <formula>B$9&gt;=20/24</formula>
    </cfRule>
    <cfRule type="expression" dxfId="3903" priority="256">
      <formula>AND(B$9&gt;=14/24,B$9&lt;20/24)</formula>
    </cfRule>
    <cfRule type="expression" dxfId="3902" priority="257">
      <formula>AND(B$9&gt;=8/24,B$9&lt;14/24)</formula>
    </cfRule>
    <cfRule type="expression" dxfId="3901" priority="258">
      <formula>B$9&lt;8/24</formula>
    </cfRule>
  </conditionalFormatting>
  <conditionalFormatting sqref="S8">
    <cfRule type="expression" dxfId="3900" priority="219">
      <formula>U$9&gt;=20/24</formula>
    </cfRule>
    <cfRule type="expression" dxfId="3899" priority="220">
      <formula>AND(U$9&gt;=14/24,U$9&lt;20/24)</formula>
    </cfRule>
    <cfRule type="expression" dxfId="3898" priority="221">
      <formula>AND(U$9&gt;=8/24,U$9&lt;14/24)</formula>
    </cfRule>
    <cfRule type="expression" dxfId="3897" priority="222">
      <formula>U$9&lt;8/24</formula>
    </cfRule>
  </conditionalFormatting>
  <conditionalFormatting sqref="AB8">
    <cfRule type="expression" dxfId="3896" priority="215">
      <formula>AD$9&gt;=20/24</formula>
    </cfRule>
    <cfRule type="expression" dxfId="3895" priority="216">
      <formula>AND(AD$9&gt;=14/24,AD$9&lt;20/24)</formula>
    </cfRule>
    <cfRule type="expression" dxfId="3894" priority="217">
      <formula>AND(AD$9&gt;=8/24,AD$9&lt;14/24)</formula>
    </cfRule>
    <cfRule type="expression" dxfId="3893" priority="218">
      <formula>AD$9&lt;8/24</formula>
    </cfRule>
  </conditionalFormatting>
  <conditionalFormatting sqref="AH241:AX241">
    <cfRule type="expression" dxfId="3892" priority="259">
      <formula>AG$9&gt;=20/24</formula>
    </cfRule>
    <cfRule type="expression" dxfId="3891" priority="260">
      <formula>AND(AG$9&gt;=14/24,AG$9&lt;20/24)</formula>
    </cfRule>
    <cfRule type="expression" dxfId="3890" priority="261">
      <formula>AND(AG$9&gt;=8/24,AG$9&lt;14/24)</formula>
    </cfRule>
    <cfRule type="expression" dxfId="3889" priority="262">
      <formula>AG$9&lt;8/24</formula>
    </cfRule>
  </conditionalFormatting>
  <conditionalFormatting sqref="T241">
    <cfRule type="expression" dxfId="3888" priority="263">
      <formula>AX$9&gt;=20/24</formula>
    </cfRule>
    <cfRule type="expression" dxfId="3887" priority="264">
      <formula>AND(AX$9&gt;=14/24,AX$9&lt;20/24)</formula>
    </cfRule>
    <cfRule type="expression" dxfId="3886" priority="265">
      <formula>AND(AX$9&gt;=8/24,AX$9&lt;14/24)</formula>
    </cfRule>
    <cfRule type="expression" dxfId="3885" priority="266">
      <formula>AX$9&lt;8/24</formula>
    </cfRule>
  </conditionalFormatting>
  <conditionalFormatting sqref="A111:A112">
    <cfRule type="expression" dxfId="3884" priority="214">
      <formula>$AH111=0</formula>
    </cfRule>
  </conditionalFormatting>
  <conditionalFormatting sqref="S50:W51 E50:P51 Z50:AF51 G67:AF67">
    <cfRule type="expression" dxfId="3883" priority="210">
      <formula>E$9&gt;=20/24</formula>
    </cfRule>
    <cfRule type="expression" dxfId="3882" priority="211">
      <formula>AND(E$9&gt;=14/24,E$9&lt;20/24)</formula>
    </cfRule>
    <cfRule type="expression" dxfId="3881" priority="212">
      <formula>AND(E$9&gt;=8/24,E$9&lt;14/24)</formula>
    </cfRule>
    <cfRule type="expression" dxfId="3880" priority="213">
      <formula>E$9&lt;8/24</formula>
    </cfRule>
  </conditionalFormatting>
  <conditionalFormatting sqref="S49:W49 E49:P49 Z49:AF49">
    <cfRule type="expression" dxfId="3879" priority="206">
      <formula>E$9&gt;=20/24</formula>
    </cfRule>
    <cfRule type="expression" dxfId="3878" priority="207">
      <formula>AND(E$9&gt;=14/24,E$9&lt;20/24)</formula>
    </cfRule>
    <cfRule type="expression" dxfId="3877" priority="208">
      <formula>AND(E$9&gt;=8/24,E$9&lt;14/24)</formula>
    </cfRule>
    <cfRule type="expression" dxfId="3876" priority="209">
      <formula>E$9&lt;8/24</formula>
    </cfRule>
  </conditionalFormatting>
  <conditionalFormatting sqref="S49:W51 E49:P51 Z49:AF51">
    <cfRule type="expression" dxfId="3875" priority="205">
      <formula>E49&gt;$AG49</formula>
    </cfRule>
  </conditionalFormatting>
  <conditionalFormatting sqref="C92:AF92 C82:AF82 L43:R43 S11:S14 E69:L69 G68:L68 D96:AF102 M68:S69 M79:AF81 T28:AF31 T33:AF33 S20:AF20 T35:AF38 T12:AF14 S63:AF65 T68:AF77">
    <cfRule type="expression" dxfId="3874" priority="201">
      <formula>C$9&gt;=20/24</formula>
    </cfRule>
    <cfRule type="expression" dxfId="3873" priority="202">
      <formula>AND(C$9&gt;=14/24,C$9&lt;20/24)</formula>
    </cfRule>
    <cfRule type="expression" dxfId="3872" priority="203">
      <formula>AND(C$9&gt;=8/24,C$9&lt;14/24)</formula>
    </cfRule>
    <cfRule type="expression" dxfId="3871" priority="204">
      <formula>C$9&lt;8/24</formula>
    </cfRule>
  </conditionalFormatting>
  <conditionalFormatting sqref="T39:AF39">
    <cfRule type="expression" dxfId="3870" priority="197">
      <formula>T$9&gt;=20/24</formula>
    </cfRule>
    <cfRule type="expression" dxfId="3869" priority="198">
      <formula>AND(T$9&gt;=14/24,T$9&lt;20/24)</formula>
    </cfRule>
    <cfRule type="expression" dxfId="3868" priority="199">
      <formula>AND(T$9&gt;=8/24,T$9&lt;14/24)</formula>
    </cfRule>
    <cfRule type="expression" dxfId="3867" priority="200">
      <formula>T$9&lt;8/24</formula>
    </cfRule>
  </conditionalFormatting>
  <conditionalFormatting sqref="AE52:AF53 C61:AF61 L43:R43 S11 E52:R52 T28:AF33 T35:AF39 S63:AF65">
    <cfRule type="expression" dxfId="3866" priority="196">
      <formula>C11&gt;$AG11</formula>
    </cfRule>
  </conditionalFormatting>
  <conditionalFormatting sqref="T41:AF41">
    <cfRule type="expression" dxfId="3865" priority="192">
      <formula>T$9&gt;=20/24</formula>
    </cfRule>
    <cfRule type="expression" dxfId="3864" priority="193">
      <formula>AND(T$9&gt;=14/24,T$9&lt;20/24)</formula>
    </cfRule>
    <cfRule type="expression" dxfId="3863" priority="194">
      <formula>AND(T$9&gt;=8/24,T$9&lt;14/24)</formula>
    </cfRule>
    <cfRule type="expression" dxfId="3862" priority="195">
      <formula>T$9&lt;8/24</formula>
    </cfRule>
  </conditionalFormatting>
  <conditionalFormatting sqref="S16:AF16">
    <cfRule type="expression" dxfId="3861" priority="188">
      <formula>S$9&gt;=20/24</formula>
    </cfRule>
    <cfRule type="expression" dxfId="3860" priority="189">
      <formula>AND(S$9&gt;=14/24,S$9&lt;20/24)</formula>
    </cfRule>
    <cfRule type="expression" dxfId="3859" priority="190">
      <formula>AND(S$9&gt;=8/24,S$9&lt;14/24)</formula>
    </cfRule>
    <cfRule type="expression" dxfId="3858" priority="191">
      <formula>S$9&lt;8/24</formula>
    </cfRule>
  </conditionalFormatting>
  <conditionalFormatting sqref="T40:AF40">
    <cfRule type="expression" dxfId="3857" priority="184">
      <formula>T$9&gt;=20/24</formula>
    </cfRule>
    <cfRule type="expression" dxfId="3856" priority="185">
      <formula>AND(T$9&gt;=14/24,T$9&lt;20/24)</formula>
    </cfRule>
    <cfRule type="expression" dxfId="3855" priority="186">
      <formula>AND(T$9&gt;=8/24,T$9&lt;14/24)</formula>
    </cfRule>
    <cfRule type="expression" dxfId="3854" priority="187">
      <formula>T$9&lt;8/24</formula>
    </cfRule>
  </conditionalFormatting>
  <conditionalFormatting sqref="T40:AF40">
    <cfRule type="expression" dxfId="3853" priority="183">
      <formula>T40&gt;$AG40</formula>
    </cfRule>
  </conditionalFormatting>
  <conditionalFormatting sqref="X52:AD53">
    <cfRule type="expression" dxfId="3852" priority="179">
      <formula>X$9&gt;=20/24</formula>
    </cfRule>
    <cfRule type="expression" dxfId="3851" priority="180">
      <formula>AND(X$9&gt;=14/24,X$9&lt;20/24)</formula>
    </cfRule>
    <cfRule type="expression" dxfId="3850" priority="181">
      <formula>AND(X$9&gt;=8/24,X$9&lt;14/24)</formula>
    </cfRule>
    <cfRule type="expression" dxfId="3849" priority="182">
      <formula>X$9&lt;8/24</formula>
    </cfRule>
  </conditionalFormatting>
  <conditionalFormatting sqref="X52:AD53">
    <cfRule type="expression" dxfId="3848" priority="178">
      <formula>X52&gt;$AG52</formula>
    </cfRule>
  </conditionalFormatting>
  <conditionalFormatting sqref="T56:T60 Q49:R51 S52:W55 X54:AF55">
    <cfRule type="expression" dxfId="3847" priority="174">
      <formula>Q$9&gt;=20/24</formula>
    </cfRule>
    <cfRule type="expression" dxfId="3846" priority="175">
      <formula>AND(Q$9&gt;=14/24,Q$9&lt;20/24)</formula>
    </cfRule>
    <cfRule type="expression" dxfId="3845" priority="176">
      <formula>AND(Q$9&gt;=8/24,Q$9&lt;14/24)</formula>
    </cfRule>
    <cfRule type="expression" dxfId="3844" priority="177">
      <formula>Q$9&lt;8/24</formula>
    </cfRule>
  </conditionalFormatting>
  <conditionalFormatting sqref="T56:T60 Q49:R51 S52:W55 X54:AF55">
    <cfRule type="expression" dxfId="3843" priority="173">
      <formula>Q49&gt;$AG49</formula>
    </cfRule>
  </conditionalFormatting>
  <conditionalFormatting sqref="T32:AF32">
    <cfRule type="expression" dxfId="3842" priority="169">
      <formula>T$9&gt;=20/24</formula>
    </cfRule>
    <cfRule type="expression" dxfId="3841" priority="170">
      <formula>AND(T$9&gt;=14/24,T$9&lt;20/24)</formula>
    </cfRule>
    <cfRule type="expression" dxfId="3840" priority="171">
      <formula>AND(T$9&gt;=8/24,T$9&lt;14/24)</formula>
    </cfRule>
    <cfRule type="expression" dxfId="3839" priority="172">
      <formula>T$9&lt;8/24</formula>
    </cfRule>
  </conditionalFormatting>
  <conditionalFormatting sqref="T21:AF21 T27:AF27">
    <cfRule type="expression" dxfId="3838" priority="165">
      <formula>T$9&gt;=20/24</formula>
    </cfRule>
    <cfRule type="expression" dxfId="3837" priority="166">
      <formula>AND(T$9&gt;=14/24,T$9&lt;20/24)</formula>
    </cfRule>
    <cfRule type="expression" dxfId="3836" priority="167">
      <formula>AND(T$9&gt;=8/24,T$9&lt;14/24)</formula>
    </cfRule>
    <cfRule type="expression" dxfId="3835" priority="168">
      <formula>T$9&lt;8/24</formula>
    </cfRule>
  </conditionalFormatting>
  <conditionalFormatting sqref="T21:AF21 T27:AF27">
    <cfRule type="expression" dxfId="3834" priority="164">
      <formula>T21&gt;$AG21</formula>
    </cfRule>
  </conditionalFormatting>
  <conditionalFormatting sqref="D49">
    <cfRule type="expression" dxfId="3833" priority="160">
      <formula>D$9&gt;=20/24</formula>
    </cfRule>
    <cfRule type="expression" dxfId="3832" priority="161">
      <formula>AND(D$9&gt;=14/24,D$9&lt;20/24)</formula>
    </cfRule>
    <cfRule type="expression" dxfId="3831" priority="162">
      <formula>AND(D$9&gt;=8/24,D$9&lt;14/24)</formula>
    </cfRule>
    <cfRule type="expression" dxfId="3830" priority="163">
      <formula>D$9&lt;8/24</formula>
    </cfRule>
  </conditionalFormatting>
  <conditionalFormatting sqref="D49">
    <cfRule type="expression" dxfId="3829" priority="159">
      <formula>D49&gt;$AG49</formula>
    </cfRule>
  </conditionalFormatting>
  <conditionalFormatting sqref="X50:Y51">
    <cfRule type="expression" dxfId="3828" priority="155">
      <formula>X$9&gt;=20/24</formula>
    </cfRule>
    <cfRule type="expression" dxfId="3827" priority="156">
      <formula>AND(X$9&gt;=14/24,X$9&lt;20/24)</formula>
    </cfRule>
    <cfRule type="expression" dxfId="3826" priority="157">
      <formula>AND(X$9&gt;=8/24,X$9&lt;14/24)</formula>
    </cfRule>
    <cfRule type="expression" dxfId="3825" priority="158">
      <formula>X$9&lt;8/24</formula>
    </cfRule>
  </conditionalFormatting>
  <conditionalFormatting sqref="X49:Y49">
    <cfRule type="expression" dxfId="3824" priority="151">
      <formula>X$9&gt;=20/24</formula>
    </cfRule>
    <cfRule type="expression" dxfId="3823" priority="152">
      <formula>AND(X$9&gt;=14/24,X$9&lt;20/24)</formula>
    </cfRule>
    <cfRule type="expression" dxfId="3822" priority="153">
      <formula>AND(X$9&gt;=8/24,X$9&lt;14/24)</formula>
    </cfRule>
    <cfRule type="expression" dxfId="3821" priority="154">
      <formula>X$9&lt;8/24</formula>
    </cfRule>
  </conditionalFormatting>
  <conditionalFormatting sqref="X49:Y51">
    <cfRule type="expression" dxfId="3820" priority="150">
      <formula>X49&gt;$AG49</formula>
    </cfRule>
  </conditionalFormatting>
  <conditionalFormatting sqref="B105 B84:AF84 B93:AF93 B107:B112 B11:R11">
    <cfRule type="expression" dxfId="3819" priority="146">
      <formula>B$9&gt;=20/24</formula>
    </cfRule>
    <cfRule type="expression" dxfId="3818" priority="147">
      <formula>AND(B$9&gt;=14/24,B$9&lt;20/24)</formula>
    </cfRule>
    <cfRule type="expression" dxfId="3817" priority="148">
      <formula>AND(B$9&gt;=8/24,B$9&lt;14/24)</formula>
    </cfRule>
    <cfRule type="expression" dxfId="3816" priority="149">
      <formula>B$9&lt;8/24</formula>
    </cfRule>
  </conditionalFormatting>
  <conditionalFormatting sqref="B43:K43">
    <cfRule type="expression" dxfId="3815" priority="142">
      <formula>B$9&gt;=20/24</formula>
    </cfRule>
    <cfRule type="expression" dxfId="3814" priority="143">
      <formula>AND(B$9&gt;=14/24,B$9&lt;20/24)</formula>
    </cfRule>
    <cfRule type="expression" dxfId="3813" priority="144">
      <formula>AND(B$9&gt;=8/24,B$9&lt;14/24)</formula>
    </cfRule>
    <cfRule type="expression" dxfId="3812" priority="145">
      <formula>B$9&lt;8/24</formula>
    </cfRule>
  </conditionalFormatting>
  <conditionalFormatting sqref="B43:K43 B11:R11">
    <cfRule type="expression" dxfId="3811" priority="141">
      <formula>B11&gt;$AG11</formula>
    </cfRule>
  </conditionalFormatting>
  <conditionalFormatting sqref="B95">
    <cfRule type="expression" dxfId="3810" priority="137">
      <formula>B$9&gt;=20/24</formula>
    </cfRule>
    <cfRule type="expression" dxfId="3809" priority="138">
      <formula>AND(B$9&gt;=14/24,B$9&lt;20/24)</formula>
    </cfRule>
    <cfRule type="expression" dxfId="3808" priority="139">
      <formula>AND(B$9&gt;=8/24,B$9&lt;14/24)</formula>
    </cfRule>
    <cfRule type="expression" dxfId="3807" priority="140">
      <formula>B$9&lt;8/24</formula>
    </cfRule>
  </conditionalFormatting>
  <conditionalFormatting sqref="B50:D51 B67:F67">
    <cfRule type="expression" dxfId="3806" priority="133">
      <formula>B$9&gt;=20/24</formula>
    </cfRule>
    <cfRule type="expression" dxfId="3805" priority="134">
      <formula>AND(B$9&gt;=14/24,B$9&lt;20/24)</formula>
    </cfRule>
    <cfRule type="expression" dxfId="3804" priority="135">
      <formula>AND(B$9&gt;=8/24,B$9&lt;14/24)</formula>
    </cfRule>
    <cfRule type="expression" dxfId="3803" priority="136">
      <formula>B$9&lt;8/24</formula>
    </cfRule>
  </conditionalFormatting>
  <conditionalFormatting sqref="B49:C49">
    <cfRule type="expression" dxfId="3802" priority="129">
      <formula>B$9&gt;=20/24</formula>
    </cfRule>
    <cfRule type="expression" dxfId="3801" priority="130">
      <formula>AND(B$9&gt;=14/24,B$9&lt;20/24)</formula>
    </cfRule>
    <cfRule type="expression" dxfId="3800" priority="131">
      <formula>AND(B$9&gt;=8/24,B$9&lt;14/24)</formula>
    </cfRule>
    <cfRule type="expression" dxfId="3799" priority="132">
      <formula>B$9&lt;8/24</formula>
    </cfRule>
  </conditionalFormatting>
  <conditionalFormatting sqref="B49:C51 D50:D51">
    <cfRule type="expression" dxfId="3798" priority="128">
      <formula>B49&gt;$AG49</formula>
    </cfRule>
  </conditionalFormatting>
  <conditionalFormatting sqref="B63:B66 B79:B83 B85:AF85 B92 C83:AG83 B94:AF94 B96:C102 B68:D77 C79:L81 S28:S31 E68:F68 C63:R65 D70:S77 B12:R14 B20:R20 B28:R30 B34:S37 C66:AG66">
    <cfRule type="expression" dxfId="3797" priority="124">
      <formula>B$9&gt;=20/24</formula>
    </cfRule>
    <cfRule type="expression" dxfId="3796" priority="125">
      <formula>AND(B$9&gt;=14/24,B$9&lt;20/24)</formula>
    </cfRule>
    <cfRule type="expression" dxfId="3795" priority="126">
      <formula>AND(B$9&gt;=8/24,B$9&lt;14/24)</formula>
    </cfRule>
    <cfRule type="expression" dxfId="3794" priority="127">
      <formula>B$9&lt;8/24</formula>
    </cfRule>
  </conditionalFormatting>
  <conditionalFormatting sqref="B61:B66 B44:AG44 C62:AG62 B52:D53 S28:S31 C63:R65 B28:R30 E53:R53 C66:AG66">
    <cfRule type="expression" dxfId="3793" priority="119">
      <formula>B28&gt;$AG28</formula>
    </cfRule>
  </conditionalFormatting>
  <conditionalFormatting sqref="B16:R16">
    <cfRule type="expression" dxfId="3792" priority="111">
      <formula>B$9&gt;=20/24</formula>
    </cfRule>
    <cfRule type="expression" dxfId="3791" priority="112">
      <formula>AND(B$9&gt;=14/24,B$9&lt;20/24)</formula>
    </cfRule>
    <cfRule type="expression" dxfId="3790" priority="113">
      <formula>AND(B$9&gt;=8/24,B$9&lt;14/24)</formula>
    </cfRule>
    <cfRule type="expression" dxfId="3789" priority="114">
      <formula>B$9&lt;8/24</formula>
    </cfRule>
  </conditionalFormatting>
  <conditionalFormatting sqref="S56:S60 B54:R60">
    <cfRule type="expression" dxfId="3788" priority="102">
      <formula>B$9&gt;=20/24</formula>
    </cfRule>
    <cfRule type="expression" dxfId="3787" priority="103">
      <formula>AND(B$9&gt;=14/24,B$9&lt;20/24)</formula>
    </cfRule>
    <cfRule type="expression" dxfId="3786" priority="104">
      <formula>AND(B$9&gt;=8/24,B$9&lt;14/24)</formula>
    </cfRule>
    <cfRule type="expression" dxfId="3785" priority="105">
      <formula>B$9&lt;8/24</formula>
    </cfRule>
  </conditionalFormatting>
  <conditionalFormatting sqref="S56:S60 B54:R60">
    <cfRule type="expression" dxfId="3784" priority="101">
      <formula>B54&gt;$AG54</formula>
    </cfRule>
  </conditionalFormatting>
  <conditionalFormatting sqref="B21:S21 B27:S27">
    <cfRule type="expression" dxfId="3783" priority="93">
      <formula>B$9&gt;=20/24</formula>
    </cfRule>
    <cfRule type="expression" dxfId="3782" priority="94">
      <formula>AND(B$9&gt;=14/24,B$9&lt;20/24)</formula>
    </cfRule>
    <cfRule type="expression" dxfId="3781" priority="95">
      <formula>AND(B$9&gt;=8/24,B$9&lt;14/24)</formula>
    </cfRule>
    <cfRule type="expression" dxfId="3780" priority="96">
      <formula>B$9&lt;8/24</formula>
    </cfRule>
  </conditionalFormatting>
  <conditionalFormatting sqref="B21:S21 B27:S27">
    <cfRule type="expression" dxfId="3779" priority="92">
      <formula>B21&gt;$AG21</formula>
    </cfRule>
  </conditionalFormatting>
  <conditionalFormatting sqref="A40">
    <cfRule type="expression" dxfId="3778" priority="91">
      <formula>$AH40=0</formula>
    </cfRule>
  </conditionalFormatting>
  <conditionalFormatting sqref="B78:AF78">
    <cfRule type="expression" dxfId="3777" priority="87">
      <formula>B$9&gt;=20/24</formula>
    </cfRule>
    <cfRule type="expression" dxfId="3776" priority="88">
      <formula>AND(B$9&gt;=14/24,B$9&lt;20/24)</formula>
    </cfRule>
    <cfRule type="expression" dxfId="3775" priority="89">
      <formula>AND(B$9&gt;=8/24,B$9&lt;14/24)</formula>
    </cfRule>
    <cfRule type="expression" dxfId="3774" priority="90">
      <formula>B$9&lt;8/24</formula>
    </cfRule>
  </conditionalFormatting>
  <conditionalFormatting sqref="B87:AF91">
    <cfRule type="expression" dxfId="3773" priority="83">
      <formula>B$9&gt;=20/24</formula>
    </cfRule>
    <cfRule type="expression" dxfId="3772" priority="84">
      <formula>AND(B$9&gt;=14/24,B$9&lt;20/24)</formula>
    </cfRule>
    <cfRule type="expression" dxfId="3771" priority="85">
      <formula>AND(B$9&gt;=8/24,B$9&lt;14/24)</formula>
    </cfRule>
    <cfRule type="expression" dxfId="3770" priority="86">
      <formula>B$9&lt;8/24</formula>
    </cfRule>
  </conditionalFormatting>
  <conditionalFormatting sqref="AL41 AL38 AL20:AL33 AL35:AL36 AL7:AL18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3769" priority="79">
      <formula>C$9&gt;=20/24</formula>
    </cfRule>
    <cfRule type="expression" dxfId="3768" priority="80">
      <formula>AND(C$9&gt;=14/24,C$9&lt;20/24)</formula>
    </cfRule>
    <cfRule type="expression" dxfId="3767" priority="81">
      <formula>AND(C$9&gt;=8/24,C$9&lt;14/24)</formula>
    </cfRule>
    <cfRule type="expression" dxfId="3766" priority="82">
      <formula>C$9&lt;8/24</formula>
    </cfRule>
  </conditionalFormatting>
  <conditionalFormatting sqref="C45:AF47">
    <cfRule type="expression" dxfId="3765" priority="78">
      <formula>C45&gt;$AG45</formula>
    </cfRule>
  </conditionalFormatting>
  <conditionalFormatting sqref="B45:B48 C48:AG48">
    <cfRule type="expression" dxfId="3764" priority="74">
      <formula>B$9&gt;=20/24</formula>
    </cfRule>
    <cfRule type="expression" dxfId="3763" priority="75">
      <formula>AND(B$9&gt;=14/24,B$9&lt;20/24)</formula>
    </cfRule>
    <cfRule type="expression" dxfId="3762" priority="76">
      <formula>AND(B$9&gt;=8/24,B$9&lt;14/24)</formula>
    </cfRule>
    <cfRule type="expression" dxfId="3761" priority="77">
      <formula>B$9&lt;8/24</formula>
    </cfRule>
  </conditionalFormatting>
  <conditionalFormatting sqref="B45:B48 C48:AG48">
    <cfRule type="expression" dxfId="3760" priority="73">
      <formula>B45&gt;$AG45</formula>
    </cfRule>
  </conditionalFormatting>
  <conditionalFormatting sqref="C103:AF103">
    <cfRule type="expression" dxfId="3759" priority="69">
      <formula>C$9&gt;=20/24</formula>
    </cfRule>
    <cfRule type="expression" dxfId="3758" priority="70">
      <formula>AND(C$9&gt;=14/24,C$9&lt;20/24)</formula>
    </cfRule>
    <cfRule type="expression" dxfId="3757" priority="71">
      <formula>AND(C$9&gt;=8/24,C$9&lt;14/24)</formula>
    </cfRule>
    <cfRule type="expression" dxfId="3756" priority="72">
      <formula>C$9&lt;8/24</formula>
    </cfRule>
  </conditionalFormatting>
  <conditionalFormatting sqref="B103">
    <cfRule type="expression" dxfId="3755" priority="65">
      <formula>B$9&gt;=20/24</formula>
    </cfRule>
    <cfRule type="expression" dxfId="3754" priority="66">
      <formula>AND(B$9&gt;=14/24,B$9&lt;20/24)</formula>
    </cfRule>
    <cfRule type="expression" dxfId="3753" priority="67">
      <formula>AND(B$9&gt;=8/24,B$9&lt;14/24)</formula>
    </cfRule>
    <cfRule type="expression" dxfId="3752" priority="68">
      <formula>B$9&lt;8/24</formula>
    </cfRule>
  </conditionalFormatting>
  <conditionalFormatting sqref="AL37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751" priority="59">
      <formula>$AH37=0</formula>
    </cfRule>
  </conditionalFormatting>
  <conditionalFormatting sqref="A86">
    <cfRule type="expression" dxfId="3750" priority="57">
      <formula>$AH86=0</formula>
    </cfRule>
  </conditionalFormatting>
  <conditionalFormatting sqref="A83">
    <cfRule type="expression" dxfId="3749" priority="58">
      <formula>$AH83=0</formula>
    </cfRule>
  </conditionalFormatting>
  <conditionalFormatting sqref="A113">
    <cfRule type="expression" dxfId="3748" priority="48">
      <formula>$AH113=0</formula>
    </cfRule>
  </conditionalFormatting>
  <conditionalFormatting sqref="C106:AF106">
    <cfRule type="expression" dxfId="3747" priority="44">
      <formula>C$9&gt;=20/24</formula>
    </cfRule>
    <cfRule type="expression" dxfId="3746" priority="45">
      <formula>AND(C$9&gt;=14/24,C$9&lt;20/24)</formula>
    </cfRule>
    <cfRule type="expression" dxfId="3745" priority="46">
      <formula>AND(C$9&gt;=8/24,C$9&lt;14/24)</formula>
    </cfRule>
    <cfRule type="expression" dxfId="3744" priority="47">
      <formula>C$9&lt;8/24</formula>
    </cfRule>
  </conditionalFormatting>
  <conditionalFormatting sqref="A106">
    <cfRule type="expression" dxfId="3743" priority="43">
      <formula>$AH106=0</formula>
    </cfRule>
  </conditionalFormatting>
  <conditionalFormatting sqref="B106">
    <cfRule type="expression" dxfId="3742" priority="39">
      <formula>B$9&gt;=20/24</formula>
    </cfRule>
    <cfRule type="expression" dxfId="3741" priority="40">
      <formula>AND(B$9&gt;=14/24,B$9&lt;20/24)</formula>
    </cfRule>
    <cfRule type="expression" dxfId="3740" priority="41">
      <formula>AND(B$9&gt;=8/24,B$9&lt;14/24)</formula>
    </cfRule>
    <cfRule type="expression" dxfId="3739" priority="42">
      <formula>B$9&lt;8/24</formula>
    </cfRule>
  </conditionalFormatting>
  <conditionalFormatting sqref="U56:AF60">
    <cfRule type="expression" dxfId="3738" priority="35">
      <formula>U$9&gt;=20/24</formula>
    </cfRule>
    <cfRule type="expression" dxfId="3737" priority="36">
      <formula>AND(U$9&gt;=14/24,U$9&lt;20/24)</formula>
    </cfRule>
    <cfRule type="expression" dxfId="3736" priority="37">
      <formula>AND(U$9&gt;=8/24,U$9&lt;14/24)</formula>
    </cfRule>
    <cfRule type="expression" dxfId="3735" priority="38">
      <formula>U$9&lt;8/24</formula>
    </cfRule>
  </conditionalFormatting>
  <conditionalFormatting sqref="U56:AF60">
    <cfRule type="expression" dxfId="3734" priority="34">
      <formula>U56&gt;$AG56</formula>
    </cfRule>
  </conditionalFormatting>
  <conditionalFormatting sqref="B19:AF19">
    <cfRule type="expression" dxfId="3733" priority="32">
      <formula>B19&gt;$AG19</formula>
    </cfRule>
  </conditionalFormatting>
  <conditionalFormatting sqref="A19">
    <cfRule type="expression" dxfId="3732" priority="31">
      <formula>$AH19=0</formula>
    </cfRule>
  </conditionalFormatting>
  <conditionalFormatting sqref="S19:AF19">
    <cfRule type="expression" dxfId="3731" priority="27">
      <formula>S$9&gt;=20/24</formula>
    </cfRule>
    <cfRule type="expression" dxfId="3730" priority="28">
      <formula>AND(S$9&gt;=14/24,S$9&lt;20/24)</formula>
    </cfRule>
    <cfRule type="expression" dxfId="3729" priority="29">
      <formula>AND(S$9&gt;=8/24,S$9&lt;14/24)</formula>
    </cfRule>
    <cfRule type="expression" dxfId="3728" priority="30">
      <formula>S$9&lt;8/24</formula>
    </cfRule>
  </conditionalFormatting>
  <conditionalFormatting sqref="B19:R19">
    <cfRule type="expression" dxfId="3727" priority="23">
      <formula>B$9&gt;=20/24</formula>
    </cfRule>
    <cfRule type="expression" dxfId="3726" priority="24">
      <formula>AND(B$9&gt;=14/24,B$9&lt;20/24)</formula>
    </cfRule>
    <cfRule type="expression" dxfId="3725" priority="25">
      <formula>AND(B$9&gt;=8/24,B$9&lt;14/24)</formula>
    </cfRule>
    <cfRule type="expression" dxfId="3724" priority="26">
      <formula>B$9&lt;8/24</formula>
    </cfRule>
  </conditionalFormatting>
  <conditionalFormatting sqref="AL19">
    <cfRule type="iconSet" priority="3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723" priority="21">
      <formula>$AH34=0</formula>
    </cfRule>
  </conditionalFormatting>
  <conditionalFormatting sqref="T34:AF34">
    <cfRule type="expression" dxfId="3722" priority="17">
      <formula>T$9&gt;=20/24</formula>
    </cfRule>
    <cfRule type="expression" dxfId="3721" priority="18">
      <formula>AND(T$9&gt;=14/24,T$9&lt;20/24)</formula>
    </cfRule>
    <cfRule type="expression" dxfId="3720" priority="19">
      <formula>AND(T$9&gt;=8/24,T$9&lt;14/24)</formula>
    </cfRule>
    <cfRule type="expression" dxfId="3719" priority="20">
      <formula>T$9&lt;8/24</formula>
    </cfRule>
  </conditionalFormatting>
  <conditionalFormatting sqref="T34:AF34">
    <cfRule type="expression" dxfId="3718" priority="16">
      <formula>T34&gt;$AG34</formula>
    </cfRule>
  </conditionalFormatting>
  <conditionalFormatting sqref="B33:S33">
    <cfRule type="expression" dxfId="3717" priority="7">
      <formula>B$9&gt;=20/24</formula>
    </cfRule>
    <cfRule type="expression" dxfId="3716" priority="8">
      <formula>AND(B$9&gt;=14/24,B$9&lt;20/24)</formula>
    </cfRule>
    <cfRule type="expression" dxfId="3715" priority="9">
      <formula>AND(B$9&gt;=8/24,B$9&lt;14/24)</formula>
    </cfRule>
    <cfRule type="expression" dxfId="3714" priority="10">
      <formula>B$9&lt;8/24</formula>
    </cfRule>
  </conditionalFormatting>
  <conditionalFormatting sqref="S33:S41 B31:R41">
    <cfRule type="expression" dxfId="3713" priority="6">
      <formula>B31&gt;$AG32</formula>
    </cfRule>
  </conditionalFormatting>
  <conditionalFormatting sqref="AL34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B42">
    <cfRule type="expression" dxfId="3712" priority="1">
      <formula>B42&gt;$AG42</formula>
    </cfRule>
  </conditionalFormatting>
  <conditionalFormatting sqref="B42">
    <cfRule type="expression" dxfId="3711" priority="2">
      <formula>B$9&gt;=20/24</formula>
    </cfRule>
    <cfRule type="expression" dxfId="3710" priority="3">
      <formula>AND(B$9&gt;=14/24,B$9&lt;20/24)</formula>
    </cfRule>
    <cfRule type="expression" dxfId="3709" priority="4">
      <formula>AND(B$9&gt;=8/24,B$9&lt;14/24)</formula>
    </cfRule>
    <cfRule type="expression" dxfId="3708" priority="5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A6D0BB1E-7569-431B-9E12-A54C269D92E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1" id="{9001AB6E-F243-4110-B4CC-0DF8F4283B9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2" id="{B03CCA7E-1ADC-4B35-BB65-44AD41393DB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3" id="{84A8FDCC-5C4A-4BA5-BC6B-0843C5A500E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53" id="{13A2675B-26F1-4BAF-8B95-F0FA6259060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BA558073-8476-4A29-A078-B4C47E12010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19DB7CC2-9F55-4E65-B802-0B9D3E0FC98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2A859B7F-C1CE-4267-8FE0-4460EA872CE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49" id="{42CA7628-E47A-487E-A55C-994897141FE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846F9BB3-4946-447D-AE2D-D25E1958D28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794A5BD8-6A6D-4C22-8573-6821D059FCB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DCCC2798-595A-4004-A2D4-F18EF789932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27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53" sqref="P5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2079/08/22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25</v>
      </c>
      <c r="C5" s="30">
        <f t="shared" si="0"/>
        <v>38</v>
      </c>
      <c r="D5" s="30">
        <f t="shared" si="0"/>
        <v>37.200000000000003</v>
      </c>
      <c r="E5" s="30">
        <f t="shared" si="0"/>
        <v>44.1</v>
      </c>
      <c r="F5" s="30">
        <f t="shared" si="0"/>
        <v>53.900000000000006</v>
      </c>
      <c r="G5" s="30">
        <f t="shared" si="0"/>
        <v>50.7</v>
      </c>
      <c r="H5" s="30">
        <f t="shared" si="0"/>
        <v>59.94</v>
      </c>
      <c r="I5" s="30">
        <f t="shared" si="0"/>
        <v>29.7</v>
      </c>
      <c r="J5" s="30">
        <f t="shared" si="0"/>
        <v>41.7</v>
      </c>
      <c r="K5" s="30">
        <f t="shared" si="0"/>
        <v>44.2</v>
      </c>
      <c r="L5" s="30">
        <f t="shared" si="0"/>
        <v>49</v>
      </c>
      <c r="M5" s="30">
        <f t="shared" si="0"/>
        <v>46.3</v>
      </c>
      <c r="N5" s="30">
        <f t="shared" si="0"/>
        <v>48.6</v>
      </c>
      <c r="O5" s="30">
        <f t="shared" si="0"/>
        <v>179</v>
      </c>
      <c r="P5" s="30">
        <f t="shared" si="0"/>
        <v>162.69999999999999</v>
      </c>
      <c r="Q5" s="30">
        <f t="shared" si="0"/>
        <v>0</v>
      </c>
      <c r="R5" s="30">
        <f t="shared" si="0"/>
        <v>162.6</v>
      </c>
      <c r="S5" s="30">
        <f t="shared" si="0"/>
        <v>163.19999999999999</v>
      </c>
      <c r="T5" s="30">
        <f t="shared" si="0"/>
        <v>18</v>
      </c>
      <c r="U5" s="30">
        <f t="shared" si="0"/>
        <v>37</v>
      </c>
      <c r="V5" s="30">
        <f t="shared" si="0"/>
        <v>37.4</v>
      </c>
      <c r="W5" s="30">
        <f t="shared" si="0"/>
        <v>50.3</v>
      </c>
      <c r="X5" s="30">
        <f t="shared" si="0"/>
        <v>44.1</v>
      </c>
      <c r="Y5" s="30">
        <f t="shared" si="0"/>
        <v>41.6</v>
      </c>
      <c r="Z5" s="30">
        <f t="shared" si="0"/>
        <v>38</v>
      </c>
      <c r="AA5" s="30">
        <f t="shared" si="0"/>
        <v>41</v>
      </c>
      <c r="AB5" s="30">
        <f t="shared" si="0"/>
        <v>42</v>
      </c>
      <c r="AC5" s="30">
        <f t="shared" si="0"/>
        <v>26.6</v>
      </c>
      <c r="AD5" s="30">
        <f t="shared" si="0"/>
        <v>6</v>
      </c>
      <c r="AE5" s="30">
        <f t="shared" si="0"/>
        <v>52</v>
      </c>
      <c r="AF5" s="30">
        <f>B78</f>
        <v>54.2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1550MW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Load=616</v>
      </c>
      <c r="B7" s="35">
        <f t="shared" ref="B7:AF7" si="1">B85</f>
        <v>962.94</v>
      </c>
      <c r="C7" s="35">
        <f t="shared" si="1"/>
        <v>943.74</v>
      </c>
      <c r="D7" s="35">
        <f t="shared" si="1"/>
        <v>930.14</v>
      </c>
      <c r="E7" s="35">
        <f t="shared" si="1"/>
        <v>939.44</v>
      </c>
      <c r="F7" s="35">
        <f t="shared" si="1"/>
        <v>976.34</v>
      </c>
      <c r="G7" s="35">
        <f t="shared" si="1"/>
        <v>999.14</v>
      </c>
      <c r="H7" s="35">
        <f t="shared" si="1"/>
        <v>1087.1400000000001</v>
      </c>
      <c r="I7" s="35">
        <f t="shared" si="1"/>
        <v>1141.2800000000002</v>
      </c>
      <c r="J7" s="35">
        <f t="shared" si="1"/>
        <v>1292.44</v>
      </c>
      <c r="K7" s="35">
        <f t="shared" si="1"/>
        <v>1339.5400000000002</v>
      </c>
      <c r="L7" s="35">
        <f t="shared" si="1"/>
        <v>1524.94</v>
      </c>
      <c r="M7" s="35">
        <f t="shared" si="1"/>
        <v>1549.5400000000002</v>
      </c>
      <c r="N7" s="35">
        <f t="shared" si="1"/>
        <v>1547.94</v>
      </c>
      <c r="O7" s="35">
        <f t="shared" si="1"/>
        <v>1361.44</v>
      </c>
      <c r="P7" s="35">
        <f t="shared" si="1"/>
        <v>1252.1400000000001</v>
      </c>
      <c r="Q7" s="35">
        <f t="shared" si="1"/>
        <v>1183.8400000000001</v>
      </c>
      <c r="R7" s="35">
        <f t="shared" si="1"/>
        <v>616.04</v>
      </c>
      <c r="S7" s="35">
        <f t="shared" si="1"/>
        <v>1144.24</v>
      </c>
      <c r="T7" s="35">
        <f t="shared" si="1"/>
        <v>1151.24</v>
      </c>
      <c r="U7" s="35">
        <f t="shared" si="1"/>
        <v>1016.3400000000001</v>
      </c>
      <c r="V7" s="35">
        <f t="shared" si="1"/>
        <v>1279.8400000000001</v>
      </c>
      <c r="W7" s="35">
        <f t="shared" si="1"/>
        <v>1500.2400000000002</v>
      </c>
      <c r="X7" s="35">
        <f t="shared" si="1"/>
        <v>1684.64</v>
      </c>
      <c r="Y7" s="35">
        <f t="shared" si="1"/>
        <v>1627.14</v>
      </c>
      <c r="Z7" s="35">
        <f t="shared" si="1"/>
        <v>1527.24</v>
      </c>
      <c r="AA7" s="35">
        <f t="shared" si="1"/>
        <v>1456.3400000000001</v>
      </c>
      <c r="AB7" s="35">
        <f t="shared" si="1"/>
        <v>1388.24</v>
      </c>
      <c r="AC7" s="35">
        <f t="shared" si="1"/>
        <v>1336.04</v>
      </c>
      <c r="AD7" s="35">
        <f t="shared" si="1"/>
        <v>1296.8399999999999</v>
      </c>
      <c r="AE7" s="35">
        <f t="shared" si="1"/>
        <v>1112.6400000000001</v>
      </c>
      <c r="AF7" s="35">
        <f t="shared" si="1"/>
        <v>980.54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28.7</v>
      </c>
      <c r="C11" s="45">
        <v>28.7</v>
      </c>
      <c r="D11" s="45">
        <v>28.7</v>
      </c>
      <c r="E11" s="45">
        <v>28.7</v>
      </c>
      <c r="F11" s="45">
        <v>28.7</v>
      </c>
      <c r="G11" s="45">
        <v>28.7</v>
      </c>
      <c r="H11" s="45">
        <v>28.7</v>
      </c>
      <c r="I11" s="45">
        <v>28.7</v>
      </c>
      <c r="J11" s="45">
        <v>28.7</v>
      </c>
      <c r="K11" s="45">
        <v>28.7</v>
      </c>
      <c r="L11" s="45">
        <v>28.7</v>
      </c>
      <c r="M11" s="45">
        <v>28.7</v>
      </c>
      <c r="N11" s="45">
        <v>27.5</v>
      </c>
      <c r="O11" s="45">
        <v>27.5</v>
      </c>
      <c r="P11" s="45">
        <v>27.5</v>
      </c>
      <c r="Q11" s="45">
        <v>27.5</v>
      </c>
      <c r="R11" s="45">
        <v>27.5</v>
      </c>
      <c r="S11" s="45">
        <v>25.6</v>
      </c>
      <c r="T11" s="45">
        <v>27</v>
      </c>
      <c r="U11" s="45">
        <v>27</v>
      </c>
      <c r="V11" s="45">
        <v>27.7</v>
      </c>
      <c r="W11" s="45">
        <v>27.7</v>
      </c>
      <c r="X11" s="46">
        <v>27.7</v>
      </c>
      <c r="Y11" s="46">
        <v>26.9</v>
      </c>
      <c r="Z11" s="46">
        <v>26.9</v>
      </c>
      <c r="AA11" s="46">
        <v>26.9</v>
      </c>
      <c r="AB11" s="46">
        <v>28</v>
      </c>
      <c r="AC11" s="46">
        <v>28</v>
      </c>
      <c r="AD11" s="46">
        <v>27.8</v>
      </c>
      <c r="AE11" s="46">
        <v>26.5</v>
      </c>
      <c r="AF11" s="46">
        <v>29.4</v>
      </c>
      <c r="AG11" s="47">
        <v>52.4</v>
      </c>
      <c r="AH11" s="48">
        <f>MAX(B11:AF11)</f>
        <v>29.4</v>
      </c>
      <c r="AI11" s="49">
        <f>MIN(B11:AF11)</f>
        <v>25.6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50.6</v>
      </c>
      <c r="G12" s="45">
        <v>50.6</v>
      </c>
      <c r="H12" s="45">
        <v>50.6</v>
      </c>
      <c r="I12" s="45">
        <v>50.6</v>
      </c>
      <c r="J12" s="45">
        <v>50.6</v>
      </c>
      <c r="K12" s="45">
        <v>50.6</v>
      </c>
      <c r="L12" s="45">
        <v>50.6</v>
      </c>
      <c r="M12" s="45">
        <v>50.6</v>
      </c>
      <c r="N12" s="45">
        <v>50.2</v>
      </c>
      <c r="O12" s="45">
        <v>50.2</v>
      </c>
      <c r="P12" s="45">
        <v>50.2</v>
      </c>
      <c r="Q12" s="45">
        <v>50.2</v>
      </c>
      <c r="R12" s="45">
        <v>50.2</v>
      </c>
      <c r="S12" s="45">
        <v>50.3</v>
      </c>
      <c r="T12" s="45">
        <v>50.3</v>
      </c>
      <c r="U12" s="45">
        <v>50.3</v>
      </c>
      <c r="V12" s="45">
        <v>50.2</v>
      </c>
      <c r="W12" s="45">
        <v>50.2</v>
      </c>
      <c r="X12" s="45">
        <v>50.2</v>
      </c>
      <c r="Y12" s="45">
        <v>50.4</v>
      </c>
      <c r="Z12" s="45">
        <v>50.4</v>
      </c>
      <c r="AA12" s="45">
        <v>50.4</v>
      </c>
      <c r="AB12" s="45">
        <v>50.2</v>
      </c>
      <c r="AC12" s="45">
        <v>50.2</v>
      </c>
      <c r="AD12" s="45">
        <v>50.3</v>
      </c>
      <c r="AE12" s="45">
        <v>50.4</v>
      </c>
      <c r="AF12" s="45">
        <v>50.2</v>
      </c>
      <c r="AG12" s="51">
        <v>50</v>
      </c>
      <c r="AH12" s="48">
        <f t="shared" ref="AH12:AH79" si="2">MAX(B12:AF12)</f>
        <v>50.6</v>
      </c>
      <c r="AI12" s="49">
        <f t="shared" ref="AI12:AI79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27.7</v>
      </c>
      <c r="C13" s="45">
        <v>27.7</v>
      </c>
      <c r="D13" s="45">
        <v>27.7</v>
      </c>
      <c r="E13" s="45">
        <v>27.7</v>
      </c>
      <c r="F13" s="45">
        <v>27.7</v>
      </c>
      <c r="G13" s="45">
        <v>27.7</v>
      </c>
      <c r="H13" s="45">
        <v>27.7</v>
      </c>
      <c r="I13" s="45">
        <v>27.7</v>
      </c>
      <c r="J13" s="45">
        <v>27.7</v>
      </c>
      <c r="K13" s="45">
        <v>27.7</v>
      </c>
      <c r="L13" s="45">
        <v>27.7</v>
      </c>
      <c r="M13" s="45">
        <v>23.5</v>
      </c>
      <c r="N13" s="45">
        <v>24.2</v>
      </c>
      <c r="O13" s="45">
        <v>24.2</v>
      </c>
      <c r="P13" s="45">
        <v>24.2</v>
      </c>
      <c r="Q13" s="45">
        <v>24.2</v>
      </c>
      <c r="R13" s="45">
        <v>24.2</v>
      </c>
      <c r="S13" s="45">
        <v>24.2</v>
      </c>
      <c r="T13" s="45">
        <v>24.2</v>
      </c>
      <c r="U13" s="45">
        <v>24.2</v>
      </c>
      <c r="V13" s="45">
        <v>28</v>
      </c>
      <c r="W13" s="45">
        <v>28</v>
      </c>
      <c r="X13" s="45">
        <v>28</v>
      </c>
      <c r="Y13" s="45">
        <v>28.3</v>
      </c>
      <c r="Z13" s="45">
        <v>28.3</v>
      </c>
      <c r="AA13" s="45">
        <v>28.3</v>
      </c>
      <c r="AB13" s="45">
        <v>28</v>
      </c>
      <c r="AC13" s="45">
        <v>28</v>
      </c>
      <c r="AD13" s="45">
        <v>28</v>
      </c>
      <c r="AE13" s="45">
        <v>28</v>
      </c>
      <c r="AF13" s="45">
        <v>24.7</v>
      </c>
      <c r="AG13" s="51">
        <v>45</v>
      </c>
      <c r="AH13" s="48">
        <f t="shared" si="2"/>
        <v>28.3</v>
      </c>
      <c r="AI13" s="49">
        <f t="shared" si="3"/>
        <v>23.5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24</v>
      </c>
      <c r="C15" s="45">
        <v>24</v>
      </c>
      <c r="D15" s="45">
        <v>24</v>
      </c>
      <c r="E15" s="45">
        <v>24</v>
      </c>
      <c r="F15" s="45">
        <v>24</v>
      </c>
      <c r="G15" s="45">
        <v>24</v>
      </c>
      <c r="H15" s="45">
        <v>24</v>
      </c>
      <c r="I15" s="45">
        <v>24</v>
      </c>
      <c r="J15" s="45">
        <v>24</v>
      </c>
      <c r="K15" s="45">
        <v>24</v>
      </c>
      <c r="L15" s="45">
        <v>24</v>
      </c>
      <c r="M15" s="45">
        <v>24</v>
      </c>
      <c r="N15" s="45">
        <v>24</v>
      </c>
      <c r="O15" s="45">
        <v>24</v>
      </c>
      <c r="P15" s="45">
        <v>24</v>
      </c>
      <c r="Q15" s="45">
        <v>24</v>
      </c>
      <c r="R15" s="45">
        <v>24</v>
      </c>
      <c r="S15" s="45">
        <v>24</v>
      </c>
      <c r="T15" s="45">
        <v>24</v>
      </c>
      <c r="U15" s="45">
        <v>24</v>
      </c>
      <c r="V15" s="45">
        <v>24</v>
      </c>
      <c r="W15" s="45">
        <v>24</v>
      </c>
      <c r="X15" s="45">
        <v>24</v>
      </c>
      <c r="Y15" s="45">
        <v>24</v>
      </c>
      <c r="Z15" s="45">
        <v>24</v>
      </c>
      <c r="AA15" s="45">
        <v>24</v>
      </c>
      <c r="AB15" s="45">
        <v>24</v>
      </c>
      <c r="AC15" s="45">
        <v>24</v>
      </c>
      <c r="AD15" s="45">
        <v>24</v>
      </c>
      <c r="AE15" s="45">
        <v>22</v>
      </c>
      <c r="AF15" s="45">
        <v>12</v>
      </c>
      <c r="AG15" s="51">
        <v>36</v>
      </c>
      <c r="AH15" s="48">
        <f t="shared" si="2"/>
        <v>24</v>
      </c>
      <c r="AI15" s="49">
        <f t="shared" si="3"/>
        <v>12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14.5</v>
      </c>
      <c r="C16" s="45">
        <v>14.5</v>
      </c>
      <c r="D16" s="45">
        <v>14.5</v>
      </c>
      <c r="E16" s="45">
        <v>14.5</v>
      </c>
      <c r="F16" s="45">
        <v>14.5</v>
      </c>
      <c r="G16" s="45">
        <v>14.5</v>
      </c>
      <c r="H16" s="45">
        <v>14.5</v>
      </c>
      <c r="I16" s="45">
        <v>14.5</v>
      </c>
      <c r="J16" s="45">
        <v>14.5</v>
      </c>
      <c r="K16" s="45">
        <v>14.5</v>
      </c>
      <c r="L16" s="45">
        <v>14.5</v>
      </c>
      <c r="M16" s="45">
        <v>14.5</v>
      </c>
      <c r="N16" s="45">
        <v>14.8</v>
      </c>
      <c r="O16" s="45">
        <v>14.8</v>
      </c>
      <c r="P16" s="45">
        <v>14.8</v>
      </c>
      <c r="Q16" s="45">
        <v>14.8</v>
      </c>
      <c r="R16" s="45">
        <v>14.8</v>
      </c>
      <c r="S16" s="45">
        <v>14.3</v>
      </c>
      <c r="T16" s="45">
        <v>14.3</v>
      </c>
      <c r="U16" s="45">
        <v>14.3</v>
      </c>
      <c r="V16" s="45">
        <v>14.3</v>
      </c>
      <c r="W16" s="45">
        <v>14.3</v>
      </c>
      <c r="X16" s="45">
        <v>14.3</v>
      </c>
      <c r="Y16" s="45">
        <v>14.3</v>
      </c>
      <c r="Z16" s="45">
        <v>14.3</v>
      </c>
      <c r="AA16" s="45">
        <v>14.3</v>
      </c>
      <c r="AB16" s="45">
        <v>14.8</v>
      </c>
      <c r="AC16" s="45">
        <v>14.8</v>
      </c>
      <c r="AD16" s="45">
        <v>7.4</v>
      </c>
      <c r="AE16" s="45">
        <v>7.4</v>
      </c>
      <c r="AF16" s="45">
        <v>0</v>
      </c>
      <c r="AG16" s="52">
        <v>30</v>
      </c>
      <c r="AH16" s="48">
        <f t="shared" si="2"/>
        <v>14.8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14.9</v>
      </c>
      <c r="C17" s="45">
        <v>14.9</v>
      </c>
      <c r="D17" s="45">
        <v>14.9</v>
      </c>
      <c r="E17" s="45">
        <v>14.9</v>
      </c>
      <c r="F17" s="45">
        <v>14.9</v>
      </c>
      <c r="G17" s="45">
        <v>14.9</v>
      </c>
      <c r="H17" s="45">
        <v>14.9</v>
      </c>
      <c r="I17" s="45">
        <v>14.9</v>
      </c>
      <c r="J17" s="45">
        <v>14.9</v>
      </c>
      <c r="K17" s="45">
        <v>14.9</v>
      </c>
      <c r="L17" s="45">
        <v>14.9</v>
      </c>
      <c r="M17" s="45">
        <v>14.9</v>
      </c>
      <c r="N17" s="45">
        <v>13.3</v>
      </c>
      <c r="O17" s="45">
        <v>13.3</v>
      </c>
      <c r="P17" s="45">
        <v>13.3</v>
      </c>
      <c r="Q17" s="45">
        <v>13.3</v>
      </c>
      <c r="R17" s="45">
        <v>13.3</v>
      </c>
      <c r="S17" s="45">
        <v>13.3</v>
      </c>
      <c r="T17" s="45">
        <v>13.3</v>
      </c>
      <c r="U17" s="45">
        <v>13.3</v>
      </c>
      <c r="V17" s="45">
        <v>13.3</v>
      </c>
      <c r="W17" s="45">
        <v>13.3</v>
      </c>
      <c r="X17" s="45">
        <v>13.3</v>
      </c>
      <c r="Y17" s="45">
        <v>13.3</v>
      </c>
      <c r="Z17" s="45">
        <v>13.3</v>
      </c>
      <c r="AA17" s="45">
        <v>13.3</v>
      </c>
      <c r="AB17" s="45">
        <v>12</v>
      </c>
      <c r="AC17" s="45">
        <v>12</v>
      </c>
      <c r="AD17" s="45">
        <v>14.9</v>
      </c>
      <c r="AE17" s="45">
        <v>14.9</v>
      </c>
      <c r="AF17" s="45">
        <v>14.2</v>
      </c>
      <c r="AG17" s="51">
        <v>24.2</v>
      </c>
      <c r="AH17" s="48">
        <f t="shared" si="2"/>
        <v>14.9</v>
      </c>
      <c r="AI17" s="49">
        <f t="shared" si="3"/>
        <v>12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15.5</v>
      </c>
      <c r="C18" s="45">
        <v>15.5</v>
      </c>
      <c r="D18" s="45">
        <v>15.5</v>
      </c>
      <c r="E18" s="45">
        <v>15.5</v>
      </c>
      <c r="F18" s="45">
        <v>15.5</v>
      </c>
      <c r="G18" s="45">
        <v>15.5</v>
      </c>
      <c r="H18" s="45">
        <v>15.5</v>
      </c>
      <c r="I18" s="45">
        <v>15.5</v>
      </c>
      <c r="J18" s="45">
        <v>15.5</v>
      </c>
      <c r="K18" s="45">
        <v>15.5</v>
      </c>
      <c r="L18" s="45">
        <v>15.5</v>
      </c>
      <c r="M18" s="45">
        <v>15.5</v>
      </c>
      <c r="N18" s="45">
        <v>16</v>
      </c>
      <c r="O18" s="45">
        <v>16</v>
      </c>
      <c r="P18" s="45">
        <v>16</v>
      </c>
      <c r="Q18" s="45">
        <v>16</v>
      </c>
      <c r="R18" s="45">
        <v>16</v>
      </c>
      <c r="S18" s="45">
        <v>16</v>
      </c>
      <c r="T18" s="45">
        <v>16</v>
      </c>
      <c r="U18" s="45">
        <v>16</v>
      </c>
      <c r="V18" s="45">
        <v>16</v>
      </c>
      <c r="W18" s="45">
        <v>16</v>
      </c>
      <c r="X18" s="45">
        <v>16</v>
      </c>
      <c r="Y18" s="45">
        <v>16</v>
      </c>
      <c r="Z18" s="45">
        <v>16</v>
      </c>
      <c r="AA18" s="45">
        <v>16</v>
      </c>
      <c r="AB18" s="45">
        <v>16</v>
      </c>
      <c r="AC18" s="45">
        <v>16</v>
      </c>
      <c r="AD18" s="45">
        <v>16</v>
      </c>
      <c r="AE18" s="45">
        <v>16</v>
      </c>
      <c r="AF18" s="45">
        <v>14.1</v>
      </c>
      <c r="AG18" s="51">
        <v>28</v>
      </c>
      <c r="AH18" s="48">
        <f t="shared" si="2"/>
        <v>16</v>
      </c>
      <c r="AI18" s="49">
        <f t="shared" si="3"/>
        <v>14.1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17</v>
      </c>
      <c r="C19" s="45">
        <v>17</v>
      </c>
      <c r="D19" s="45">
        <v>17</v>
      </c>
      <c r="E19" s="45">
        <v>17</v>
      </c>
      <c r="F19" s="45">
        <v>17</v>
      </c>
      <c r="G19" s="45">
        <v>17</v>
      </c>
      <c r="H19" s="45">
        <v>17</v>
      </c>
      <c r="I19" s="45">
        <v>17</v>
      </c>
      <c r="J19" s="45">
        <v>17</v>
      </c>
      <c r="K19" s="45">
        <v>17</v>
      </c>
      <c r="L19" s="45">
        <v>17</v>
      </c>
      <c r="M19" s="45">
        <v>17</v>
      </c>
      <c r="N19" s="45">
        <v>17</v>
      </c>
      <c r="O19" s="45">
        <v>17</v>
      </c>
      <c r="P19" s="45">
        <v>17</v>
      </c>
      <c r="Q19" s="45">
        <v>17</v>
      </c>
      <c r="R19" s="45">
        <v>17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17</v>
      </c>
      <c r="AE19" s="45">
        <v>17</v>
      </c>
      <c r="AF19" s="45">
        <v>0</v>
      </c>
      <c r="AG19" s="52">
        <v>30</v>
      </c>
      <c r="AH19" s="48">
        <f t="shared" si="2"/>
        <v>17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15</v>
      </c>
      <c r="C20" s="45">
        <v>15</v>
      </c>
      <c r="D20" s="45">
        <v>15</v>
      </c>
      <c r="E20" s="45">
        <v>15</v>
      </c>
      <c r="F20" s="45">
        <v>15</v>
      </c>
      <c r="G20" s="45">
        <v>15</v>
      </c>
      <c r="H20" s="45">
        <v>15</v>
      </c>
      <c r="I20" s="45">
        <v>15</v>
      </c>
      <c r="J20" s="45">
        <v>15</v>
      </c>
      <c r="K20" s="45">
        <v>15</v>
      </c>
      <c r="L20" s="45">
        <v>15</v>
      </c>
      <c r="M20" s="45">
        <v>15</v>
      </c>
      <c r="N20" s="45">
        <v>15</v>
      </c>
      <c r="O20" s="45">
        <v>15</v>
      </c>
      <c r="P20" s="45">
        <v>15</v>
      </c>
      <c r="Q20" s="45">
        <v>15</v>
      </c>
      <c r="R20" s="45">
        <v>15</v>
      </c>
      <c r="S20" s="45">
        <v>15</v>
      </c>
      <c r="T20" s="45">
        <v>15</v>
      </c>
      <c r="U20" s="45">
        <v>15</v>
      </c>
      <c r="V20" s="45">
        <v>15</v>
      </c>
      <c r="W20" s="45">
        <v>15</v>
      </c>
      <c r="X20" s="45">
        <v>15</v>
      </c>
      <c r="Y20" s="45">
        <v>15</v>
      </c>
      <c r="Z20" s="45">
        <v>15</v>
      </c>
      <c r="AA20" s="45">
        <v>15</v>
      </c>
      <c r="AB20" s="45">
        <v>15</v>
      </c>
      <c r="AC20" s="45">
        <v>15</v>
      </c>
      <c r="AD20" s="45">
        <v>15</v>
      </c>
      <c r="AE20" s="45">
        <v>15</v>
      </c>
      <c r="AF20" s="45">
        <v>15</v>
      </c>
      <c r="AG20" s="51">
        <v>25</v>
      </c>
      <c r="AH20" s="48">
        <f t="shared" si="2"/>
        <v>15</v>
      </c>
      <c r="AI20" s="49">
        <f t="shared" si="3"/>
        <v>15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0</v>
      </c>
      <c r="AG23" s="51">
        <v>25</v>
      </c>
      <c r="AH23" s="48">
        <f t="shared" si="2"/>
        <v>15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12.5</v>
      </c>
      <c r="C24" s="45">
        <v>12.5</v>
      </c>
      <c r="D24" s="45">
        <v>12.5</v>
      </c>
      <c r="E24" s="45">
        <v>12.5</v>
      </c>
      <c r="F24" s="45">
        <v>12.5</v>
      </c>
      <c r="G24" s="45">
        <v>12.5</v>
      </c>
      <c r="H24" s="45">
        <v>12.5</v>
      </c>
      <c r="I24" s="45">
        <v>12.5</v>
      </c>
      <c r="J24" s="45">
        <v>12.5</v>
      </c>
      <c r="K24" s="45">
        <v>12.5</v>
      </c>
      <c r="L24" s="45">
        <v>12.5</v>
      </c>
      <c r="M24" s="45">
        <v>12.5</v>
      </c>
      <c r="N24" s="45">
        <v>11.9</v>
      </c>
      <c r="O24" s="45">
        <v>11.9</v>
      </c>
      <c r="P24" s="45">
        <v>11.9</v>
      </c>
      <c r="Q24" s="45">
        <v>11.9</v>
      </c>
      <c r="R24" s="45">
        <v>11.9</v>
      </c>
      <c r="S24" s="45">
        <v>11.9</v>
      </c>
      <c r="T24" s="45">
        <v>11.9</v>
      </c>
      <c r="U24" s="45">
        <v>11.9</v>
      </c>
      <c r="V24" s="45">
        <v>11.9</v>
      </c>
      <c r="W24" s="45">
        <v>11.9</v>
      </c>
      <c r="X24" s="45">
        <v>11.9</v>
      </c>
      <c r="Y24" s="45">
        <v>11.9</v>
      </c>
      <c r="Z24" s="45">
        <v>11.9</v>
      </c>
      <c r="AA24" s="45">
        <v>11.9</v>
      </c>
      <c r="AB24" s="45">
        <v>11.9</v>
      </c>
      <c r="AC24" s="45">
        <v>11.9</v>
      </c>
      <c r="AD24" s="45">
        <v>11.9</v>
      </c>
      <c r="AE24" s="45">
        <v>11.9</v>
      </c>
      <c r="AF24" s="45">
        <v>12.9</v>
      </c>
      <c r="AG24" s="51">
        <v>23.5</v>
      </c>
      <c r="AH24" s="48">
        <f t="shared" si="2"/>
        <v>12.9</v>
      </c>
      <c r="AI24" s="49">
        <f t="shared" si="3"/>
        <v>11.9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14</v>
      </c>
      <c r="C27" s="45">
        <v>14</v>
      </c>
      <c r="D27" s="45">
        <v>14</v>
      </c>
      <c r="E27" s="45">
        <v>14</v>
      </c>
      <c r="F27" s="45">
        <v>14</v>
      </c>
      <c r="G27" s="45">
        <v>14</v>
      </c>
      <c r="H27" s="45">
        <v>14</v>
      </c>
      <c r="I27" s="45">
        <v>14</v>
      </c>
      <c r="J27" s="45">
        <v>14</v>
      </c>
      <c r="K27" s="45">
        <v>14</v>
      </c>
      <c r="L27" s="45">
        <v>14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14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6</v>
      </c>
      <c r="C30" s="45">
        <v>6</v>
      </c>
      <c r="D30" s="45">
        <v>6</v>
      </c>
      <c r="E30" s="45">
        <v>6</v>
      </c>
      <c r="F30" s="45">
        <v>6</v>
      </c>
      <c r="G30" s="45">
        <v>6</v>
      </c>
      <c r="H30" s="45">
        <v>6</v>
      </c>
      <c r="I30" s="45">
        <v>6</v>
      </c>
      <c r="J30" s="45">
        <v>6</v>
      </c>
      <c r="K30" s="45">
        <v>6</v>
      </c>
      <c r="L30" s="45">
        <v>6</v>
      </c>
      <c r="M30" s="45">
        <v>6</v>
      </c>
      <c r="N30" s="45">
        <v>6</v>
      </c>
      <c r="O30" s="45">
        <v>6</v>
      </c>
      <c r="P30" s="45">
        <v>6</v>
      </c>
      <c r="Q30" s="45">
        <v>6</v>
      </c>
      <c r="R30" s="45">
        <v>8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8</v>
      </c>
      <c r="Y30" s="45">
        <v>8</v>
      </c>
      <c r="Z30" s="45">
        <v>8</v>
      </c>
      <c r="AA30" s="45">
        <v>8</v>
      </c>
      <c r="AB30" s="45">
        <v>8</v>
      </c>
      <c r="AC30" s="45">
        <v>8</v>
      </c>
      <c r="AD30" s="45">
        <v>8</v>
      </c>
      <c r="AE30" s="45">
        <v>8</v>
      </c>
      <c r="AF30" s="45">
        <v>8</v>
      </c>
      <c r="AG30" s="51">
        <v>18</v>
      </c>
      <c r="AH30" s="48">
        <f t="shared" si="2"/>
        <v>8</v>
      </c>
      <c r="AI30" s="49">
        <f t="shared" si="3"/>
        <v>6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8</v>
      </c>
      <c r="C34" s="45">
        <v>8</v>
      </c>
      <c r="D34" s="45">
        <v>8</v>
      </c>
      <c r="E34" s="45">
        <v>8</v>
      </c>
      <c r="F34" s="45">
        <v>8</v>
      </c>
      <c r="G34" s="45">
        <v>8</v>
      </c>
      <c r="H34" s="45">
        <v>8</v>
      </c>
      <c r="I34" s="45">
        <v>8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8</v>
      </c>
      <c r="AC34" s="45">
        <v>8</v>
      </c>
      <c r="AD34" s="45">
        <v>8</v>
      </c>
      <c r="AE34" s="45">
        <v>8</v>
      </c>
      <c r="AF34" s="45">
        <v>8</v>
      </c>
      <c r="AG34" s="51">
        <v>12</v>
      </c>
      <c r="AH34" s="48">
        <f t="shared" si="2"/>
        <v>8</v>
      </c>
      <c r="AI34" s="49">
        <f t="shared" si="3"/>
        <v>8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220</v>
      </c>
      <c r="C42" s="57">
        <v>220</v>
      </c>
      <c r="D42" s="57">
        <v>220</v>
      </c>
      <c r="E42" s="57">
        <v>220</v>
      </c>
      <c r="F42" s="57">
        <v>220</v>
      </c>
      <c r="G42" s="57">
        <v>220</v>
      </c>
      <c r="H42" s="57">
        <v>220</v>
      </c>
      <c r="I42" s="57">
        <v>220</v>
      </c>
      <c r="J42" s="57">
        <v>220</v>
      </c>
      <c r="K42" s="57">
        <v>220</v>
      </c>
      <c r="L42" s="57">
        <v>220</v>
      </c>
      <c r="M42" s="57">
        <v>220</v>
      </c>
      <c r="N42" s="57">
        <v>220</v>
      </c>
      <c r="O42" s="57">
        <v>220</v>
      </c>
      <c r="P42" s="57">
        <v>220</v>
      </c>
      <c r="Q42" s="57">
        <v>220</v>
      </c>
      <c r="R42" s="57">
        <v>220</v>
      </c>
      <c r="S42" s="57">
        <v>220</v>
      </c>
      <c r="T42" s="57">
        <v>220</v>
      </c>
      <c r="U42" s="57">
        <v>220</v>
      </c>
      <c r="V42" s="57">
        <v>220</v>
      </c>
      <c r="W42" s="57">
        <v>220</v>
      </c>
      <c r="X42" s="57">
        <v>220</v>
      </c>
      <c r="Y42" s="57">
        <v>220</v>
      </c>
      <c r="Z42" s="57">
        <v>220</v>
      </c>
      <c r="AA42" s="57">
        <v>220</v>
      </c>
      <c r="AB42" s="57">
        <v>220</v>
      </c>
      <c r="AC42" s="57">
        <v>220</v>
      </c>
      <c r="AD42" s="57">
        <v>220</v>
      </c>
      <c r="AE42" s="57">
        <v>220</v>
      </c>
      <c r="AF42" s="57">
        <v>220</v>
      </c>
      <c r="AG42" s="55">
        <v>85</v>
      </c>
      <c r="AH42" s="48">
        <f t="shared" si="2"/>
        <v>220</v>
      </c>
      <c r="AI42" s="49">
        <f t="shared" si="3"/>
        <v>220</v>
      </c>
      <c r="AK42" s="50"/>
    </row>
    <row r="43" spans="1:88" ht="15.75" thickBot="1" x14ac:dyDescent="0.3">
      <c r="A43" s="58" t="s">
        <v>47</v>
      </c>
      <c r="B43" s="59">
        <v>73</v>
      </c>
      <c r="C43" s="59">
        <f>33.6+39.2</f>
        <v>72.800000000000011</v>
      </c>
      <c r="D43" s="59">
        <f>33.4+38.5</f>
        <v>71.900000000000006</v>
      </c>
      <c r="E43" s="59">
        <f>33.4+38.4</f>
        <v>71.8</v>
      </c>
      <c r="F43" s="59">
        <f>33.3+38.4</f>
        <v>71.699999999999989</v>
      </c>
      <c r="G43" s="59">
        <f>33.2+39</f>
        <v>72.2</v>
      </c>
      <c r="H43" s="59">
        <f>33.1+38.3</f>
        <v>71.400000000000006</v>
      </c>
      <c r="I43" s="59">
        <f>32.8+38.1</f>
        <v>70.900000000000006</v>
      </c>
      <c r="J43" s="59">
        <f>33+36.7</f>
        <v>69.7</v>
      </c>
      <c r="K43" s="59">
        <f>33+36.6</f>
        <v>69.599999999999994</v>
      </c>
      <c r="L43" s="57">
        <f>31.9+35.5</f>
        <v>67.400000000000006</v>
      </c>
      <c r="M43" s="57">
        <v>66.2</v>
      </c>
      <c r="N43" s="57">
        <f>33.7+36.8</f>
        <v>70.5</v>
      </c>
      <c r="O43" s="57">
        <v>70.400000000000006</v>
      </c>
      <c r="P43" s="57">
        <v>72.099999999999994</v>
      </c>
      <c r="Q43" s="57">
        <v>73.7</v>
      </c>
      <c r="R43" s="57"/>
      <c r="S43" s="59">
        <f>35+39.8</f>
        <v>74.8</v>
      </c>
      <c r="T43" s="59">
        <f>35+39.8</f>
        <v>74.8</v>
      </c>
      <c r="U43" s="59">
        <f>35+39.8</f>
        <v>74.8</v>
      </c>
      <c r="V43" s="59">
        <f>32+34.2</f>
        <v>66.2</v>
      </c>
      <c r="W43" s="59">
        <f>32+34.2</f>
        <v>66.2</v>
      </c>
      <c r="X43" s="59">
        <v>64.599999999999994</v>
      </c>
      <c r="Y43" s="59">
        <f>31.4+34.3</f>
        <v>65.699999999999989</v>
      </c>
      <c r="Z43" s="59">
        <f>31.3+35.4</f>
        <v>66.7</v>
      </c>
      <c r="AA43" s="59">
        <f>31.6+34.1</f>
        <v>65.7</v>
      </c>
      <c r="AB43" s="59">
        <v>64.7</v>
      </c>
      <c r="AC43" s="59">
        <v>65</v>
      </c>
      <c r="AD43" s="59">
        <v>65.599999999999994</v>
      </c>
      <c r="AE43" s="59">
        <v>68</v>
      </c>
      <c r="AF43" s="59">
        <v>70.7</v>
      </c>
      <c r="AG43" s="55">
        <v>240</v>
      </c>
      <c r="AH43" s="48">
        <f t="shared" si="2"/>
        <v>74.8</v>
      </c>
      <c r="AI43" s="49">
        <f t="shared" si="3"/>
        <v>64.599999999999994</v>
      </c>
      <c r="AK43" s="50"/>
    </row>
    <row r="44" spans="1:88" ht="15.75" thickBot="1" x14ac:dyDescent="0.3">
      <c r="A44" s="60" t="s">
        <v>48</v>
      </c>
      <c r="B44" s="61">
        <f t="shared" ref="B44:AG44" si="4">SUM(B11:B42)</f>
        <v>623</v>
      </c>
      <c r="C44" s="61">
        <f t="shared" si="4"/>
        <v>623</v>
      </c>
      <c r="D44" s="61">
        <f t="shared" si="4"/>
        <v>623</v>
      </c>
      <c r="E44" s="61">
        <f t="shared" si="4"/>
        <v>623</v>
      </c>
      <c r="F44" s="61">
        <f t="shared" si="4"/>
        <v>623</v>
      </c>
      <c r="G44" s="61">
        <f t="shared" si="4"/>
        <v>623</v>
      </c>
      <c r="H44" s="61">
        <f t="shared" si="4"/>
        <v>623</v>
      </c>
      <c r="I44" s="61">
        <f t="shared" si="4"/>
        <v>623</v>
      </c>
      <c r="J44" s="61">
        <f t="shared" si="4"/>
        <v>623</v>
      </c>
      <c r="K44" s="61">
        <f t="shared" si="4"/>
        <v>623</v>
      </c>
      <c r="L44" s="61">
        <f t="shared" si="4"/>
        <v>623</v>
      </c>
      <c r="M44" s="61">
        <f t="shared" si="4"/>
        <v>612.80000000000007</v>
      </c>
      <c r="N44" s="61">
        <f t="shared" si="4"/>
        <v>610.5</v>
      </c>
      <c r="O44" s="61">
        <f t="shared" si="4"/>
        <v>610.5</v>
      </c>
      <c r="P44" s="61">
        <f t="shared" si="4"/>
        <v>610.5</v>
      </c>
      <c r="Q44" s="61">
        <f t="shared" si="4"/>
        <v>610.5</v>
      </c>
      <c r="R44" s="61">
        <f t="shared" si="4"/>
        <v>612.5</v>
      </c>
      <c r="S44" s="61">
        <f t="shared" si="4"/>
        <v>610.20000000000005</v>
      </c>
      <c r="T44" s="61">
        <f t="shared" si="4"/>
        <v>611.6</v>
      </c>
      <c r="U44" s="61">
        <f t="shared" si="4"/>
        <v>611.6</v>
      </c>
      <c r="V44" s="61">
        <f t="shared" si="4"/>
        <v>616</v>
      </c>
      <c r="W44" s="61">
        <f t="shared" ref="W44" si="5">SUM(W11:W42)</f>
        <v>616</v>
      </c>
      <c r="X44" s="61">
        <v>616</v>
      </c>
      <c r="Y44" s="61">
        <f t="shared" si="4"/>
        <v>615.70000000000005</v>
      </c>
      <c r="Z44" s="61">
        <f t="shared" si="4"/>
        <v>615.70000000000005</v>
      </c>
      <c r="AA44" s="61">
        <f t="shared" si="4"/>
        <v>615.70000000000005</v>
      </c>
      <c r="AB44" s="61">
        <f>SUM(AB11:AB42)</f>
        <v>615.5</v>
      </c>
      <c r="AC44" s="61">
        <f t="shared" si="4"/>
        <v>615.5</v>
      </c>
      <c r="AD44" s="61">
        <f t="shared" si="4"/>
        <v>610.9</v>
      </c>
      <c r="AE44" s="61">
        <f t="shared" si="4"/>
        <v>607.70000000000005</v>
      </c>
      <c r="AF44" s="61">
        <f t="shared" si="4"/>
        <v>546.1</v>
      </c>
      <c r="AG44" s="62">
        <f t="shared" si="4"/>
        <v>814.78000000000009</v>
      </c>
      <c r="AH44" s="48">
        <f t="shared" si="2"/>
        <v>623</v>
      </c>
      <c r="AI44" s="49">
        <f t="shared" si="3"/>
        <v>546.1</v>
      </c>
      <c r="AK44" s="50"/>
    </row>
    <row r="45" spans="1:88" x14ac:dyDescent="0.25">
      <c r="A45" s="63" t="s">
        <v>49</v>
      </c>
      <c r="B45" s="45">
        <v>20</v>
      </c>
      <c r="C45" s="45">
        <v>30</v>
      </c>
      <c r="D45" s="45">
        <v>15</v>
      </c>
      <c r="E45" s="45">
        <v>13</v>
      </c>
      <c r="F45" s="45">
        <v>13</v>
      </c>
      <c r="G45" s="45">
        <v>13</v>
      </c>
      <c r="H45" s="45">
        <v>13</v>
      </c>
      <c r="I45" s="45">
        <v>30</v>
      </c>
      <c r="J45" s="45">
        <v>200</v>
      </c>
      <c r="K45" s="45">
        <v>220</v>
      </c>
      <c r="L45" s="45">
        <v>360</v>
      </c>
      <c r="M45" s="45">
        <v>390</v>
      </c>
      <c r="N45" s="45">
        <v>400</v>
      </c>
      <c r="O45" s="45">
        <v>230</v>
      </c>
      <c r="P45" s="45">
        <v>40</v>
      </c>
      <c r="Q45" s="45">
        <v>15</v>
      </c>
      <c r="R45" s="45"/>
      <c r="S45" s="45">
        <v>30</v>
      </c>
      <c r="T45" s="45">
        <v>15</v>
      </c>
      <c r="U45" s="45">
        <v>15</v>
      </c>
      <c r="V45" s="45">
        <v>160</v>
      </c>
      <c r="W45" s="45">
        <v>380</v>
      </c>
      <c r="X45" s="45">
        <v>456</v>
      </c>
      <c r="Y45" s="45">
        <v>456</v>
      </c>
      <c r="Z45" s="45">
        <v>380</v>
      </c>
      <c r="AA45" s="45">
        <v>320</v>
      </c>
      <c r="AB45" s="45">
        <v>260</v>
      </c>
      <c r="AC45" s="45">
        <v>190</v>
      </c>
      <c r="AD45" s="45">
        <v>180</v>
      </c>
      <c r="AE45" s="45">
        <v>40</v>
      </c>
      <c r="AF45" s="45">
        <v>15</v>
      </c>
      <c r="AG45" s="52">
        <v>456</v>
      </c>
      <c r="AH45" s="48">
        <f t="shared" si="2"/>
        <v>456</v>
      </c>
      <c r="AI45" s="49">
        <f t="shared" si="3"/>
        <v>13</v>
      </c>
      <c r="AK45" s="50"/>
    </row>
    <row r="46" spans="1:88" x14ac:dyDescent="0.25">
      <c r="A46" s="64" t="s">
        <v>50</v>
      </c>
      <c r="B46" s="65">
        <v>50</v>
      </c>
      <c r="C46" s="65">
        <v>50</v>
      </c>
      <c r="D46" s="65">
        <v>50</v>
      </c>
      <c r="E46" s="65">
        <v>50</v>
      </c>
      <c r="F46" s="65">
        <v>50</v>
      </c>
      <c r="G46" s="65">
        <v>50</v>
      </c>
      <c r="H46" s="65">
        <v>50</v>
      </c>
      <c r="I46" s="65">
        <v>50</v>
      </c>
      <c r="J46" s="65">
        <v>50</v>
      </c>
      <c r="K46" s="65">
        <v>50</v>
      </c>
      <c r="L46" s="65">
        <v>50</v>
      </c>
      <c r="M46" s="65">
        <v>50</v>
      </c>
      <c r="N46" s="65">
        <v>50</v>
      </c>
      <c r="O46" s="65">
        <v>50</v>
      </c>
      <c r="P46" s="65">
        <v>50</v>
      </c>
      <c r="Q46" s="65">
        <v>50</v>
      </c>
      <c r="R46" s="65"/>
      <c r="S46" s="65">
        <v>50</v>
      </c>
      <c r="T46" s="65">
        <v>50</v>
      </c>
      <c r="U46" s="65">
        <v>50</v>
      </c>
      <c r="V46" s="65">
        <v>50</v>
      </c>
      <c r="W46" s="65">
        <v>50</v>
      </c>
      <c r="X46" s="65">
        <v>50</v>
      </c>
      <c r="Y46" s="65">
        <v>50</v>
      </c>
      <c r="Z46" s="65">
        <v>50</v>
      </c>
      <c r="AA46" s="65">
        <v>50</v>
      </c>
      <c r="AB46" s="65">
        <v>50</v>
      </c>
      <c r="AC46" s="65">
        <v>50</v>
      </c>
      <c r="AD46" s="65">
        <v>50</v>
      </c>
      <c r="AE46" s="65">
        <v>50</v>
      </c>
      <c r="AF46" s="65">
        <v>50</v>
      </c>
      <c r="AG46" s="55">
        <v>60</v>
      </c>
      <c r="AH46" s="48">
        <f t="shared" si="2"/>
        <v>50</v>
      </c>
      <c r="AI46" s="49">
        <f t="shared" si="3"/>
        <v>50</v>
      </c>
      <c r="AK46" s="50"/>
    </row>
    <row r="47" spans="1:88" ht="15.75" thickBot="1" x14ac:dyDescent="0.3">
      <c r="A47" s="66" t="s">
        <v>51</v>
      </c>
      <c r="B47" s="67">
        <v>20</v>
      </c>
      <c r="C47" s="67">
        <v>20</v>
      </c>
      <c r="D47" s="67">
        <v>20</v>
      </c>
      <c r="E47" s="67">
        <v>19.7</v>
      </c>
      <c r="F47" s="67">
        <v>19.7</v>
      </c>
      <c r="G47" s="67">
        <v>19.7</v>
      </c>
      <c r="H47" s="67">
        <v>19.7</v>
      </c>
      <c r="I47" s="67">
        <v>19.7</v>
      </c>
      <c r="J47" s="67">
        <v>19.100000000000001</v>
      </c>
      <c r="K47" s="67">
        <v>19.100000000000001</v>
      </c>
      <c r="L47" s="67">
        <v>19.100000000000001</v>
      </c>
      <c r="M47" s="67">
        <v>19.100000000000001</v>
      </c>
      <c r="N47" s="67">
        <v>19.2</v>
      </c>
      <c r="O47" s="67">
        <v>19.2</v>
      </c>
      <c r="P47" s="67">
        <v>19.2</v>
      </c>
      <c r="Q47" s="67">
        <v>19.2</v>
      </c>
      <c r="R47" s="67"/>
      <c r="S47" s="67">
        <v>18.100000000000001</v>
      </c>
      <c r="T47" s="67">
        <v>18</v>
      </c>
      <c r="U47" s="67">
        <v>18</v>
      </c>
      <c r="V47" s="67">
        <v>18</v>
      </c>
      <c r="W47" s="67">
        <v>18</v>
      </c>
      <c r="X47" s="67">
        <v>18</v>
      </c>
      <c r="Y47" s="67">
        <v>18</v>
      </c>
      <c r="Z47" s="67">
        <v>18</v>
      </c>
      <c r="AA47" s="67">
        <v>18</v>
      </c>
      <c r="AB47" s="67">
        <v>18.100000000000001</v>
      </c>
      <c r="AC47" s="67">
        <v>18.899999999999999</v>
      </c>
      <c r="AD47" s="67">
        <v>18.600000000000001</v>
      </c>
      <c r="AE47" s="67">
        <v>20.100000000000001</v>
      </c>
      <c r="AF47" s="67">
        <v>20.100000000000001</v>
      </c>
      <c r="AG47" s="68">
        <v>22.1</v>
      </c>
      <c r="AH47" s="48">
        <f t="shared" si="2"/>
        <v>20.100000000000001</v>
      </c>
      <c r="AI47" s="49">
        <f t="shared" si="3"/>
        <v>18</v>
      </c>
      <c r="AK47" s="50"/>
    </row>
    <row r="48" spans="1:88" ht="15.75" thickBot="1" x14ac:dyDescent="0.3">
      <c r="A48" s="69" t="s">
        <v>52</v>
      </c>
      <c r="B48" s="61">
        <f t="shared" ref="B48:AG48" si="6">SUM(B45:B47)</f>
        <v>90</v>
      </c>
      <c r="C48" s="61">
        <f t="shared" si="6"/>
        <v>100</v>
      </c>
      <c r="D48" s="61">
        <f t="shared" si="6"/>
        <v>85</v>
      </c>
      <c r="E48" s="61">
        <f t="shared" si="6"/>
        <v>82.7</v>
      </c>
      <c r="F48" s="61">
        <f t="shared" si="6"/>
        <v>82.7</v>
      </c>
      <c r="G48" s="61">
        <f t="shared" si="6"/>
        <v>82.7</v>
      </c>
      <c r="H48" s="61">
        <f t="shared" si="6"/>
        <v>82.7</v>
      </c>
      <c r="I48" s="61">
        <f t="shared" si="6"/>
        <v>99.7</v>
      </c>
      <c r="J48" s="61">
        <f t="shared" si="6"/>
        <v>269.10000000000002</v>
      </c>
      <c r="K48" s="61">
        <f t="shared" si="6"/>
        <v>289.10000000000002</v>
      </c>
      <c r="L48" s="61">
        <f t="shared" si="6"/>
        <v>429.1</v>
      </c>
      <c r="M48" s="61">
        <f t="shared" si="6"/>
        <v>459.1</v>
      </c>
      <c r="N48" s="61">
        <f t="shared" si="6"/>
        <v>469.2</v>
      </c>
      <c r="O48" s="61">
        <f t="shared" si="6"/>
        <v>299.2</v>
      </c>
      <c r="P48" s="61">
        <f t="shared" si="6"/>
        <v>109.2</v>
      </c>
      <c r="Q48" s="61">
        <f t="shared" si="6"/>
        <v>84.2</v>
      </c>
      <c r="R48" s="61">
        <f t="shared" si="6"/>
        <v>0</v>
      </c>
      <c r="S48" s="61">
        <f t="shared" si="6"/>
        <v>98.1</v>
      </c>
      <c r="T48" s="61">
        <f t="shared" si="6"/>
        <v>83</v>
      </c>
      <c r="U48" s="61">
        <f t="shared" si="6"/>
        <v>83</v>
      </c>
      <c r="V48" s="61">
        <f t="shared" si="6"/>
        <v>228</v>
      </c>
      <c r="W48" s="61">
        <f t="shared" ref="W48" si="7">SUM(W45:W47)</f>
        <v>448</v>
      </c>
      <c r="X48" s="61">
        <v>524</v>
      </c>
      <c r="Y48" s="61">
        <f t="shared" si="6"/>
        <v>524</v>
      </c>
      <c r="Z48" s="61">
        <f t="shared" si="6"/>
        <v>448</v>
      </c>
      <c r="AA48" s="61">
        <f t="shared" si="6"/>
        <v>388</v>
      </c>
      <c r="AB48" s="61">
        <f t="shared" si="6"/>
        <v>328.1</v>
      </c>
      <c r="AC48" s="61">
        <f t="shared" si="6"/>
        <v>258.89999999999998</v>
      </c>
      <c r="AD48" s="61">
        <f t="shared" si="6"/>
        <v>248.6</v>
      </c>
      <c r="AE48" s="61">
        <f t="shared" si="6"/>
        <v>110.1</v>
      </c>
      <c r="AF48" s="61">
        <f t="shared" si="6"/>
        <v>85.1</v>
      </c>
      <c r="AG48" s="62">
        <f t="shared" si="6"/>
        <v>538.1</v>
      </c>
      <c r="AH48" s="48">
        <f t="shared" si="2"/>
        <v>524</v>
      </c>
      <c r="AI48" s="49">
        <f t="shared" si="3"/>
        <v>0</v>
      </c>
      <c r="AK48" s="50"/>
    </row>
    <row r="49" spans="1:41" x14ac:dyDescent="0.25">
      <c r="A49" s="44" t="s">
        <v>53</v>
      </c>
      <c r="B49" s="45">
        <v>22.3</v>
      </c>
      <c r="C49" s="45">
        <v>22.3</v>
      </c>
      <c r="D49" s="45">
        <v>22.3</v>
      </c>
      <c r="E49" s="45">
        <v>0</v>
      </c>
      <c r="F49" s="45">
        <v>20.399999999999999</v>
      </c>
      <c r="G49" s="45">
        <v>46.4</v>
      </c>
      <c r="H49" s="45">
        <v>124.8</v>
      </c>
      <c r="I49" s="45">
        <v>142.5</v>
      </c>
      <c r="J49" s="45">
        <v>141.9</v>
      </c>
      <c r="K49" s="45">
        <v>141.9</v>
      </c>
      <c r="L49" s="45">
        <v>142.19999999999999</v>
      </c>
      <c r="M49" s="45">
        <v>142.19999999999999</v>
      </c>
      <c r="N49" s="45">
        <v>140</v>
      </c>
      <c r="O49" s="45">
        <v>140</v>
      </c>
      <c r="P49" s="45">
        <v>120</v>
      </c>
      <c r="Q49" s="45">
        <v>100</v>
      </c>
      <c r="R49" s="45"/>
      <c r="S49" s="45">
        <v>61.9</v>
      </c>
      <c r="T49" s="45">
        <v>82</v>
      </c>
      <c r="U49" s="45">
        <v>90</v>
      </c>
      <c r="V49" s="45">
        <v>141</v>
      </c>
      <c r="W49" s="45">
        <v>141</v>
      </c>
      <c r="X49" s="45">
        <v>142.9</v>
      </c>
      <c r="Y49" s="45">
        <v>142.9</v>
      </c>
      <c r="Z49" s="45">
        <v>142.1</v>
      </c>
      <c r="AA49" s="45">
        <v>134.4</v>
      </c>
      <c r="AB49" s="45">
        <v>123.7</v>
      </c>
      <c r="AC49" s="45">
        <v>141.5</v>
      </c>
      <c r="AD49" s="45">
        <v>141.69999999999999</v>
      </c>
      <c r="AE49" s="45">
        <v>121.4</v>
      </c>
      <c r="AF49" s="45">
        <v>96</v>
      </c>
      <c r="AG49" s="52">
        <v>144</v>
      </c>
      <c r="AH49" s="48">
        <f t="shared" si="2"/>
        <v>142.9</v>
      </c>
      <c r="AI49" s="49">
        <f t="shared" si="3"/>
        <v>0</v>
      </c>
      <c r="AK49" s="45">
        <f>13586/24</f>
        <v>566.08333333333337</v>
      </c>
    </row>
    <row r="50" spans="1:41" x14ac:dyDescent="0.25">
      <c r="A50" s="54" t="s">
        <v>54</v>
      </c>
      <c r="B50" s="65">
        <v>0</v>
      </c>
      <c r="C50" s="65">
        <v>0</v>
      </c>
      <c r="D50" s="65">
        <v>0</v>
      </c>
      <c r="E50" s="65">
        <v>50</v>
      </c>
      <c r="F50" s="65">
        <v>50.3</v>
      </c>
      <c r="G50" s="65">
        <v>46.4</v>
      </c>
      <c r="H50" s="65">
        <v>59.2</v>
      </c>
      <c r="I50" s="65">
        <v>69.3</v>
      </c>
      <c r="J50" s="65">
        <v>68.8</v>
      </c>
      <c r="K50" s="65">
        <v>68.8</v>
      </c>
      <c r="L50" s="65">
        <v>71.400000000000006</v>
      </c>
      <c r="M50" s="65">
        <v>71.400000000000006</v>
      </c>
      <c r="N50" s="65">
        <v>67.8</v>
      </c>
      <c r="O50" s="65">
        <v>49</v>
      </c>
      <c r="P50" s="45">
        <v>45.9</v>
      </c>
      <c r="Q50" s="45">
        <v>45.9</v>
      </c>
      <c r="R50" s="45"/>
      <c r="S50" s="45">
        <v>45.9</v>
      </c>
      <c r="T50" s="45">
        <v>45.9</v>
      </c>
      <c r="U50" s="45">
        <v>47.5</v>
      </c>
      <c r="V50" s="65">
        <v>71.5</v>
      </c>
      <c r="W50" s="65">
        <v>71.5</v>
      </c>
      <c r="X50" s="65">
        <v>70.599999999999994</v>
      </c>
      <c r="Y50" s="65">
        <v>69.599999999999994</v>
      </c>
      <c r="Z50" s="65">
        <v>69.8</v>
      </c>
      <c r="AA50" s="65">
        <v>70.400000000000006</v>
      </c>
      <c r="AB50" s="65">
        <v>70.2</v>
      </c>
      <c r="AC50" s="65">
        <v>70.2</v>
      </c>
      <c r="AD50" s="65">
        <v>71.900000000000006</v>
      </c>
      <c r="AE50" s="65">
        <v>70</v>
      </c>
      <c r="AF50" s="65">
        <v>35</v>
      </c>
      <c r="AG50" s="55">
        <v>70</v>
      </c>
      <c r="AH50" s="48">
        <f t="shared" si="2"/>
        <v>71.900000000000006</v>
      </c>
      <c r="AI50" s="49">
        <f t="shared" si="3"/>
        <v>0</v>
      </c>
      <c r="AK50" s="45">
        <f>27396/24</f>
        <v>1141.5</v>
      </c>
    </row>
    <row r="51" spans="1:41" x14ac:dyDescent="0.25">
      <c r="A51" s="54" t="s">
        <v>55</v>
      </c>
      <c r="B51" s="65">
        <v>45.8</v>
      </c>
      <c r="C51" s="65">
        <v>45.8</v>
      </c>
      <c r="D51" s="65">
        <v>34.200000000000003</v>
      </c>
      <c r="E51" s="65">
        <v>32.6</v>
      </c>
      <c r="F51" s="65">
        <v>41.6</v>
      </c>
      <c r="G51" s="65">
        <v>32.5</v>
      </c>
      <c r="H51" s="65">
        <v>32.799999999999997</v>
      </c>
      <c r="I51" s="65">
        <v>32.9</v>
      </c>
      <c r="J51" s="65">
        <v>46</v>
      </c>
      <c r="K51" s="65">
        <v>46</v>
      </c>
      <c r="L51" s="65">
        <v>71.099999999999994</v>
      </c>
      <c r="M51" s="65">
        <v>71.099999999999994</v>
      </c>
      <c r="N51" s="65">
        <v>70.2</v>
      </c>
      <c r="O51" s="65">
        <v>70.2</v>
      </c>
      <c r="P51" s="45">
        <v>58.6</v>
      </c>
      <c r="Q51" s="45">
        <v>51.6</v>
      </c>
      <c r="R51" s="45"/>
      <c r="S51" s="45">
        <v>51.6</v>
      </c>
      <c r="T51" s="45">
        <v>51.6</v>
      </c>
      <c r="U51" s="45">
        <v>52.3</v>
      </c>
      <c r="V51" s="65">
        <v>59.3</v>
      </c>
      <c r="W51" s="65">
        <v>59.3</v>
      </c>
      <c r="X51" s="65">
        <v>70.400000000000006</v>
      </c>
      <c r="Y51" s="65">
        <v>70.400000000000006</v>
      </c>
      <c r="Z51" s="65">
        <v>70.400000000000006</v>
      </c>
      <c r="AA51" s="65">
        <v>70.2</v>
      </c>
      <c r="AB51" s="65">
        <v>70.2</v>
      </c>
      <c r="AC51" s="65">
        <v>69</v>
      </c>
      <c r="AD51" s="65">
        <v>69.900000000000006</v>
      </c>
      <c r="AE51" s="65">
        <v>71.400000000000006</v>
      </c>
      <c r="AF51" s="65">
        <v>62.2</v>
      </c>
      <c r="AG51" s="55">
        <v>69</v>
      </c>
      <c r="AH51" s="48">
        <f t="shared" si="2"/>
        <v>71.400000000000006</v>
      </c>
      <c r="AI51" s="49">
        <f t="shared" si="3"/>
        <v>32.5</v>
      </c>
      <c r="AK51" s="50"/>
    </row>
    <row r="52" spans="1:41" x14ac:dyDescent="0.25">
      <c r="A52" s="54" t="s">
        <v>56</v>
      </c>
      <c r="B52" s="57">
        <v>61.5</v>
      </c>
      <c r="C52" s="57">
        <v>61.5</v>
      </c>
      <c r="D52" s="57">
        <v>61.5</v>
      </c>
      <c r="E52" s="57">
        <v>61.2</v>
      </c>
      <c r="F52" s="57">
        <v>61.5</v>
      </c>
      <c r="G52" s="57">
        <v>61.5</v>
      </c>
      <c r="H52" s="57">
        <v>61.2</v>
      </c>
      <c r="I52" s="57">
        <v>61.2</v>
      </c>
      <c r="J52" s="57">
        <v>61.2</v>
      </c>
      <c r="K52" s="57">
        <v>61.2</v>
      </c>
      <c r="L52" s="57">
        <v>61.2</v>
      </c>
      <c r="M52" s="57">
        <v>61.2</v>
      </c>
      <c r="N52" s="57">
        <v>61.2</v>
      </c>
      <c r="O52" s="57">
        <v>61.2</v>
      </c>
      <c r="P52" s="57">
        <v>61.2</v>
      </c>
      <c r="Q52" s="57">
        <v>61.2</v>
      </c>
      <c r="R52" s="45"/>
      <c r="S52" s="57">
        <v>61.2</v>
      </c>
      <c r="T52" s="57">
        <v>61.2</v>
      </c>
      <c r="U52" s="57">
        <v>61.2</v>
      </c>
      <c r="V52" s="65">
        <v>61.2</v>
      </c>
      <c r="W52" s="65">
        <v>61.2</v>
      </c>
      <c r="X52" s="65">
        <v>61.5</v>
      </c>
      <c r="Y52" s="65">
        <v>61.5</v>
      </c>
      <c r="Z52" s="65">
        <v>61.5</v>
      </c>
      <c r="AA52" s="65">
        <v>61.5</v>
      </c>
      <c r="AB52" s="57">
        <v>61.2</v>
      </c>
      <c r="AC52" s="57">
        <v>61</v>
      </c>
      <c r="AD52" s="57">
        <v>61.2</v>
      </c>
      <c r="AE52" s="57">
        <v>60</v>
      </c>
      <c r="AF52" s="57">
        <v>51.2</v>
      </c>
      <c r="AG52" s="55">
        <v>60</v>
      </c>
      <c r="AH52" s="48">
        <f t="shared" si="2"/>
        <v>61.5</v>
      </c>
      <c r="AI52" s="49">
        <f t="shared" si="3"/>
        <v>51.2</v>
      </c>
      <c r="AK52" s="50"/>
    </row>
    <row r="53" spans="1:41" x14ac:dyDescent="0.25">
      <c r="A53" s="54" t="s">
        <v>57</v>
      </c>
      <c r="B53" s="57">
        <v>13.4</v>
      </c>
      <c r="C53" s="57">
        <v>13.4</v>
      </c>
      <c r="D53" s="57">
        <v>13.4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15.1</v>
      </c>
      <c r="L53" s="57">
        <v>30</v>
      </c>
      <c r="M53" s="57">
        <v>30</v>
      </c>
      <c r="N53" s="57">
        <v>30</v>
      </c>
      <c r="O53" s="57">
        <v>30</v>
      </c>
      <c r="P53" s="57">
        <v>15</v>
      </c>
      <c r="Q53" s="57">
        <v>15</v>
      </c>
      <c r="R53" s="45"/>
      <c r="S53" s="57">
        <v>0</v>
      </c>
      <c r="T53" s="57">
        <v>0</v>
      </c>
      <c r="U53" s="57">
        <v>0</v>
      </c>
      <c r="V53" s="65">
        <v>13.6</v>
      </c>
      <c r="W53" s="65">
        <v>13.6</v>
      </c>
      <c r="X53" s="65">
        <v>30</v>
      </c>
      <c r="Y53" s="65">
        <v>30</v>
      </c>
      <c r="Z53" s="65">
        <v>25.9</v>
      </c>
      <c r="AA53" s="65">
        <v>25.9</v>
      </c>
      <c r="AB53" s="57">
        <v>25.4</v>
      </c>
      <c r="AC53" s="57">
        <v>25</v>
      </c>
      <c r="AD53" s="57">
        <v>13.1</v>
      </c>
      <c r="AE53" s="57">
        <v>13.1</v>
      </c>
      <c r="AF53" s="57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45"/>
      <c r="S54" s="65">
        <v>0</v>
      </c>
      <c r="T54" s="65">
        <v>0</v>
      </c>
      <c r="U54" s="6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</v>
      </c>
      <c r="C55" s="65">
        <v>17.3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17.3</v>
      </c>
      <c r="N55" s="65">
        <v>17.3</v>
      </c>
      <c r="O55" s="65">
        <v>17.3</v>
      </c>
      <c r="P55" s="65">
        <v>17.3</v>
      </c>
      <c r="Q55" s="65">
        <v>17.3</v>
      </c>
      <c r="R55" s="45"/>
      <c r="S55" s="65">
        <v>17.3</v>
      </c>
      <c r="T55" s="65">
        <v>17.3</v>
      </c>
      <c r="U55" s="65">
        <v>17.3</v>
      </c>
      <c r="V55" s="45">
        <v>17.3</v>
      </c>
      <c r="W55" s="45">
        <v>17.3</v>
      </c>
      <c r="X55" s="45">
        <v>17.3</v>
      </c>
      <c r="Y55" s="45">
        <v>17.3</v>
      </c>
      <c r="Z55" s="45">
        <v>17.3</v>
      </c>
      <c r="AA55" s="45">
        <v>17.3</v>
      </c>
      <c r="AB55" s="65">
        <v>17.3</v>
      </c>
      <c r="AC55" s="65">
        <v>17.3</v>
      </c>
      <c r="AD55" s="65">
        <v>17.3</v>
      </c>
      <c r="AE55" s="65">
        <v>17.3</v>
      </c>
      <c r="AF55" s="65">
        <v>17.399999999999999</v>
      </c>
      <c r="AG55" s="55">
        <v>24</v>
      </c>
      <c r="AH55" s="48">
        <f t="shared" si="2"/>
        <v>17.399999999999999</v>
      </c>
      <c r="AI55" s="49">
        <f t="shared" si="3"/>
        <v>17.3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/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14.7</v>
      </c>
      <c r="C57" s="65">
        <v>14.7</v>
      </c>
      <c r="D57" s="65">
        <v>14.7</v>
      </c>
      <c r="E57" s="65">
        <v>14.7</v>
      </c>
      <c r="F57" s="65">
        <v>14.7</v>
      </c>
      <c r="G57" s="65">
        <v>14.7</v>
      </c>
      <c r="H57" s="65">
        <v>14.7</v>
      </c>
      <c r="I57" s="65">
        <v>14.7</v>
      </c>
      <c r="J57" s="65">
        <v>14.7</v>
      </c>
      <c r="K57" s="65">
        <v>14.7</v>
      </c>
      <c r="L57" s="65">
        <v>14.7</v>
      </c>
      <c r="M57" s="65">
        <v>14.7</v>
      </c>
      <c r="N57" s="65">
        <v>14.7</v>
      </c>
      <c r="O57" s="65">
        <v>14.7</v>
      </c>
      <c r="P57" s="65">
        <v>14.7</v>
      </c>
      <c r="Q57" s="65">
        <v>14.7</v>
      </c>
      <c r="R57" s="65"/>
      <c r="S57" s="65">
        <v>14.7</v>
      </c>
      <c r="T57" s="65">
        <v>14.7</v>
      </c>
      <c r="U57" s="65">
        <v>14.7</v>
      </c>
      <c r="V57" s="65">
        <v>14.4</v>
      </c>
      <c r="W57" s="65">
        <v>14.4</v>
      </c>
      <c r="X57" s="65">
        <v>14.4</v>
      </c>
      <c r="Y57" s="65">
        <v>14.4</v>
      </c>
      <c r="Z57" s="65">
        <v>14.4</v>
      </c>
      <c r="AA57" s="65">
        <v>14.4</v>
      </c>
      <c r="AB57" s="65">
        <v>14.9</v>
      </c>
      <c r="AC57" s="65">
        <v>14.9</v>
      </c>
      <c r="AD57" s="65">
        <v>14.9</v>
      </c>
      <c r="AE57" s="65">
        <v>14.9</v>
      </c>
      <c r="AF57" s="65">
        <v>14.9</v>
      </c>
      <c r="AG57" s="55">
        <v>14.1</v>
      </c>
      <c r="AH57" s="48">
        <f t="shared" si="2"/>
        <v>14.9</v>
      </c>
      <c r="AI57" s="49">
        <f t="shared" si="3"/>
        <v>14.4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7.5</v>
      </c>
      <c r="C58" s="65">
        <v>7.5</v>
      </c>
      <c r="D58" s="65">
        <v>7.5</v>
      </c>
      <c r="E58" s="65">
        <v>7.5</v>
      </c>
      <c r="F58" s="65">
        <v>7.5</v>
      </c>
      <c r="G58" s="65">
        <v>7.5</v>
      </c>
      <c r="H58" s="65">
        <v>7.5</v>
      </c>
      <c r="I58" s="65">
        <v>7.5</v>
      </c>
      <c r="J58" s="65">
        <v>7.5</v>
      </c>
      <c r="K58" s="65">
        <v>7.5</v>
      </c>
      <c r="L58" s="65">
        <v>7.5</v>
      </c>
      <c r="M58" s="65">
        <v>7.5</v>
      </c>
      <c r="N58" s="65">
        <v>7.5</v>
      </c>
      <c r="O58" s="65">
        <v>7.5</v>
      </c>
      <c r="P58" s="65">
        <v>7.5</v>
      </c>
      <c r="Q58" s="65">
        <v>7.5</v>
      </c>
      <c r="R58" s="65"/>
      <c r="S58" s="65">
        <v>7.5</v>
      </c>
      <c r="T58" s="65">
        <v>7.5</v>
      </c>
      <c r="U58" s="65">
        <v>7.5</v>
      </c>
      <c r="V58" s="65">
        <v>7.3</v>
      </c>
      <c r="W58" s="65">
        <v>7.3</v>
      </c>
      <c r="X58" s="65">
        <v>7.3</v>
      </c>
      <c r="Y58" s="65">
        <v>7.3</v>
      </c>
      <c r="Z58" s="65">
        <v>7.3</v>
      </c>
      <c r="AA58" s="65">
        <v>7.3</v>
      </c>
      <c r="AB58" s="65">
        <v>7.5</v>
      </c>
      <c r="AC58" s="65">
        <v>7.5</v>
      </c>
      <c r="AD58" s="65">
        <v>7.5</v>
      </c>
      <c r="AE58" s="65">
        <v>7.5</v>
      </c>
      <c r="AF58" s="65">
        <v>7.5</v>
      </c>
      <c r="AG58" s="55">
        <v>14</v>
      </c>
      <c r="AH58" s="48">
        <f t="shared" si="2"/>
        <v>7.5</v>
      </c>
      <c r="AI58" s="49">
        <f t="shared" si="3"/>
        <v>7.3</v>
      </c>
      <c r="AK58" s="50"/>
    </row>
    <row r="59" spans="1:41" x14ac:dyDescent="0.25">
      <c r="A59" s="54" t="s">
        <v>63</v>
      </c>
      <c r="B59" s="65">
        <v>6.1</v>
      </c>
      <c r="C59" s="65">
        <v>6.1</v>
      </c>
      <c r="D59" s="65">
        <v>6.1</v>
      </c>
      <c r="E59" s="65">
        <v>6.1</v>
      </c>
      <c r="F59" s="65">
        <v>6.1</v>
      </c>
      <c r="G59" s="65">
        <v>6.1</v>
      </c>
      <c r="H59" s="65">
        <v>6.1</v>
      </c>
      <c r="I59" s="65">
        <v>6.1</v>
      </c>
      <c r="J59" s="65">
        <v>6.1</v>
      </c>
      <c r="K59" s="65">
        <v>6.1</v>
      </c>
      <c r="L59" s="65">
        <v>6.1</v>
      </c>
      <c r="M59" s="65">
        <v>6.1</v>
      </c>
      <c r="N59" s="65">
        <v>6.1</v>
      </c>
      <c r="O59" s="65">
        <v>6.1</v>
      </c>
      <c r="P59" s="65">
        <v>6.1</v>
      </c>
      <c r="Q59" s="65">
        <v>6.1</v>
      </c>
      <c r="R59" s="65"/>
      <c r="S59" s="65">
        <v>6.1</v>
      </c>
      <c r="T59" s="65">
        <v>6.1</v>
      </c>
      <c r="U59" s="65">
        <v>6.1</v>
      </c>
      <c r="V59" s="65">
        <v>6.1</v>
      </c>
      <c r="W59" s="65">
        <v>6.1</v>
      </c>
      <c r="X59" s="65">
        <v>6.1</v>
      </c>
      <c r="Y59" s="65">
        <v>6.1</v>
      </c>
      <c r="Z59" s="65">
        <v>6.1</v>
      </c>
      <c r="AA59" s="65">
        <v>6.1</v>
      </c>
      <c r="AB59" s="65">
        <v>6.1</v>
      </c>
      <c r="AC59" s="65">
        <v>6.1</v>
      </c>
      <c r="AD59" s="65">
        <v>6.1</v>
      </c>
      <c r="AE59" s="65">
        <v>6.1</v>
      </c>
      <c r="AF59" s="65">
        <v>6</v>
      </c>
      <c r="AG59" s="55">
        <v>10.050000000000001</v>
      </c>
      <c r="AH59" s="48">
        <f t="shared" si="2"/>
        <v>6.1</v>
      </c>
      <c r="AI59" s="49">
        <f t="shared" si="3"/>
        <v>6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/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8">SUM(B49:B61)</f>
        <v>195.73999999999998</v>
      </c>
      <c r="C62" s="61">
        <f t="shared" si="8"/>
        <v>195.73999999999998</v>
      </c>
      <c r="D62" s="61">
        <f t="shared" si="8"/>
        <v>184.14</v>
      </c>
      <c r="E62" s="61">
        <f t="shared" si="8"/>
        <v>196.54</v>
      </c>
      <c r="F62" s="61">
        <f t="shared" si="8"/>
        <v>226.53999999999996</v>
      </c>
      <c r="G62" s="61">
        <f t="shared" si="8"/>
        <v>239.54</v>
      </c>
      <c r="H62" s="61">
        <f t="shared" si="8"/>
        <v>330.74000000000007</v>
      </c>
      <c r="I62" s="61">
        <f t="shared" si="8"/>
        <v>358.6400000000001</v>
      </c>
      <c r="J62" s="61">
        <f t="shared" si="8"/>
        <v>370.64000000000004</v>
      </c>
      <c r="K62" s="61">
        <f t="shared" si="8"/>
        <v>385.74000000000007</v>
      </c>
      <c r="L62" s="61">
        <f t="shared" si="8"/>
        <v>428.64000000000004</v>
      </c>
      <c r="M62" s="61">
        <f t="shared" si="8"/>
        <v>428.64000000000004</v>
      </c>
      <c r="N62" s="61">
        <f t="shared" si="8"/>
        <v>421.94000000000005</v>
      </c>
      <c r="O62" s="61">
        <f t="shared" si="8"/>
        <v>403.14000000000004</v>
      </c>
      <c r="P62" s="61">
        <f t="shared" si="8"/>
        <v>353.44000000000005</v>
      </c>
      <c r="Q62" s="61">
        <f t="shared" si="8"/>
        <v>326.44000000000005</v>
      </c>
      <c r="R62" s="61">
        <f t="shared" si="8"/>
        <v>3.54</v>
      </c>
      <c r="S62" s="61">
        <f t="shared" si="8"/>
        <v>273.34000000000009</v>
      </c>
      <c r="T62" s="61">
        <f t="shared" si="8"/>
        <v>293.44000000000005</v>
      </c>
      <c r="U62" s="61">
        <f t="shared" si="8"/>
        <v>303.74000000000007</v>
      </c>
      <c r="V62" s="61">
        <f t="shared" si="8"/>
        <v>398.84000000000009</v>
      </c>
      <c r="W62" s="61">
        <f t="shared" si="8"/>
        <v>398.84000000000009</v>
      </c>
      <c r="X62" s="61">
        <v>427.64000000000004</v>
      </c>
      <c r="Y62" s="61">
        <f t="shared" si="8"/>
        <v>426.64000000000004</v>
      </c>
      <c r="Z62" s="61">
        <f t="shared" si="8"/>
        <v>421.94</v>
      </c>
      <c r="AA62" s="61">
        <f t="shared" si="8"/>
        <v>414.64000000000004</v>
      </c>
      <c r="AB62" s="61">
        <f t="shared" si="8"/>
        <v>403.64000000000004</v>
      </c>
      <c r="AC62" s="61">
        <f t="shared" si="8"/>
        <v>419.64000000000004</v>
      </c>
      <c r="AD62" s="61">
        <f t="shared" si="8"/>
        <v>410.74000000000007</v>
      </c>
      <c r="AE62" s="61">
        <f t="shared" si="8"/>
        <v>388.84000000000009</v>
      </c>
      <c r="AF62" s="61">
        <f t="shared" si="8"/>
        <v>297.33999999999997</v>
      </c>
      <c r="AG62" s="62">
        <f t="shared" si="8"/>
        <v>489.91</v>
      </c>
      <c r="AH62" s="48">
        <f t="shared" si="2"/>
        <v>428.64000000000004</v>
      </c>
      <c r="AI62" s="49">
        <f t="shared" si="3"/>
        <v>3.54</v>
      </c>
      <c r="AK62" s="50"/>
    </row>
    <row r="63" spans="1:41" x14ac:dyDescent="0.25">
      <c r="A63" s="44" t="s">
        <v>67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>
        <v>0</v>
      </c>
      <c r="N63" s="45">
        <v>0</v>
      </c>
      <c r="O63" s="45">
        <v>0</v>
      </c>
      <c r="P63" s="45"/>
      <c r="Q63" s="45"/>
      <c r="R63" s="45"/>
      <c r="S63" s="45">
        <v>0</v>
      </c>
      <c r="T63" s="45">
        <v>0</v>
      </c>
      <c r="U63" s="45"/>
      <c r="V63" s="45"/>
      <c r="W63" s="45">
        <v>0</v>
      </c>
      <c r="X63" s="45">
        <v>32</v>
      </c>
      <c r="Y63" s="45">
        <v>10.1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32</v>
      </c>
      <c r="AI63" s="49">
        <f t="shared" si="3"/>
        <v>0</v>
      </c>
      <c r="AK63" s="50"/>
    </row>
    <row r="64" spans="1:41" x14ac:dyDescent="0.25">
      <c r="A64" s="54" t="s">
        <v>68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>
        <v>0</v>
      </c>
      <c r="N64" s="65">
        <v>0</v>
      </c>
      <c r="O64" s="65">
        <v>0</v>
      </c>
      <c r="P64" s="65"/>
      <c r="Q64" s="65"/>
      <c r="R64" s="65"/>
      <c r="S64" s="65">
        <v>0</v>
      </c>
      <c r="T64" s="65">
        <v>0</v>
      </c>
      <c r="U64" s="65"/>
      <c r="V64" s="65"/>
      <c r="W64" s="65">
        <v>0</v>
      </c>
      <c r="X64" s="65">
        <v>25.4</v>
      </c>
      <c r="Y64" s="65">
        <v>4.8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25.4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>
        <v>0</v>
      </c>
      <c r="N65" s="67">
        <v>0</v>
      </c>
      <c r="O65" s="67">
        <v>0</v>
      </c>
      <c r="P65" s="67"/>
      <c r="Q65" s="67"/>
      <c r="R65" s="67"/>
      <c r="S65" s="67">
        <v>0</v>
      </c>
      <c r="T65" s="67">
        <v>0</v>
      </c>
      <c r="U65" s="67"/>
      <c r="V65" s="67"/>
      <c r="W65" s="67">
        <v>0</v>
      </c>
      <c r="X65" s="67">
        <v>9.3000000000000007</v>
      </c>
      <c r="Y65" s="67">
        <v>1.8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9.3000000000000007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9">SUM(B63:B65)</f>
        <v>0</v>
      </c>
      <c r="C66" s="61">
        <f t="shared" si="9"/>
        <v>0</v>
      </c>
      <c r="D66" s="61">
        <f t="shared" si="9"/>
        <v>0</v>
      </c>
      <c r="E66" s="61">
        <f t="shared" si="9"/>
        <v>0</v>
      </c>
      <c r="F66" s="61">
        <f t="shared" si="9"/>
        <v>0</v>
      </c>
      <c r="G66" s="61">
        <f t="shared" si="9"/>
        <v>0</v>
      </c>
      <c r="H66" s="61">
        <f t="shared" si="9"/>
        <v>0</v>
      </c>
      <c r="I66" s="61">
        <f t="shared" si="9"/>
        <v>0</v>
      </c>
      <c r="J66" s="61">
        <f t="shared" si="9"/>
        <v>0</v>
      </c>
      <c r="K66" s="61">
        <f t="shared" si="9"/>
        <v>0</v>
      </c>
      <c r="L66" s="61">
        <f t="shared" si="9"/>
        <v>0</v>
      </c>
      <c r="M66" s="61">
        <f t="shared" si="9"/>
        <v>0</v>
      </c>
      <c r="N66" s="61">
        <f t="shared" si="9"/>
        <v>0</v>
      </c>
      <c r="O66" s="61">
        <f t="shared" si="9"/>
        <v>0</v>
      </c>
      <c r="P66" s="61">
        <f t="shared" si="9"/>
        <v>0</v>
      </c>
      <c r="Q66" s="61">
        <f t="shared" si="9"/>
        <v>0</v>
      </c>
      <c r="R66" s="61">
        <f t="shared" si="9"/>
        <v>0</v>
      </c>
      <c r="S66" s="61">
        <f t="shared" si="9"/>
        <v>0</v>
      </c>
      <c r="T66" s="61">
        <f t="shared" si="9"/>
        <v>0</v>
      </c>
      <c r="U66" s="61">
        <f t="shared" si="9"/>
        <v>0</v>
      </c>
      <c r="V66" s="61">
        <f t="shared" si="9"/>
        <v>0</v>
      </c>
      <c r="W66" s="61">
        <f t="shared" si="9"/>
        <v>0</v>
      </c>
      <c r="X66" s="61">
        <v>66.7</v>
      </c>
      <c r="Y66" s="61">
        <f t="shared" si="9"/>
        <v>16.7</v>
      </c>
      <c r="Z66" s="61">
        <f t="shared" si="9"/>
        <v>0</v>
      </c>
      <c r="AA66" s="61">
        <f t="shared" si="9"/>
        <v>0</v>
      </c>
      <c r="AB66" s="61">
        <f t="shared" si="9"/>
        <v>0</v>
      </c>
      <c r="AC66" s="61">
        <f t="shared" si="9"/>
        <v>0</v>
      </c>
      <c r="AD66" s="61">
        <f t="shared" si="9"/>
        <v>0</v>
      </c>
      <c r="AE66" s="61">
        <f t="shared" si="9"/>
        <v>0</v>
      </c>
      <c r="AF66" s="61">
        <f t="shared" si="9"/>
        <v>0</v>
      </c>
      <c r="AG66" s="62">
        <f t="shared" si="9"/>
        <v>106</v>
      </c>
      <c r="AH66" s="48">
        <f t="shared" si="2"/>
        <v>66.7</v>
      </c>
      <c r="AI66" s="49">
        <f t="shared" si="3"/>
        <v>0</v>
      </c>
      <c r="AK66" s="50"/>
    </row>
    <row r="67" spans="1:37" x14ac:dyDescent="0.25">
      <c r="A67" s="44" t="s">
        <v>71</v>
      </c>
      <c r="B67" s="45"/>
      <c r="C67" s="45"/>
      <c r="D67" s="262" t="s">
        <v>278</v>
      </c>
      <c r="E67" s="263"/>
      <c r="F67" s="45">
        <v>12.1</v>
      </c>
      <c r="G67" s="45">
        <v>14.7</v>
      </c>
      <c r="H67" s="45">
        <v>19.3</v>
      </c>
      <c r="I67" s="45">
        <v>17.399999999999999</v>
      </c>
      <c r="J67" s="45">
        <v>29.7</v>
      </c>
      <c r="K67" s="45">
        <v>41.7</v>
      </c>
      <c r="L67" s="45">
        <v>44.2</v>
      </c>
      <c r="M67" s="45">
        <v>49</v>
      </c>
      <c r="N67" s="45">
        <v>46.3</v>
      </c>
      <c r="O67" s="45">
        <v>48.6</v>
      </c>
      <c r="P67" s="45">
        <v>32</v>
      </c>
      <c r="Q67" s="45">
        <v>18.7</v>
      </c>
      <c r="R67" s="45"/>
      <c r="S67" s="45">
        <v>18.100000000000001</v>
      </c>
      <c r="T67" s="45">
        <v>18.2</v>
      </c>
      <c r="U67" s="45">
        <v>18</v>
      </c>
      <c r="V67" s="45">
        <v>37</v>
      </c>
      <c r="W67" s="45">
        <v>37.4</v>
      </c>
      <c r="X67" s="45">
        <v>50.3</v>
      </c>
      <c r="Y67" s="45">
        <v>44.1</v>
      </c>
      <c r="Z67" s="45">
        <v>41.6</v>
      </c>
      <c r="AA67" s="45">
        <v>38</v>
      </c>
      <c r="AB67" s="45">
        <v>41</v>
      </c>
      <c r="AC67" s="45">
        <v>42</v>
      </c>
      <c r="AD67" s="45">
        <v>14.6</v>
      </c>
      <c r="AE67" s="45">
        <v>0</v>
      </c>
      <c r="AF67" s="45">
        <v>0</v>
      </c>
      <c r="AG67" s="52"/>
      <c r="AH67" s="48">
        <f t="shared" si="2"/>
        <v>50.3</v>
      </c>
      <c r="AI67" s="49">
        <f t="shared" si="3"/>
        <v>0</v>
      </c>
      <c r="AK67" s="50"/>
    </row>
    <row r="68" spans="1:37" x14ac:dyDescent="0.25">
      <c r="A68" s="54" t="s">
        <v>72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>
        <v>0</v>
      </c>
      <c r="O68" s="65"/>
      <c r="P68" s="65"/>
      <c r="Q68" s="65"/>
      <c r="R68" s="65"/>
      <c r="S68" s="65"/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54.2</v>
      </c>
      <c r="C69" s="65">
        <v>25</v>
      </c>
      <c r="D69" s="65">
        <v>38</v>
      </c>
      <c r="E69" s="65">
        <v>37.200000000000003</v>
      </c>
      <c r="F69" s="65">
        <v>32</v>
      </c>
      <c r="G69" s="65">
        <v>39.200000000000003</v>
      </c>
      <c r="H69" s="65">
        <v>31.4</v>
      </c>
      <c r="I69" s="65">
        <v>42.54</v>
      </c>
      <c r="J69" s="65">
        <v>-50</v>
      </c>
      <c r="K69" s="65">
        <v>-75</v>
      </c>
      <c r="L69" s="65">
        <v>-114</v>
      </c>
      <c r="M69" s="65">
        <v>-121</v>
      </c>
      <c r="N69" s="65">
        <v>-143</v>
      </c>
      <c r="O69" s="65">
        <v>0</v>
      </c>
      <c r="P69" s="65">
        <v>147</v>
      </c>
      <c r="Q69" s="65">
        <v>144</v>
      </c>
      <c r="R69" s="65"/>
      <c r="S69" s="65">
        <v>144.5</v>
      </c>
      <c r="T69" s="65">
        <v>145</v>
      </c>
      <c r="U69" s="65">
        <v>-150</v>
      </c>
      <c r="V69" s="65">
        <v>-150</v>
      </c>
      <c r="W69" s="65">
        <v>-90</v>
      </c>
      <c r="X69" s="65">
        <v>-175</v>
      </c>
      <c r="Y69" s="65">
        <v>-184</v>
      </c>
      <c r="Z69" s="65">
        <v>-176</v>
      </c>
      <c r="AA69" s="65">
        <v>-170</v>
      </c>
      <c r="AB69" s="65">
        <v>-172</v>
      </c>
      <c r="AC69" s="65">
        <v>-152</v>
      </c>
      <c r="AD69" s="65">
        <v>12</v>
      </c>
      <c r="AE69" s="65">
        <v>6</v>
      </c>
      <c r="AF69" s="65">
        <v>52</v>
      </c>
      <c r="AG69" s="75"/>
      <c r="AH69" s="48">
        <f t="shared" si="2"/>
        <v>147</v>
      </c>
      <c r="AI69" s="49">
        <f t="shared" si="3"/>
        <v>-184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>
        <v>0</v>
      </c>
      <c r="Y72" s="77">
        <v>0</v>
      </c>
      <c r="Z72" s="45">
        <v>0</v>
      </c>
      <c r="AA72" s="45">
        <v>0</v>
      </c>
      <c r="AB72" s="45">
        <v>0</v>
      </c>
      <c r="AC72" s="45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>
        <v>0</v>
      </c>
      <c r="Y73" s="77">
        <v>0</v>
      </c>
      <c r="Z73" s="45">
        <v>0</v>
      </c>
      <c r="AA73" s="45">
        <v>0</v>
      </c>
      <c r="AB73" s="45">
        <v>0</v>
      </c>
      <c r="AC73" s="45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>
        <v>0</v>
      </c>
      <c r="Y74" s="76">
        <v>0</v>
      </c>
      <c r="Z74" s="45">
        <v>0</v>
      </c>
      <c r="AA74" s="45">
        <v>0</v>
      </c>
      <c r="AB74" s="45">
        <v>0</v>
      </c>
      <c r="AC74" s="45">
        <v>0</v>
      </c>
      <c r="AD74" s="76">
        <v>0</v>
      </c>
      <c r="AE74" s="76">
        <v>0</v>
      </c>
      <c r="AF74" s="76"/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>
        <v>0</v>
      </c>
      <c r="Y75" s="76">
        <v>0</v>
      </c>
      <c r="Z75" s="45">
        <v>0</v>
      </c>
      <c r="AA75" s="45">
        <v>0</v>
      </c>
      <c r="AB75" s="45">
        <v>0</v>
      </c>
      <c r="AC75" s="45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>
        <v>0</v>
      </c>
      <c r="Y76" s="79">
        <v>0</v>
      </c>
      <c r="Z76" s="45">
        <v>0</v>
      </c>
      <c r="AA76" s="45">
        <v>0</v>
      </c>
      <c r="AB76" s="45">
        <v>0</v>
      </c>
      <c r="AC76" s="45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>
        <v>0</v>
      </c>
      <c r="Y77" s="79">
        <v>0</v>
      </c>
      <c r="Z77" s="45">
        <v>0</v>
      </c>
      <c r="AA77" s="45">
        <v>0</v>
      </c>
      <c r="AB77" s="45">
        <v>0</v>
      </c>
      <c r="AC77" s="45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10">SUMIF(B67:B77,"&gt;0")</f>
        <v>54.2</v>
      </c>
      <c r="C78" s="61">
        <f t="shared" si="10"/>
        <v>25</v>
      </c>
      <c r="D78" s="61">
        <f>SUMIF(D67:D77,"&gt;0")</f>
        <v>38</v>
      </c>
      <c r="E78" s="61">
        <f t="shared" si="10"/>
        <v>37.200000000000003</v>
      </c>
      <c r="F78" s="61">
        <f t="shared" si="10"/>
        <v>44.1</v>
      </c>
      <c r="G78" s="61">
        <f t="shared" si="10"/>
        <v>53.900000000000006</v>
      </c>
      <c r="H78" s="61">
        <f t="shared" si="10"/>
        <v>50.7</v>
      </c>
      <c r="I78" s="61">
        <f t="shared" si="10"/>
        <v>59.94</v>
      </c>
      <c r="J78" s="61">
        <f t="shared" si="10"/>
        <v>29.7</v>
      </c>
      <c r="K78" s="61">
        <f t="shared" si="10"/>
        <v>41.7</v>
      </c>
      <c r="L78" s="61">
        <f t="shared" si="10"/>
        <v>44.2</v>
      </c>
      <c r="M78" s="61">
        <f t="shared" si="10"/>
        <v>49</v>
      </c>
      <c r="N78" s="61">
        <f t="shared" si="10"/>
        <v>46.3</v>
      </c>
      <c r="O78" s="61">
        <f t="shared" si="10"/>
        <v>48.6</v>
      </c>
      <c r="P78" s="61">
        <f t="shared" si="10"/>
        <v>179</v>
      </c>
      <c r="Q78" s="61">
        <f t="shared" si="10"/>
        <v>162.69999999999999</v>
      </c>
      <c r="R78" s="61">
        <f t="shared" si="10"/>
        <v>0</v>
      </c>
      <c r="S78" s="61">
        <f t="shared" si="10"/>
        <v>162.6</v>
      </c>
      <c r="T78" s="61">
        <f t="shared" si="10"/>
        <v>163.19999999999999</v>
      </c>
      <c r="U78" s="61">
        <f t="shared" si="10"/>
        <v>18</v>
      </c>
      <c r="V78" s="61">
        <f t="shared" si="10"/>
        <v>37</v>
      </c>
      <c r="W78" s="61">
        <f t="shared" si="10"/>
        <v>37.4</v>
      </c>
      <c r="X78" s="61">
        <v>50.3</v>
      </c>
      <c r="Y78" s="61">
        <f t="shared" si="10"/>
        <v>44.1</v>
      </c>
      <c r="Z78" s="61">
        <f t="shared" si="10"/>
        <v>41.6</v>
      </c>
      <c r="AA78" s="61">
        <f t="shared" si="10"/>
        <v>38</v>
      </c>
      <c r="AB78" s="61">
        <f t="shared" si="10"/>
        <v>41</v>
      </c>
      <c r="AC78" s="61">
        <f t="shared" si="10"/>
        <v>42</v>
      </c>
      <c r="AD78" s="61">
        <f t="shared" si="10"/>
        <v>26.6</v>
      </c>
      <c r="AE78" s="61">
        <f t="shared" si="10"/>
        <v>6</v>
      </c>
      <c r="AF78" s="61">
        <f t="shared" si="10"/>
        <v>52</v>
      </c>
      <c r="AG78" s="81">
        <f>SUM(AG67:AG77)</f>
        <v>0</v>
      </c>
      <c r="AH78" s="48">
        <f t="shared" si="2"/>
        <v>179</v>
      </c>
      <c r="AI78" s="49">
        <f t="shared" si="3"/>
        <v>0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>
        <v>0</v>
      </c>
      <c r="Y79" s="76">
        <v>0</v>
      </c>
      <c r="Z79" s="76">
        <v>0</v>
      </c>
      <c r="AA79" s="76"/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>
        <v>0</v>
      </c>
      <c r="Y80" s="77">
        <v>0</v>
      </c>
      <c r="Z80" s="77">
        <v>0</v>
      </c>
      <c r="AA80" s="77"/>
      <c r="AB80" s="77"/>
      <c r="AC80" s="77"/>
      <c r="AD80" s="77"/>
      <c r="AE80" s="77"/>
      <c r="AF80" s="77"/>
      <c r="AG80" s="75">
        <v>14.4</v>
      </c>
      <c r="AH80" s="48">
        <f t="shared" ref="AH80:AH113" si="11">MAX(B80:AF80)</f>
        <v>0</v>
      </c>
      <c r="AI80" s="49">
        <f t="shared" ref="AI80:AI113" si="12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>
        <v>0</v>
      </c>
      <c r="Y81" s="79">
        <v>0</v>
      </c>
      <c r="Z81" s="79">
        <v>0</v>
      </c>
      <c r="AA81" s="79"/>
      <c r="AB81" s="79"/>
      <c r="AC81" s="79"/>
      <c r="AD81" s="79"/>
      <c r="AE81" s="79"/>
      <c r="AF81" s="79"/>
      <c r="AG81" s="80">
        <v>2</v>
      </c>
      <c r="AH81" s="48">
        <f t="shared" si="11"/>
        <v>0</v>
      </c>
      <c r="AI81" s="49">
        <f t="shared" si="12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1"/>
        <v>0</v>
      </c>
      <c r="AI82" s="49">
        <f t="shared" si="12"/>
        <v>0</v>
      </c>
    </row>
    <row r="83" spans="1:37" ht="15.75" thickBot="1" x14ac:dyDescent="0.3">
      <c r="A83" s="74" t="s">
        <v>87</v>
      </c>
      <c r="B83" s="83">
        <f t="shared" ref="B83:AG83" si="13">B44+B48+B66+B62+B78+B82</f>
        <v>962.94</v>
      </c>
      <c r="C83" s="83">
        <f t="shared" si="13"/>
        <v>943.74</v>
      </c>
      <c r="D83" s="83">
        <f t="shared" si="13"/>
        <v>930.14</v>
      </c>
      <c r="E83" s="83">
        <f t="shared" si="13"/>
        <v>939.44</v>
      </c>
      <c r="F83" s="83">
        <f t="shared" si="13"/>
        <v>976.34</v>
      </c>
      <c r="G83" s="83">
        <f t="shared" si="13"/>
        <v>999.14</v>
      </c>
      <c r="H83" s="83">
        <f t="shared" si="13"/>
        <v>1087.1400000000001</v>
      </c>
      <c r="I83" s="83">
        <f t="shared" si="13"/>
        <v>1141.2800000000002</v>
      </c>
      <c r="J83" s="83">
        <f t="shared" si="13"/>
        <v>1292.44</v>
      </c>
      <c r="K83" s="83">
        <f t="shared" si="13"/>
        <v>1339.5400000000002</v>
      </c>
      <c r="L83" s="83">
        <f t="shared" si="13"/>
        <v>1524.94</v>
      </c>
      <c r="M83" s="83">
        <f t="shared" si="13"/>
        <v>1549.5400000000002</v>
      </c>
      <c r="N83" s="83">
        <f t="shared" si="13"/>
        <v>1547.94</v>
      </c>
      <c r="O83" s="83">
        <f t="shared" si="13"/>
        <v>1361.44</v>
      </c>
      <c r="P83" s="83">
        <f t="shared" si="13"/>
        <v>1252.1400000000001</v>
      </c>
      <c r="Q83" s="83">
        <f t="shared" si="13"/>
        <v>1183.8400000000001</v>
      </c>
      <c r="R83" s="83">
        <f t="shared" si="13"/>
        <v>616.04</v>
      </c>
      <c r="S83" s="83">
        <f t="shared" si="13"/>
        <v>1144.24</v>
      </c>
      <c r="T83" s="83">
        <f t="shared" si="13"/>
        <v>1151.24</v>
      </c>
      <c r="U83" s="83">
        <f t="shared" si="13"/>
        <v>1016.3400000000001</v>
      </c>
      <c r="V83" s="83">
        <f t="shared" si="13"/>
        <v>1279.8400000000001</v>
      </c>
      <c r="W83" s="83">
        <f t="shared" si="13"/>
        <v>1500.2400000000002</v>
      </c>
      <c r="X83" s="83">
        <v>1684.64</v>
      </c>
      <c r="Y83" s="83">
        <f t="shared" si="13"/>
        <v>1627.14</v>
      </c>
      <c r="Z83" s="83">
        <f t="shared" si="13"/>
        <v>1527.24</v>
      </c>
      <c r="AA83" s="83">
        <f t="shared" si="13"/>
        <v>1456.3400000000001</v>
      </c>
      <c r="AB83" s="83">
        <f t="shared" si="13"/>
        <v>1388.24</v>
      </c>
      <c r="AC83" s="83">
        <f t="shared" si="13"/>
        <v>1336.04</v>
      </c>
      <c r="AD83" s="83">
        <f t="shared" si="13"/>
        <v>1296.8399999999999</v>
      </c>
      <c r="AE83" s="83">
        <f t="shared" si="13"/>
        <v>1112.6400000000001</v>
      </c>
      <c r="AF83" s="83">
        <f t="shared" si="13"/>
        <v>980.54</v>
      </c>
      <c r="AG83" s="62">
        <f t="shared" si="13"/>
        <v>2004.1900000000003</v>
      </c>
      <c r="AH83" s="48">
        <f t="shared" si="11"/>
        <v>1684.64</v>
      </c>
      <c r="AI83" s="49">
        <f t="shared" si="12"/>
        <v>616.04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1"/>
        <v>0</v>
      </c>
      <c r="AI84" s="49">
        <f t="shared" si="12"/>
        <v>0</v>
      </c>
    </row>
    <row r="85" spans="1:37" ht="15.75" thickBot="1" x14ac:dyDescent="0.3">
      <c r="A85" s="74" t="s">
        <v>89</v>
      </c>
      <c r="B85" s="83">
        <f t="shared" ref="B85:AF85" si="14">B83+B84</f>
        <v>962.94</v>
      </c>
      <c r="C85" s="83">
        <f t="shared" si="14"/>
        <v>943.74</v>
      </c>
      <c r="D85" s="83">
        <f t="shared" si="14"/>
        <v>930.14</v>
      </c>
      <c r="E85" s="83">
        <f t="shared" si="14"/>
        <v>939.44</v>
      </c>
      <c r="F85" s="83">
        <f t="shared" si="14"/>
        <v>976.34</v>
      </c>
      <c r="G85" s="83">
        <f t="shared" si="14"/>
        <v>999.14</v>
      </c>
      <c r="H85" s="83">
        <f t="shared" si="14"/>
        <v>1087.1400000000001</v>
      </c>
      <c r="I85" s="83">
        <f t="shared" si="14"/>
        <v>1141.2800000000002</v>
      </c>
      <c r="J85" s="83">
        <f t="shared" si="14"/>
        <v>1292.44</v>
      </c>
      <c r="K85" s="83">
        <f t="shared" si="14"/>
        <v>1339.5400000000002</v>
      </c>
      <c r="L85" s="83">
        <f t="shared" si="14"/>
        <v>1524.94</v>
      </c>
      <c r="M85" s="83">
        <f t="shared" si="14"/>
        <v>1549.5400000000002</v>
      </c>
      <c r="N85" s="83">
        <f t="shared" si="14"/>
        <v>1547.94</v>
      </c>
      <c r="O85" s="83">
        <f t="shared" si="14"/>
        <v>1361.44</v>
      </c>
      <c r="P85" s="83">
        <f t="shared" si="14"/>
        <v>1252.1400000000001</v>
      </c>
      <c r="Q85" s="83">
        <f t="shared" si="14"/>
        <v>1183.8400000000001</v>
      </c>
      <c r="R85" s="83">
        <f t="shared" si="14"/>
        <v>616.04</v>
      </c>
      <c r="S85" s="83">
        <f t="shared" si="14"/>
        <v>1144.24</v>
      </c>
      <c r="T85" s="83">
        <f t="shared" si="14"/>
        <v>1151.24</v>
      </c>
      <c r="U85" s="83">
        <f t="shared" si="14"/>
        <v>1016.3400000000001</v>
      </c>
      <c r="V85" s="83">
        <f t="shared" si="14"/>
        <v>1279.8400000000001</v>
      </c>
      <c r="W85" s="83">
        <f t="shared" si="14"/>
        <v>1500.2400000000002</v>
      </c>
      <c r="X85" s="83">
        <v>1684.64</v>
      </c>
      <c r="Y85" s="83">
        <f t="shared" si="14"/>
        <v>1627.14</v>
      </c>
      <c r="Z85" s="83">
        <f t="shared" si="14"/>
        <v>1527.24</v>
      </c>
      <c r="AA85" s="83">
        <f t="shared" si="14"/>
        <v>1456.3400000000001</v>
      </c>
      <c r="AB85" s="83">
        <f t="shared" si="14"/>
        <v>1388.24</v>
      </c>
      <c r="AC85" s="83">
        <f t="shared" si="14"/>
        <v>1336.04</v>
      </c>
      <c r="AD85" s="83">
        <f t="shared" si="14"/>
        <v>1296.8399999999999</v>
      </c>
      <c r="AE85" s="83">
        <f t="shared" si="14"/>
        <v>1112.6400000000001</v>
      </c>
      <c r="AF85" s="83">
        <f t="shared" si="14"/>
        <v>980.54</v>
      </c>
      <c r="AG85" s="81">
        <f>AG82+AG78+AG66+AG62+AG44+AG84</f>
        <v>1466.0900000000001</v>
      </c>
      <c r="AH85" s="48">
        <f t="shared" si="11"/>
        <v>1684.64</v>
      </c>
      <c r="AI85" s="49">
        <f t="shared" si="12"/>
        <v>616.04</v>
      </c>
    </row>
    <row r="86" spans="1:37" ht="15.75" thickBot="1" x14ac:dyDescent="0.3">
      <c r="A86" s="74" t="s">
        <v>90</v>
      </c>
      <c r="B86" s="83">
        <f t="shared" ref="B86:AF86" si="15">B85-B93</f>
        <v>962.94</v>
      </c>
      <c r="C86" s="83">
        <f t="shared" si="15"/>
        <v>943.74</v>
      </c>
      <c r="D86" s="83" t="e">
        <f t="shared" si="15"/>
        <v>#REF!</v>
      </c>
      <c r="E86" s="83">
        <f t="shared" si="15"/>
        <v>939.44</v>
      </c>
      <c r="F86" s="83">
        <f t="shared" si="15"/>
        <v>976.34</v>
      </c>
      <c r="G86" s="83">
        <f t="shared" si="15"/>
        <v>999.14</v>
      </c>
      <c r="H86" s="83">
        <f t="shared" si="15"/>
        <v>1087.1400000000001</v>
      </c>
      <c r="I86" s="83">
        <f t="shared" si="15"/>
        <v>1141.2800000000002</v>
      </c>
      <c r="J86" s="83">
        <f t="shared" si="15"/>
        <v>1242.44</v>
      </c>
      <c r="K86" s="83">
        <f t="shared" si="15"/>
        <v>1264.5400000000002</v>
      </c>
      <c r="L86" s="83">
        <f t="shared" si="15"/>
        <v>1410.94</v>
      </c>
      <c r="M86" s="83">
        <f t="shared" si="15"/>
        <v>1428.5400000000002</v>
      </c>
      <c r="N86" s="83">
        <f t="shared" si="15"/>
        <v>1404.94</v>
      </c>
      <c r="O86" s="83">
        <f t="shared" si="15"/>
        <v>1361.44</v>
      </c>
      <c r="P86" s="83">
        <f t="shared" si="15"/>
        <v>1252.1400000000001</v>
      </c>
      <c r="Q86" s="83">
        <f t="shared" si="15"/>
        <v>1183.8400000000001</v>
      </c>
      <c r="R86" s="83">
        <f t="shared" si="15"/>
        <v>616.04</v>
      </c>
      <c r="S86" s="83">
        <f t="shared" si="15"/>
        <v>1144.24</v>
      </c>
      <c r="T86" s="83">
        <f t="shared" si="15"/>
        <v>1151.24</v>
      </c>
      <c r="U86" s="83">
        <f t="shared" si="15"/>
        <v>866.34000000000015</v>
      </c>
      <c r="V86" s="83">
        <f t="shared" si="15"/>
        <v>1129.8400000000001</v>
      </c>
      <c r="W86" s="83">
        <f t="shared" si="15"/>
        <v>1410.2400000000002</v>
      </c>
      <c r="X86" s="83">
        <v>1509.64</v>
      </c>
      <c r="Y86" s="83">
        <f t="shared" si="15"/>
        <v>1443.14</v>
      </c>
      <c r="Z86" s="83">
        <f t="shared" si="15"/>
        <v>1351.24</v>
      </c>
      <c r="AA86" s="83">
        <f t="shared" si="15"/>
        <v>1286.3400000000001</v>
      </c>
      <c r="AB86" s="83">
        <f t="shared" si="15"/>
        <v>1216.24</v>
      </c>
      <c r="AC86" s="83">
        <f t="shared" si="15"/>
        <v>1184.04</v>
      </c>
      <c r="AD86" s="83">
        <f t="shared" si="15"/>
        <v>1296.8399999999999</v>
      </c>
      <c r="AE86" s="83">
        <f t="shared" si="15"/>
        <v>1112.6400000000001</v>
      </c>
      <c r="AF86" s="83">
        <f t="shared" si="15"/>
        <v>980.54</v>
      </c>
      <c r="AG86" s="81"/>
      <c r="AH86" s="48" t="e">
        <f t="shared" si="11"/>
        <v>#REF!</v>
      </c>
      <c r="AI86" s="49" t="e">
        <f t="shared" si="12"/>
        <v>#REF!</v>
      </c>
    </row>
    <row r="87" spans="1:37" x14ac:dyDescent="0.25">
      <c r="A87" s="44" t="s">
        <v>74</v>
      </c>
      <c r="B87" s="76">
        <f t="shared" ref="B87:AF87" si="16">IF(B70&lt;0,B70*-1,0)</f>
        <v>0</v>
      </c>
      <c r="C87" s="76">
        <f t="shared" si="16"/>
        <v>0</v>
      </c>
      <c r="D87" s="76">
        <f t="shared" si="16"/>
        <v>0</v>
      </c>
      <c r="E87" s="76">
        <f t="shared" si="16"/>
        <v>0</v>
      </c>
      <c r="F87" s="76">
        <f t="shared" si="16"/>
        <v>0</v>
      </c>
      <c r="G87" s="76">
        <f t="shared" si="16"/>
        <v>0</v>
      </c>
      <c r="H87" s="76">
        <f t="shared" si="16"/>
        <v>0</v>
      </c>
      <c r="I87" s="76">
        <f t="shared" si="16"/>
        <v>0</v>
      </c>
      <c r="J87" s="76">
        <f t="shared" si="16"/>
        <v>0</v>
      </c>
      <c r="K87" s="76">
        <f t="shared" si="16"/>
        <v>0</v>
      </c>
      <c r="L87" s="76">
        <f t="shared" si="16"/>
        <v>0</v>
      </c>
      <c r="M87" s="76">
        <f t="shared" si="16"/>
        <v>0</v>
      </c>
      <c r="N87" s="76">
        <f t="shared" si="16"/>
        <v>0</v>
      </c>
      <c r="O87" s="76">
        <f t="shared" si="16"/>
        <v>0</v>
      </c>
      <c r="P87" s="76">
        <f t="shared" si="16"/>
        <v>0</v>
      </c>
      <c r="Q87" s="76">
        <f t="shared" si="16"/>
        <v>0</v>
      </c>
      <c r="R87" s="76">
        <f t="shared" si="16"/>
        <v>0</v>
      </c>
      <c r="S87" s="76">
        <f t="shared" si="16"/>
        <v>0</v>
      </c>
      <c r="T87" s="76">
        <f t="shared" si="16"/>
        <v>0</v>
      </c>
      <c r="U87" s="76">
        <f t="shared" si="16"/>
        <v>0</v>
      </c>
      <c r="V87" s="76">
        <f t="shared" si="16"/>
        <v>0</v>
      </c>
      <c r="W87" s="76">
        <f t="shared" si="16"/>
        <v>0</v>
      </c>
      <c r="X87" s="76">
        <v>0</v>
      </c>
      <c r="Y87" s="76">
        <f t="shared" si="16"/>
        <v>0</v>
      </c>
      <c r="Z87" s="76">
        <f t="shared" si="16"/>
        <v>0</v>
      </c>
      <c r="AA87" s="76">
        <f t="shared" si="16"/>
        <v>0</v>
      </c>
      <c r="AB87" s="76">
        <f t="shared" si="16"/>
        <v>0</v>
      </c>
      <c r="AC87" s="76">
        <f t="shared" si="16"/>
        <v>0</v>
      </c>
      <c r="AD87" s="76">
        <f t="shared" si="16"/>
        <v>0</v>
      </c>
      <c r="AE87" s="76">
        <f t="shared" si="16"/>
        <v>0</v>
      </c>
      <c r="AF87" s="76">
        <f t="shared" si="16"/>
        <v>0</v>
      </c>
      <c r="AG87" s="52"/>
      <c r="AH87" s="48">
        <f t="shared" si="11"/>
        <v>0</v>
      </c>
      <c r="AI87" s="49">
        <f t="shared" si="12"/>
        <v>0</v>
      </c>
    </row>
    <row r="88" spans="1:37" x14ac:dyDescent="0.25">
      <c r="A88" s="54" t="s">
        <v>72</v>
      </c>
      <c r="B88" s="76">
        <f t="shared" ref="B88:AF88" si="17">IF(B68&lt;0,B68*-1,0)</f>
        <v>0</v>
      </c>
      <c r="C88" s="76">
        <f t="shared" si="17"/>
        <v>0</v>
      </c>
      <c r="D88" s="76">
        <f t="shared" si="17"/>
        <v>0</v>
      </c>
      <c r="E88" s="76">
        <f t="shared" si="17"/>
        <v>0</v>
      </c>
      <c r="F88" s="76">
        <f t="shared" si="17"/>
        <v>0</v>
      </c>
      <c r="G88" s="76">
        <f t="shared" si="17"/>
        <v>0</v>
      </c>
      <c r="H88" s="76">
        <f t="shared" si="17"/>
        <v>0</v>
      </c>
      <c r="I88" s="76">
        <f t="shared" si="17"/>
        <v>0</v>
      </c>
      <c r="J88" s="76">
        <f t="shared" si="17"/>
        <v>0</v>
      </c>
      <c r="K88" s="76">
        <f t="shared" si="17"/>
        <v>0</v>
      </c>
      <c r="L88" s="76">
        <f t="shared" si="17"/>
        <v>0</v>
      </c>
      <c r="M88" s="76">
        <f t="shared" si="17"/>
        <v>0</v>
      </c>
      <c r="N88" s="76">
        <f t="shared" si="17"/>
        <v>0</v>
      </c>
      <c r="O88" s="76">
        <f t="shared" si="17"/>
        <v>0</v>
      </c>
      <c r="P88" s="76">
        <f t="shared" si="17"/>
        <v>0</v>
      </c>
      <c r="Q88" s="76">
        <f t="shared" si="17"/>
        <v>0</v>
      </c>
      <c r="R88" s="76">
        <f t="shared" si="17"/>
        <v>0</v>
      </c>
      <c r="S88" s="76">
        <f t="shared" si="17"/>
        <v>0</v>
      </c>
      <c r="T88" s="76">
        <f t="shared" si="17"/>
        <v>0</v>
      </c>
      <c r="U88" s="76">
        <f t="shared" si="17"/>
        <v>0</v>
      </c>
      <c r="V88" s="76">
        <f t="shared" si="17"/>
        <v>0</v>
      </c>
      <c r="W88" s="76">
        <f t="shared" si="17"/>
        <v>0</v>
      </c>
      <c r="X88" s="76">
        <v>0</v>
      </c>
      <c r="Y88" s="76">
        <f t="shared" si="17"/>
        <v>0</v>
      </c>
      <c r="Z88" s="76">
        <f t="shared" si="17"/>
        <v>0</v>
      </c>
      <c r="AA88" s="76">
        <f t="shared" si="17"/>
        <v>0</v>
      </c>
      <c r="AB88" s="76">
        <f t="shared" si="17"/>
        <v>0</v>
      </c>
      <c r="AC88" s="76">
        <f t="shared" si="17"/>
        <v>0</v>
      </c>
      <c r="AD88" s="76">
        <f t="shared" si="17"/>
        <v>0</v>
      </c>
      <c r="AE88" s="76">
        <f t="shared" si="17"/>
        <v>0</v>
      </c>
      <c r="AF88" s="76">
        <f t="shared" si="17"/>
        <v>0</v>
      </c>
      <c r="AG88" s="55"/>
      <c r="AH88" s="48">
        <f t="shared" si="11"/>
        <v>0</v>
      </c>
      <c r="AI88" s="49">
        <f t="shared" si="12"/>
        <v>0</v>
      </c>
    </row>
    <row r="89" spans="1:37" x14ac:dyDescent="0.25">
      <c r="A89" s="78" t="s">
        <v>91</v>
      </c>
      <c r="B89" s="76">
        <f t="shared" ref="B89:AF89" si="18">IF(B71&lt;0,B71*-1,0)</f>
        <v>0</v>
      </c>
      <c r="C89" s="76">
        <f t="shared" si="18"/>
        <v>0</v>
      </c>
      <c r="D89" s="76">
        <f t="shared" si="18"/>
        <v>0</v>
      </c>
      <c r="E89" s="76">
        <f t="shared" si="18"/>
        <v>0</v>
      </c>
      <c r="F89" s="76">
        <f t="shared" si="18"/>
        <v>0</v>
      </c>
      <c r="G89" s="76">
        <f t="shared" si="18"/>
        <v>0</v>
      </c>
      <c r="H89" s="76">
        <f t="shared" si="18"/>
        <v>0</v>
      </c>
      <c r="I89" s="76">
        <f t="shared" si="18"/>
        <v>0</v>
      </c>
      <c r="J89" s="76">
        <f t="shared" si="18"/>
        <v>0</v>
      </c>
      <c r="K89" s="76">
        <f t="shared" si="18"/>
        <v>0</v>
      </c>
      <c r="L89" s="76">
        <f t="shared" si="18"/>
        <v>0</v>
      </c>
      <c r="M89" s="76">
        <f t="shared" si="18"/>
        <v>0</v>
      </c>
      <c r="N89" s="76">
        <f t="shared" si="18"/>
        <v>0</v>
      </c>
      <c r="O89" s="76">
        <f t="shared" si="18"/>
        <v>0</v>
      </c>
      <c r="P89" s="76">
        <f t="shared" si="18"/>
        <v>0</v>
      </c>
      <c r="Q89" s="76">
        <f t="shared" si="18"/>
        <v>0</v>
      </c>
      <c r="R89" s="76">
        <f t="shared" si="18"/>
        <v>0</v>
      </c>
      <c r="S89" s="76">
        <f t="shared" si="18"/>
        <v>0</v>
      </c>
      <c r="T89" s="76">
        <f t="shared" si="18"/>
        <v>0</v>
      </c>
      <c r="U89" s="76">
        <f t="shared" si="18"/>
        <v>0</v>
      </c>
      <c r="V89" s="76">
        <f t="shared" si="18"/>
        <v>0</v>
      </c>
      <c r="W89" s="76">
        <f t="shared" si="18"/>
        <v>0</v>
      </c>
      <c r="X89" s="76">
        <v>0</v>
      </c>
      <c r="Y89" s="76">
        <f t="shared" si="18"/>
        <v>0</v>
      </c>
      <c r="Z89" s="76">
        <f t="shared" si="18"/>
        <v>0</v>
      </c>
      <c r="AA89" s="76">
        <f t="shared" si="18"/>
        <v>0</v>
      </c>
      <c r="AB89" s="76">
        <f t="shared" si="18"/>
        <v>0</v>
      </c>
      <c r="AC89" s="76">
        <f t="shared" si="18"/>
        <v>0</v>
      </c>
      <c r="AD89" s="76">
        <f t="shared" si="18"/>
        <v>0</v>
      </c>
      <c r="AE89" s="76">
        <f t="shared" si="18"/>
        <v>0</v>
      </c>
      <c r="AF89" s="76">
        <f t="shared" si="18"/>
        <v>0</v>
      </c>
      <c r="AG89" s="86"/>
      <c r="AH89" s="48">
        <f t="shared" si="11"/>
        <v>0</v>
      </c>
      <c r="AI89" s="49">
        <f t="shared" si="12"/>
        <v>0</v>
      </c>
    </row>
    <row r="90" spans="1:37" x14ac:dyDescent="0.25">
      <c r="A90" s="78" t="s">
        <v>92</v>
      </c>
      <c r="B90" s="76">
        <f t="shared" ref="B90:AF90" si="19">IF(B69&lt;0,B69*-1,0)</f>
        <v>0</v>
      </c>
      <c r="C90" s="76">
        <f t="shared" si="19"/>
        <v>0</v>
      </c>
      <c r="D90" s="76">
        <f t="shared" si="19"/>
        <v>0</v>
      </c>
      <c r="E90" s="76">
        <f t="shared" si="19"/>
        <v>0</v>
      </c>
      <c r="F90" s="76">
        <f t="shared" si="19"/>
        <v>0</v>
      </c>
      <c r="G90" s="76">
        <f t="shared" si="19"/>
        <v>0</v>
      </c>
      <c r="H90" s="76">
        <f t="shared" si="19"/>
        <v>0</v>
      </c>
      <c r="I90" s="76">
        <f t="shared" si="19"/>
        <v>0</v>
      </c>
      <c r="J90" s="76">
        <f t="shared" si="19"/>
        <v>50</v>
      </c>
      <c r="K90" s="76">
        <f t="shared" si="19"/>
        <v>75</v>
      </c>
      <c r="L90" s="76">
        <f t="shared" si="19"/>
        <v>114</v>
      </c>
      <c r="M90" s="76">
        <f t="shared" si="19"/>
        <v>121</v>
      </c>
      <c r="N90" s="76">
        <f t="shared" si="19"/>
        <v>143</v>
      </c>
      <c r="O90" s="76">
        <f t="shared" si="19"/>
        <v>0</v>
      </c>
      <c r="P90" s="76">
        <f t="shared" si="19"/>
        <v>0</v>
      </c>
      <c r="Q90" s="76">
        <f t="shared" si="19"/>
        <v>0</v>
      </c>
      <c r="R90" s="76">
        <f t="shared" si="19"/>
        <v>0</v>
      </c>
      <c r="S90" s="76">
        <f t="shared" si="19"/>
        <v>0</v>
      </c>
      <c r="T90" s="76">
        <f t="shared" si="19"/>
        <v>0</v>
      </c>
      <c r="U90" s="76">
        <f t="shared" si="19"/>
        <v>150</v>
      </c>
      <c r="V90" s="76">
        <f t="shared" si="19"/>
        <v>150</v>
      </c>
      <c r="W90" s="76">
        <f t="shared" si="19"/>
        <v>90</v>
      </c>
      <c r="X90" s="76">
        <v>175</v>
      </c>
      <c r="Y90" s="76">
        <f t="shared" si="19"/>
        <v>184</v>
      </c>
      <c r="Z90" s="76">
        <f t="shared" si="19"/>
        <v>176</v>
      </c>
      <c r="AA90" s="76">
        <f t="shared" si="19"/>
        <v>170</v>
      </c>
      <c r="AB90" s="76">
        <f t="shared" si="19"/>
        <v>172</v>
      </c>
      <c r="AC90" s="76">
        <f t="shared" si="19"/>
        <v>152</v>
      </c>
      <c r="AD90" s="76">
        <f t="shared" si="19"/>
        <v>0</v>
      </c>
      <c r="AE90" s="76">
        <f t="shared" si="19"/>
        <v>0</v>
      </c>
      <c r="AF90" s="76">
        <f t="shared" si="19"/>
        <v>0</v>
      </c>
      <c r="AG90" s="86"/>
      <c r="AH90" s="48">
        <f t="shared" si="11"/>
        <v>184</v>
      </c>
      <c r="AI90" s="49">
        <f t="shared" si="12"/>
        <v>0</v>
      </c>
    </row>
    <row r="91" spans="1:37" x14ac:dyDescent="0.25">
      <c r="A91" s="78" t="s">
        <v>71</v>
      </c>
      <c r="B91" s="76">
        <f t="shared" ref="B91:AF91" si="20">IF(B67&lt;0,B67*-1,0)</f>
        <v>0</v>
      </c>
      <c r="C91" s="76">
        <f t="shared" si="20"/>
        <v>0</v>
      </c>
      <c r="D91" s="76" t="e">
        <f>IF(#REF!&lt;0,#REF!*-1,0)</f>
        <v>#REF!</v>
      </c>
      <c r="E91" s="76">
        <f>IF(D67&lt;0,D67*-1,0)</f>
        <v>0</v>
      </c>
      <c r="F91" s="76">
        <f t="shared" si="20"/>
        <v>0</v>
      </c>
      <c r="G91" s="76">
        <f t="shared" si="20"/>
        <v>0</v>
      </c>
      <c r="H91" s="76">
        <f t="shared" si="20"/>
        <v>0</v>
      </c>
      <c r="I91" s="76">
        <f t="shared" si="20"/>
        <v>0</v>
      </c>
      <c r="J91" s="76">
        <f t="shared" si="20"/>
        <v>0</v>
      </c>
      <c r="K91" s="76">
        <f t="shared" si="20"/>
        <v>0</v>
      </c>
      <c r="L91" s="76">
        <f t="shared" si="20"/>
        <v>0</v>
      </c>
      <c r="M91" s="76">
        <f t="shared" si="20"/>
        <v>0</v>
      </c>
      <c r="N91" s="76">
        <f t="shared" si="20"/>
        <v>0</v>
      </c>
      <c r="O91" s="76">
        <f t="shared" si="20"/>
        <v>0</v>
      </c>
      <c r="P91" s="76">
        <f t="shared" si="20"/>
        <v>0</v>
      </c>
      <c r="Q91" s="76">
        <f t="shared" si="20"/>
        <v>0</v>
      </c>
      <c r="R91" s="76">
        <f t="shared" si="20"/>
        <v>0</v>
      </c>
      <c r="S91" s="76">
        <f t="shared" si="20"/>
        <v>0</v>
      </c>
      <c r="T91" s="76">
        <f t="shared" si="20"/>
        <v>0</v>
      </c>
      <c r="U91" s="76">
        <f t="shared" si="20"/>
        <v>0</v>
      </c>
      <c r="V91" s="76">
        <f t="shared" si="20"/>
        <v>0</v>
      </c>
      <c r="W91" s="76">
        <f t="shared" si="20"/>
        <v>0</v>
      </c>
      <c r="X91" s="76">
        <v>0</v>
      </c>
      <c r="Y91" s="76">
        <f t="shared" si="20"/>
        <v>0</v>
      </c>
      <c r="Z91" s="76">
        <f t="shared" si="20"/>
        <v>0</v>
      </c>
      <c r="AA91" s="76">
        <f t="shared" si="20"/>
        <v>0</v>
      </c>
      <c r="AB91" s="76">
        <f t="shared" si="20"/>
        <v>0</v>
      </c>
      <c r="AC91" s="76">
        <f t="shared" si="20"/>
        <v>0</v>
      </c>
      <c r="AD91" s="76">
        <f t="shared" si="20"/>
        <v>0</v>
      </c>
      <c r="AE91" s="76">
        <f t="shared" si="20"/>
        <v>0</v>
      </c>
      <c r="AF91" s="76">
        <f t="shared" si="20"/>
        <v>0</v>
      </c>
      <c r="AG91" s="86"/>
      <c r="AH91" s="48" t="e">
        <f t="shared" si="11"/>
        <v>#REF!</v>
      </c>
      <c r="AI91" s="49" t="e">
        <f t="shared" si="12"/>
        <v>#REF!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>
        <v>0</v>
      </c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1"/>
        <v>0</v>
      </c>
      <c r="AI92" s="49">
        <f t="shared" si="12"/>
        <v>0</v>
      </c>
    </row>
    <row r="93" spans="1:37" ht="15.75" thickBot="1" x14ac:dyDescent="0.3">
      <c r="A93" s="87" t="s">
        <v>94</v>
      </c>
      <c r="B93" s="61">
        <f t="shared" ref="B93:AF93" si="21">SUM(B87:B92)</f>
        <v>0</v>
      </c>
      <c r="C93" s="61">
        <f t="shared" si="21"/>
        <v>0</v>
      </c>
      <c r="D93" s="61" t="e">
        <f t="shared" si="21"/>
        <v>#REF!</v>
      </c>
      <c r="E93" s="61">
        <f t="shared" si="21"/>
        <v>0</v>
      </c>
      <c r="F93" s="61">
        <f t="shared" si="21"/>
        <v>0</v>
      </c>
      <c r="G93" s="61">
        <f t="shared" si="21"/>
        <v>0</v>
      </c>
      <c r="H93" s="61">
        <f t="shared" si="21"/>
        <v>0</v>
      </c>
      <c r="I93" s="61">
        <f t="shared" si="21"/>
        <v>0</v>
      </c>
      <c r="J93" s="61">
        <f t="shared" si="21"/>
        <v>50</v>
      </c>
      <c r="K93" s="61">
        <f t="shared" si="21"/>
        <v>75</v>
      </c>
      <c r="L93" s="61">
        <f t="shared" si="21"/>
        <v>114</v>
      </c>
      <c r="M93" s="61">
        <f t="shared" si="21"/>
        <v>121</v>
      </c>
      <c r="N93" s="61">
        <f t="shared" si="21"/>
        <v>143</v>
      </c>
      <c r="O93" s="61">
        <f t="shared" si="21"/>
        <v>0</v>
      </c>
      <c r="P93" s="61">
        <f t="shared" si="21"/>
        <v>0</v>
      </c>
      <c r="Q93" s="61">
        <f t="shared" si="21"/>
        <v>0</v>
      </c>
      <c r="R93" s="61">
        <f t="shared" si="21"/>
        <v>0</v>
      </c>
      <c r="S93" s="61">
        <f t="shared" si="21"/>
        <v>0</v>
      </c>
      <c r="T93" s="61">
        <f t="shared" si="21"/>
        <v>0</v>
      </c>
      <c r="U93" s="61">
        <f t="shared" si="21"/>
        <v>150</v>
      </c>
      <c r="V93" s="61">
        <f t="shared" si="21"/>
        <v>150</v>
      </c>
      <c r="W93" s="61">
        <f t="shared" si="21"/>
        <v>90</v>
      </c>
      <c r="X93" s="61">
        <v>175</v>
      </c>
      <c r="Y93" s="61">
        <f t="shared" si="21"/>
        <v>184</v>
      </c>
      <c r="Z93" s="61">
        <f t="shared" si="21"/>
        <v>176</v>
      </c>
      <c r="AA93" s="61">
        <f t="shared" si="21"/>
        <v>170</v>
      </c>
      <c r="AB93" s="61">
        <f t="shared" si="21"/>
        <v>172</v>
      </c>
      <c r="AC93" s="61">
        <f t="shared" si="21"/>
        <v>152</v>
      </c>
      <c r="AD93" s="61">
        <f t="shared" si="21"/>
        <v>0</v>
      </c>
      <c r="AE93" s="61">
        <f t="shared" si="21"/>
        <v>0</v>
      </c>
      <c r="AF93" s="61">
        <f t="shared" si="21"/>
        <v>0</v>
      </c>
      <c r="AG93" s="81"/>
      <c r="AH93" s="48" t="e">
        <f t="shared" si="11"/>
        <v>#REF!</v>
      </c>
      <c r="AI93" s="49" t="e">
        <f t="shared" si="12"/>
        <v>#REF!</v>
      </c>
      <c r="AK93" s="50"/>
    </row>
    <row r="94" spans="1:37" ht="15.75" thickBot="1" x14ac:dyDescent="0.3">
      <c r="A94" s="74" t="s">
        <v>95</v>
      </c>
      <c r="B94" s="61">
        <f t="shared" ref="B94:AF94" si="22">B78-B93</f>
        <v>54.2</v>
      </c>
      <c r="C94" s="61">
        <f t="shared" si="22"/>
        <v>25</v>
      </c>
      <c r="D94" s="61" t="e">
        <f t="shared" si="22"/>
        <v>#REF!</v>
      </c>
      <c r="E94" s="61">
        <f t="shared" si="22"/>
        <v>37.200000000000003</v>
      </c>
      <c r="F94" s="61">
        <f t="shared" si="22"/>
        <v>44.1</v>
      </c>
      <c r="G94" s="61">
        <f t="shared" si="22"/>
        <v>53.900000000000006</v>
      </c>
      <c r="H94" s="61">
        <f t="shared" si="22"/>
        <v>50.7</v>
      </c>
      <c r="I94" s="61">
        <f t="shared" si="22"/>
        <v>59.94</v>
      </c>
      <c r="J94" s="61">
        <f t="shared" si="22"/>
        <v>-20.3</v>
      </c>
      <c r="K94" s="61">
        <f t="shared" si="22"/>
        <v>-33.299999999999997</v>
      </c>
      <c r="L94" s="61">
        <f t="shared" si="22"/>
        <v>-69.8</v>
      </c>
      <c r="M94" s="61">
        <f t="shared" si="22"/>
        <v>-72</v>
      </c>
      <c r="N94" s="61">
        <f t="shared" si="22"/>
        <v>-96.7</v>
      </c>
      <c r="O94" s="61">
        <f t="shared" si="22"/>
        <v>48.6</v>
      </c>
      <c r="P94" s="61">
        <f t="shared" si="22"/>
        <v>179</v>
      </c>
      <c r="Q94" s="61">
        <f t="shared" si="22"/>
        <v>162.69999999999999</v>
      </c>
      <c r="R94" s="61">
        <f t="shared" si="22"/>
        <v>0</v>
      </c>
      <c r="S94" s="61">
        <f t="shared" si="22"/>
        <v>162.6</v>
      </c>
      <c r="T94" s="61">
        <f t="shared" si="22"/>
        <v>163.19999999999999</v>
      </c>
      <c r="U94" s="61">
        <f t="shared" si="22"/>
        <v>-132</v>
      </c>
      <c r="V94" s="61">
        <f t="shared" si="22"/>
        <v>-113</v>
      </c>
      <c r="W94" s="61">
        <f t="shared" si="22"/>
        <v>-52.6</v>
      </c>
      <c r="X94" s="61">
        <v>-124.7</v>
      </c>
      <c r="Y94" s="61">
        <f t="shared" si="22"/>
        <v>-139.9</v>
      </c>
      <c r="Z94" s="61">
        <f t="shared" si="22"/>
        <v>-134.4</v>
      </c>
      <c r="AA94" s="61">
        <f t="shared" si="22"/>
        <v>-132</v>
      </c>
      <c r="AB94" s="61">
        <f t="shared" si="22"/>
        <v>-131</v>
      </c>
      <c r="AC94" s="61">
        <f t="shared" si="22"/>
        <v>-110</v>
      </c>
      <c r="AD94" s="61">
        <f t="shared" si="22"/>
        <v>26.6</v>
      </c>
      <c r="AE94" s="61">
        <f t="shared" si="22"/>
        <v>6</v>
      </c>
      <c r="AF94" s="61">
        <f t="shared" si="22"/>
        <v>52</v>
      </c>
      <c r="AG94" s="81"/>
      <c r="AH94" s="48" t="e">
        <f t="shared" si="11"/>
        <v>#REF!</v>
      </c>
      <c r="AI94" s="49" t="e">
        <f t="shared" si="12"/>
        <v>#REF!</v>
      </c>
    </row>
    <row r="95" spans="1:37" x14ac:dyDescent="0.25">
      <c r="A95" s="88" t="s">
        <v>96</v>
      </c>
      <c r="B95" s="89">
        <v>50.139000000000003</v>
      </c>
      <c r="C95" s="89">
        <v>49.935000000000002</v>
      </c>
      <c r="D95" s="89">
        <v>49.89</v>
      </c>
      <c r="E95" s="89">
        <v>49.783999999999999</v>
      </c>
      <c r="F95" s="89">
        <v>50.075000000000003</v>
      </c>
      <c r="G95" s="89">
        <v>49.969000000000001</v>
      </c>
      <c r="H95" s="89">
        <v>50.137999999999998</v>
      </c>
      <c r="I95" s="89">
        <v>50.021000000000001</v>
      </c>
      <c r="J95" s="89">
        <v>50.207999999999998</v>
      </c>
      <c r="K95" s="89">
        <v>49.941000000000003</v>
      </c>
      <c r="L95" s="89">
        <v>49.89</v>
      </c>
      <c r="M95" s="89">
        <v>50.026000000000003</v>
      </c>
      <c r="N95" s="89">
        <v>50.29</v>
      </c>
      <c r="O95" s="89">
        <v>49.993000000000002</v>
      </c>
      <c r="P95" s="89">
        <v>50.073999999999998</v>
      </c>
      <c r="Q95" s="89">
        <v>50.04</v>
      </c>
      <c r="R95" s="89"/>
      <c r="S95" s="89">
        <v>50</v>
      </c>
      <c r="T95" s="89">
        <v>50.09</v>
      </c>
      <c r="U95" s="89">
        <v>49.92</v>
      </c>
      <c r="V95" s="89">
        <v>50.03</v>
      </c>
      <c r="W95" s="89">
        <v>50.03</v>
      </c>
      <c r="X95" s="89">
        <v>49.9</v>
      </c>
      <c r="Y95" s="89">
        <v>50.08</v>
      </c>
      <c r="Z95" s="89">
        <v>50.07</v>
      </c>
      <c r="AA95" s="89">
        <v>49.98</v>
      </c>
      <c r="AB95" s="89">
        <v>50.161000000000001</v>
      </c>
      <c r="AC95" s="89">
        <v>50.161000000000001</v>
      </c>
      <c r="AD95" s="89">
        <v>49.930999999999997</v>
      </c>
      <c r="AE95" s="89">
        <v>49.930999999999997</v>
      </c>
      <c r="AF95" s="89">
        <v>50.015999999999998</v>
      </c>
      <c r="AG95" s="90"/>
      <c r="AH95" s="48">
        <f t="shared" si="11"/>
        <v>50.29</v>
      </c>
      <c r="AI95" s="49">
        <f t="shared" si="12"/>
        <v>49.783999999999999</v>
      </c>
    </row>
    <row r="96" spans="1:37" x14ac:dyDescent="0.25">
      <c r="A96" s="91" t="s">
        <v>97</v>
      </c>
      <c r="B96" s="65">
        <v>129.1</v>
      </c>
      <c r="C96" s="65">
        <v>129.1</v>
      </c>
      <c r="D96" s="65">
        <v>129.4</v>
      </c>
      <c r="E96" s="65">
        <v>128</v>
      </c>
      <c r="F96" s="65">
        <v>129.80000000000001</v>
      </c>
      <c r="G96" s="65">
        <v>129.4</v>
      </c>
      <c r="H96" s="65">
        <v>128.69999999999999</v>
      </c>
      <c r="I96" s="65">
        <v>126.8</v>
      </c>
      <c r="J96" s="65">
        <v>125.8</v>
      </c>
      <c r="K96" s="65">
        <v>123.7</v>
      </c>
      <c r="L96" s="65">
        <v>121.3</v>
      </c>
      <c r="M96" s="65">
        <v>118</v>
      </c>
      <c r="N96" s="65">
        <v>121.1</v>
      </c>
      <c r="O96" s="65">
        <v>123.3</v>
      </c>
      <c r="P96" s="65">
        <v>124.6</v>
      </c>
      <c r="Q96" s="65">
        <v>124.6</v>
      </c>
      <c r="R96" s="65"/>
      <c r="S96" s="65">
        <v>125.9</v>
      </c>
      <c r="T96" s="65">
        <v>125.9</v>
      </c>
      <c r="U96" s="65">
        <v>125.9</v>
      </c>
      <c r="V96" s="65">
        <v>127.1</v>
      </c>
      <c r="W96" s="65">
        <v>124.4</v>
      </c>
      <c r="X96" s="65">
        <v>126.6</v>
      </c>
      <c r="Y96" s="65">
        <v>125.7</v>
      </c>
      <c r="Z96" s="65">
        <v>126.3</v>
      </c>
      <c r="AA96" s="65">
        <v>127.5</v>
      </c>
      <c r="AB96" s="65">
        <v>128.80000000000001</v>
      </c>
      <c r="AC96" s="65">
        <v>128.80000000000001</v>
      </c>
      <c r="AD96" s="65">
        <v>130</v>
      </c>
      <c r="AE96" s="65">
        <v>130</v>
      </c>
      <c r="AF96" s="65">
        <v>130.9</v>
      </c>
      <c r="AG96" s="92"/>
      <c r="AH96" s="48">
        <f t="shared" si="11"/>
        <v>130.9</v>
      </c>
      <c r="AI96" s="49">
        <f t="shared" si="12"/>
        <v>118</v>
      </c>
    </row>
    <row r="97" spans="1:35" x14ac:dyDescent="0.25">
      <c r="A97" s="91" t="s">
        <v>98</v>
      </c>
      <c r="B97" s="65">
        <v>132.1</v>
      </c>
      <c r="C97" s="65">
        <v>132.4</v>
      </c>
      <c r="D97" s="65">
        <v>132.6</v>
      </c>
      <c r="E97" s="65">
        <v>131.69999999999999</v>
      </c>
      <c r="F97" s="65">
        <v>132.9</v>
      </c>
      <c r="G97" s="65">
        <v>132.5</v>
      </c>
      <c r="H97" s="65">
        <v>131.4</v>
      </c>
      <c r="I97" s="65">
        <v>129.4</v>
      </c>
      <c r="J97" s="65">
        <v>128.30000000000001</v>
      </c>
      <c r="K97" s="65">
        <v>127</v>
      </c>
      <c r="L97" s="65">
        <v>124.6</v>
      </c>
      <c r="M97" s="65">
        <v>121</v>
      </c>
      <c r="N97" s="65">
        <v>124.5</v>
      </c>
      <c r="O97" s="65">
        <v>126.1</v>
      </c>
      <c r="P97" s="65">
        <v>127.2</v>
      </c>
      <c r="Q97" s="65">
        <v>127.2</v>
      </c>
      <c r="R97" s="65"/>
      <c r="S97" s="65">
        <v>128.6</v>
      </c>
      <c r="T97" s="65">
        <v>128.6</v>
      </c>
      <c r="U97" s="65">
        <v>128.6</v>
      </c>
      <c r="V97" s="65">
        <v>130.6</v>
      </c>
      <c r="W97" s="65">
        <v>127.1</v>
      </c>
      <c r="X97" s="65">
        <v>129</v>
      </c>
      <c r="Y97" s="65">
        <v>128.30000000000001</v>
      </c>
      <c r="Z97" s="65">
        <v>129</v>
      </c>
      <c r="AA97" s="65">
        <v>129.69999999999999</v>
      </c>
      <c r="AB97" s="65">
        <v>130.80000000000001</v>
      </c>
      <c r="AC97" s="65">
        <v>130.80000000000001</v>
      </c>
      <c r="AD97" s="65">
        <v>132.4</v>
      </c>
      <c r="AE97" s="65">
        <v>132.4</v>
      </c>
      <c r="AF97" s="65">
        <v>133.6</v>
      </c>
      <c r="AG97" s="92"/>
      <c r="AH97" s="48">
        <f t="shared" si="11"/>
        <v>133.6</v>
      </c>
      <c r="AI97" s="49">
        <f t="shared" si="12"/>
        <v>121</v>
      </c>
    </row>
    <row r="98" spans="1:35" x14ac:dyDescent="0.25">
      <c r="A98" s="91" t="s">
        <v>99</v>
      </c>
      <c r="B98" s="65">
        <v>132.9</v>
      </c>
      <c r="C98" s="65">
        <v>133.4</v>
      </c>
      <c r="D98" s="65">
        <v>133.1</v>
      </c>
      <c r="E98" s="65">
        <v>133.30000000000001</v>
      </c>
      <c r="F98" s="65">
        <v>134.19999999999999</v>
      </c>
      <c r="G98" s="65">
        <v>133</v>
      </c>
      <c r="H98" s="65">
        <v>132</v>
      </c>
      <c r="I98" s="65">
        <v>130.80000000000001</v>
      </c>
      <c r="J98" s="65">
        <v>129.30000000000001</v>
      </c>
      <c r="K98" s="65">
        <v>129</v>
      </c>
      <c r="L98" s="65">
        <v>129.30000000000001</v>
      </c>
      <c r="M98" s="65">
        <v>126.7</v>
      </c>
      <c r="N98" s="65">
        <v>128.80000000000001</v>
      </c>
      <c r="O98" s="65">
        <v>130.69999999999999</v>
      </c>
      <c r="P98" s="65">
        <v>131.6</v>
      </c>
      <c r="Q98" s="65">
        <v>131.6</v>
      </c>
      <c r="R98" s="65"/>
      <c r="S98" s="65">
        <v>129.80000000000001</v>
      </c>
      <c r="T98" s="65">
        <v>129.80000000000001</v>
      </c>
      <c r="U98" s="65">
        <v>129.80000000000001</v>
      </c>
      <c r="V98" s="65">
        <v>129.80000000000001</v>
      </c>
      <c r="W98" s="65">
        <v>125.3</v>
      </c>
      <c r="X98" s="65">
        <v>128.80000000000001</v>
      </c>
      <c r="Y98" s="65">
        <v>131</v>
      </c>
      <c r="Z98" s="65">
        <v>129.4</v>
      </c>
      <c r="AA98" s="65">
        <v>130.30000000000001</v>
      </c>
      <c r="AB98" s="65">
        <v>131.5</v>
      </c>
      <c r="AC98" s="65">
        <v>131.5</v>
      </c>
      <c r="AD98" s="65">
        <v>130.80000000000001</v>
      </c>
      <c r="AE98" s="65">
        <v>130.80000000000001</v>
      </c>
      <c r="AF98" s="65">
        <v>130.80000000000001</v>
      </c>
      <c r="AG98" s="92"/>
      <c r="AH98" s="48">
        <f t="shared" si="11"/>
        <v>134.19999999999999</v>
      </c>
      <c r="AI98" s="49">
        <f t="shared" si="12"/>
        <v>125.3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1"/>
        <v>0</v>
      </c>
      <c r="AI99" s="49">
        <f t="shared" si="12"/>
        <v>0</v>
      </c>
    </row>
    <row r="100" spans="1:35" x14ac:dyDescent="0.25">
      <c r="A100" s="93" t="s">
        <v>101</v>
      </c>
      <c r="B100" s="94">
        <v>133.69999999999999</v>
      </c>
      <c r="C100" s="94">
        <v>133.80000000000001</v>
      </c>
      <c r="D100" s="94">
        <v>135.5</v>
      </c>
      <c r="E100" s="94">
        <v>131.9</v>
      </c>
      <c r="F100" s="94">
        <v>134.80000000000001</v>
      </c>
      <c r="G100" s="94">
        <v>132.5</v>
      </c>
      <c r="H100" s="94">
        <v>134.6</v>
      </c>
      <c r="I100" s="94">
        <v>133.6</v>
      </c>
      <c r="J100" s="94">
        <v>133.19999999999999</v>
      </c>
      <c r="K100" s="94">
        <v>132.80000000000001</v>
      </c>
      <c r="L100" s="94">
        <v>131.4</v>
      </c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>
        <v>135</v>
      </c>
      <c r="Y100" s="94">
        <v>133.4</v>
      </c>
      <c r="Z100" s="94">
        <v>135.30000000000001</v>
      </c>
      <c r="AA100" s="94">
        <v>133.6</v>
      </c>
      <c r="AB100" s="94">
        <v>135.80000000000001</v>
      </c>
      <c r="AC100" s="94">
        <v>135.80000000000001</v>
      </c>
      <c r="AD100" s="94">
        <v>133.80000000000001</v>
      </c>
      <c r="AE100" s="94">
        <v>133.80000000000001</v>
      </c>
      <c r="AF100" s="94">
        <v>134.5</v>
      </c>
      <c r="AG100" s="95"/>
      <c r="AH100" s="48">
        <f t="shared" si="11"/>
        <v>135.80000000000001</v>
      </c>
      <c r="AI100" s="49">
        <f t="shared" si="12"/>
        <v>131.4</v>
      </c>
    </row>
    <row r="101" spans="1:35" x14ac:dyDescent="0.25">
      <c r="A101" s="91" t="s">
        <v>102</v>
      </c>
      <c r="B101" s="65">
        <v>135.30000000000001</v>
      </c>
      <c r="C101" s="65">
        <v>135.6</v>
      </c>
      <c r="D101" s="65">
        <v>137.19999999999999</v>
      </c>
      <c r="E101" s="65">
        <v>134.9</v>
      </c>
      <c r="F101" s="65">
        <v>137.30000000000001</v>
      </c>
      <c r="G101" s="65">
        <v>134</v>
      </c>
      <c r="H101" s="65">
        <v>135</v>
      </c>
      <c r="I101" s="65">
        <v>133.6</v>
      </c>
      <c r="J101" s="65">
        <v>130.30000000000001</v>
      </c>
      <c r="K101" s="65">
        <v>130.69999999999999</v>
      </c>
      <c r="L101" s="65">
        <v>128.5</v>
      </c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>
        <v>132.30000000000001</v>
      </c>
      <c r="Y101" s="65">
        <v>135</v>
      </c>
      <c r="Z101" s="65">
        <v>135.4</v>
      </c>
      <c r="AA101" s="65">
        <v>135.4</v>
      </c>
      <c r="AB101" s="65">
        <v>133.30000000000001</v>
      </c>
      <c r="AC101" s="65">
        <v>133.30000000000001</v>
      </c>
      <c r="AD101" s="65">
        <v>131.80000000000001</v>
      </c>
      <c r="AE101" s="65">
        <v>131.80000000000001</v>
      </c>
      <c r="AF101" s="65">
        <v>134.69999999999999</v>
      </c>
      <c r="AG101" s="92"/>
      <c r="AH101" s="48">
        <f t="shared" si="11"/>
        <v>137.30000000000001</v>
      </c>
      <c r="AI101" s="49">
        <f t="shared" si="12"/>
        <v>128.5</v>
      </c>
    </row>
    <row r="102" spans="1:35" ht="15.75" thickBot="1" x14ac:dyDescent="0.3">
      <c r="A102" s="91" t="s">
        <v>104</v>
      </c>
      <c r="B102" s="96">
        <v>66.3</v>
      </c>
      <c r="C102" s="96">
        <v>66.3</v>
      </c>
      <c r="D102" s="96">
        <v>66.5</v>
      </c>
      <c r="E102" s="96">
        <v>65.900000000000006</v>
      </c>
      <c r="F102" s="96">
        <v>66.8</v>
      </c>
      <c r="G102" s="96">
        <v>66.400000000000006</v>
      </c>
      <c r="H102" s="96">
        <v>65.599999999999994</v>
      </c>
      <c r="I102" s="96">
        <v>64.8</v>
      </c>
      <c r="J102" s="96">
        <v>64.2</v>
      </c>
      <c r="K102" s="96">
        <v>63.7</v>
      </c>
      <c r="L102" s="96">
        <v>62.9</v>
      </c>
      <c r="M102" s="96">
        <v>61.2</v>
      </c>
      <c r="N102" s="96">
        <v>62.8</v>
      </c>
      <c r="O102" s="96">
        <v>63.4</v>
      </c>
      <c r="P102" s="96">
        <v>64</v>
      </c>
      <c r="Q102" s="96">
        <v>64</v>
      </c>
      <c r="R102" s="96"/>
      <c r="S102" s="96">
        <v>64.7</v>
      </c>
      <c r="T102" s="96">
        <v>64.7</v>
      </c>
      <c r="U102" s="96">
        <v>64.3</v>
      </c>
      <c r="V102" s="96">
        <v>64.8</v>
      </c>
      <c r="W102" s="96">
        <v>63.6</v>
      </c>
      <c r="X102" s="96">
        <v>64.599999999999994</v>
      </c>
      <c r="Y102" s="96">
        <v>64.3</v>
      </c>
      <c r="Z102" s="96">
        <v>64.599999999999994</v>
      </c>
      <c r="AA102" s="96">
        <v>65.099999999999994</v>
      </c>
      <c r="AB102" s="96">
        <v>65.599999999999994</v>
      </c>
      <c r="AC102" s="96">
        <v>65.599999999999994</v>
      </c>
      <c r="AD102" s="96">
        <v>66</v>
      </c>
      <c r="AE102" s="96">
        <v>66</v>
      </c>
      <c r="AF102" s="96">
        <v>67</v>
      </c>
      <c r="AG102" s="97"/>
      <c r="AH102" s="48">
        <f t="shared" si="11"/>
        <v>67</v>
      </c>
      <c r="AI102" s="49">
        <f t="shared" si="12"/>
        <v>61.2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248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1"/>
        <v>0</v>
      </c>
      <c r="AI103" s="49">
        <f t="shared" si="12"/>
        <v>0</v>
      </c>
    </row>
    <row r="104" spans="1:35" ht="15.75" thickBot="1" x14ac:dyDescent="0.3">
      <c r="A104" s="99" t="s">
        <v>105</v>
      </c>
      <c r="B104" s="100">
        <f t="shared" ref="B104:AF104" si="23">SUM(B16,B22,B25:B26,B52,B54:B55,B57,B59,B105:B109,B131,B137,B143,B152,B154,B166,B173,B176:B177,B184,B186,B188,B192:B194,B196:B198,B203,B209:B210,B212:B214,B222,B227)</f>
        <v>91.099999999999966</v>
      </c>
      <c r="C104" s="100">
        <f t="shared" si="23"/>
        <v>78.94</v>
      </c>
      <c r="D104" s="100">
        <f t="shared" si="23"/>
        <v>76.44</v>
      </c>
      <c r="E104" s="100">
        <f t="shared" si="23"/>
        <v>75.040000000000006</v>
      </c>
      <c r="F104" s="100">
        <f t="shared" si="23"/>
        <v>82.739999999999981</v>
      </c>
      <c r="G104" s="100">
        <f t="shared" si="23"/>
        <v>108.74</v>
      </c>
      <c r="H104" s="100">
        <f t="shared" si="23"/>
        <v>143.34</v>
      </c>
      <c r="I104" s="100">
        <f t="shared" si="23"/>
        <v>163.54000000000002</v>
      </c>
      <c r="J104" s="100">
        <f t="shared" si="23"/>
        <v>212.23999999999998</v>
      </c>
      <c r="K104" s="100">
        <f t="shared" si="23"/>
        <v>241.33999999999997</v>
      </c>
      <c r="L104" s="100">
        <f t="shared" si="23"/>
        <v>266.24</v>
      </c>
      <c r="M104" s="100">
        <f t="shared" si="23"/>
        <v>281.23999999999995</v>
      </c>
      <c r="N104" s="100">
        <f t="shared" si="23"/>
        <v>278.64</v>
      </c>
      <c r="O104" s="100">
        <f t="shared" si="23"/>
        <v>269.83999999999992</v>
      </c>
      <c r="P104" s="100">
        <f t="shared" si="23"/>
        <v>238.13999999999996</v>
      </c>
      <c r="Q104" s="100">
        <f t="shared" si="23"/>
        <v>209.8</v>
      </c>
      <c r="R104" s="100">
        <f t="shared" si="23"/>
        <v>44.9</v>
      </c>
      <c r="S104" s="100">
        <f t="shared" si="23"/>
        <v>198.50000000000003</v>
      </c>
      <c r="T104" s="100">
        <f t="shared" si="23"/>
        <v>213.7</v>
      </c>
      <c r="U104" s="100">
        <f t="shared" si="23"/>
        <v>224.7</v>
      </c>
      <c r="V104" s="100">
        <f t="shared" si="23"/>
        <v>244.79999999999995</v>
      </c>
      <c r="W104" s="100">
        <f t="shared" si="23"/>
        <v>313.89999999999998</v>
      </c>
      <c r="X104" s="100">
        <v>389.09708333333333</v>
      </c>
      <c r="Y104" s="100">
        <f t="shared" si="23"/>
        <v>324.39999999999998</v>
      </c>
      <c r="Z104" s="100">
        <f t="shared" si="23"/>
        <v>320.29999999999995</v>
      </c>
      <c r="AA104" s="100">
        <f t="shared" si="23"/>
        <v>308.7</v>
      </c>
      <c r="AB104" s="100">
        <f t="shared" si="23"/>
        <v>278.7</v>
      </c>
      <c r="AC104" s="100">
        <f t="shared" si="23"/>
        <v>278.5</v>
      </c>
      <c r="AD104" s="100">
        <f t="shared" si="23"/>
        <v>219.1</v>
      </c>
      <c r="AE104" s="100">
        <f t="shared" si="23"/>
        <v>202.1</v>
      </c>
      <c r="AF104" s="100">
        <f t="shared" si="23"/>
        <v>114.20000000000003</v>
      </c>
      <c r="AG104" s="101"/>
      <c r="AH104" s="48">
        <f t="shared" si="11"/>
        <v>389.09708333333333</v>
      </c>
      <c r="AI104" s="49">
        <f t="shared" si="12"/>
        <v>44.9</v>
      </c>
    </row>
    <row r="105" spans="1:35" x14ac:dyDescent="0.25">
      <c r="A105" s="88" t="s">
        <v>106</v>
      </c>
      <c r="B105" s="102">
        <v>8.6999999999999993</v>
      </c>
      <c r="C105" s="102">
        <v>8.8000000000000007</v>
      </c>
      <c r="D105" s="102">
        <v>9.1</v>
      </c>
      <c r="E105" s="102">
        <v>11.6</v>
      </c>
      <c r="F105" s="102">
        <v>14.3</v>
      </c>
      <c r="G105" s="102">
        <v>17.3</v>
      </c>
      <c r="H105" s="102">
        <v>33.5</v>
      </c>
      <c r="I105" s="102">
        <v>41.9</v>
      </c>
      <c r="J105" s="102">
        <v>41.3</v>
      </c>
      <c r="K105" s="102">
        <v>44.3</v>
      </c>
      <c r="L105" s="102">
        <v>52.2</v>
      </c>
      <c r="M105" s="102">
        <v>48.5</v>
      </c>
      <c r="N105" s="102">
        <v>53.4</v>
      </c>
      <c r="O105" s="102">
        <v>55.2</v>
      </c>
      <c r="P105" s="102">
        <v>47.5</v>
      </c>
      <c r="Q105" s="102">
        <v>37.799999999999997</v>
      </c>
      <c r="R105" s="102"/>
      <c r="S105" s="102">
        <v>26.9</v>
      </c>
      <c r="T105" s="102">
        <v>27</v>
      </c>
      <c r="U105" s="102">
        <v>30</v>
      </c>
      <c r="V105" s="102">
        <v>44</v>
      </c>
      <c r="W105" s="102">
        <v>49.1</v>
      </c>
      <c r="X105" s="102">
        <v>44.9</v>
      </c>
      <c r="Y105" s="102">
        <v>52.9</v>
      </c>
      <c r="Z105" s="102">
        <v>57.2</v>
      </c>
      <c r="AA105" s="102">
        <v>58.1</v>
      </c>
      <c r="AB105" s="102">
        <v>59.1</v>
      </c>
      <c r="AC105" s="102">
        <v>59.1</v>
      </c>
      <c r="AD105" s="102">
        <v>56.9</v>
      </c>
      <c r="AE105" s="102">
        <v>51.3</v>
      </c>
      <c r="AF105" s="102">
        <v>20.9</v>
      </c>
      <c r="AG105" s="103">
        <v>75</v>
      </c>
      <c r="AH105" s="48">
        <f t="shared" si="11"/>
        <v>59.1</v>
      </c>
      <c r="AI105" s="49">
        <f t="shared" si="12"/>
        <v>8.6999999999999993</v>
      </c>
    </row>
    <row r="106" spans="1:35" x14ac:dyDescent="0.25">
      <c r="A106" s="91" t="s">
        <v>107</v>
      </c>
      <c r="B106" s="104">
        <v>18.600000000000001</v>
      </c>
      <c r="C106" s="104">
        <v>19</v>
      </c>
      <c r="D106" s="104">
        <v>20.3</v>
      </c>
      <c r="E106" s="104">
        <v>26</v>
      </c>
      <c r="F106" s="104">
        <v>28.5</v>
      </c>
      <c r="G106" s="104">
        <v>32.5</v>
      </c>
      <c r="H106" s="104">
        <v>54.4</v>
      </c>
      <c r="I106" s="104">
        <v>67.3</v>
      </c>
      <c r="J106" s="104">
        <v>64.599999999999994</v>
      </c>
      <c r="K106" s="104">
        <v>68.2</v>
      </c>
      <c r="L106" s="104">
        <v>76.8</v>
      </c>
      <c r="M106" s="104">
        <v>70</v>
      </c>
      <c r="N106" s="104">
        <v>77.099999999999994</v>
      </c>
      <c r="O106" s="104">
        <v>77.400000000000006</v>
      </c>
      <c r="P106" s="104">
        <v>68.599999999999994</v>
      </c>
      <c r="Q106" s="104">
        <v>56.8</v>
      </c>
      <c r="R106" s="104"/>
      <c r="S106" s="104">
        <v>42.2</v>
      </c>
      <c r="T106" s="104">
        <v>45</v>
      </c>
      <c r="U106" s="104">
        <v>48</v>
      </c>
      <c r="V106" s="104">
        <v>65</v>
      </c>
      <c r="W106" s="104">
        <v>70.2</v>
      </c>
      <c r="X106" s="104">
        <v>67.2</v>
      </c>
      <c r="Y106" s="104">
        <v>74.099999999999994</v>
      </c>
      <c r="Z106" s="104">
        <v>80.900000000000006</v>
      </c>
      <c r="AA106" s="104">
        <v>82.6</v>
      </c>
      <c r="AB106" s="104">
        <v>85.9</v>
      </c>
      <c r="AC106" s="104">
        <v>85.9</v>
      </c>
      <c r="AD106" s="104">
        <v>81.099999999999994</v>
      </c>
      <c r="AE106" s="104">
        <v>70.400000000000006</v>
      </c>
      <c r="AF106" s="104">
        <v>31.1</v>
      </c>
      <c r="AG106" s="103">
        <v>240</v>
      </c>
      <c r="AH106" s="48">
        <f t="shared" si="11"/>
        <v>85.9</v>
      </c>
      <c r="AI106" s="49">
        <f t="shared" si="12"/>
        <v>18.600000000000001</v>
      </c>
    </row>
    <row r="107" spans="1:35" x14ac:dyDescent="0.25">
      <c r="A107" s="91" t="s">
        <v>108</v>
      </c>
      <c r="B107" s="104">
        <f>-37-41</f>
        <v>-78</v>
      </c>
      <c r="C107" s="104">
        <f>-42-45</f>
        <v>-87</v>
      </c>
      <c r="D107" s="104">
        <f>-44-47</f>
        <v>-91</v>
      </c>
      <c r="E107" s="104">
        <f>-47.9-50.8</f>
        <v>-98.699999999999989</v>
      </c>
      <c r="F107" s="104">
        <f>-46.2-50.1</f>
        <v>-96.300000000000011</v>
      </c>
      <c r="G107" s="104">
        <f>-38.6-41.3</f>
        <v>-79.900000000000006</v>
      </c>
      <c r="H107" s="104">
        <f>-40.5-44.8</f>
        <v>-85.3</v>
      </c>
      <c r="I107" s="104">
        <f>-42.6-45.6</f>
        <v>-88.2</v>
      </c>
      <c r="J107" s="104">
        <f>-21.7-22.9</f>
        <v>-44.599999999999994</v>
      </c>
      <c r="K107" s="104">
        <f>-11.2-12.7</f>
        <v>-23.9</v>
      </c>
      <c r="L107" s="104">
        <f>-7.4-9.1</f>
        <v>-16.5</v>
      </c>
      <c r="M107" s="104">
        <v>-3.6</v>
      </c>
      <c r="N107" s="104">
        <f>-3.3-5.6</f>
        <v>-8.8999999999999986</v>
      </c>
      <c r="O107" s="104">
        <v>-19.3</v>
      </c>
      <c r="P107" s="104">
        <v>-32.9</v>
      </c>
      <c r="Q107" s="104">
        <v>-35.4</v>
      </c>
      <c r="R107" s="104"/>
      <c r="S107" s="104">
        <f>-11.9-12.7</f>
        <v>-24.6</v>
      </c>
      <c r="T107" s="104">
        <v>-60</v>
      </c>
      <c r="U107" s="104">
        <v>-57</v>
      </c>
      <c r="V107" s="104">
        <f>-26-28</f>
        <v>-54</v>
      </c>
      <c r="W107" s="104">
        <f>-20.7-22.6</f>
        <v>-43.3</v>
      </c>
      <c r="X107" s="104">
        <v>-66.900000000000006</v>
      </c>
      <c r="Y107" s="104">
        <f>-24-19.3</f>
        <v>-43.3</v>
      </c>
      <c r="Z107" s="104">
        <f>-23.6-25.7</f>
        <v>-49.3</v>
      </c>
      <c r="AA107" s="104">
        <f>-27.4-29.6</f>
        <v>-57</v>
      </c>
      <c r="AB107" s="104">
        <v>-73.599999999999994</v>
      </c>
      <c r="AC107" s="104">
        <v>-73.599999999999994</v>
      </c>
      <c r="AD107" s="104">
        <v>-82.9</v>
      </c>
      <c r="AE107" s="104">
        <v>-58.6</v>
      </c>
      <c r="AF107" s="104">
        <v>-58.1</v>
      </c>
      <c r="AG107" s="103">
        <v>240</v>
      </c>
      <c r="AH107" s="48">
        <f t="shared" si="11"/>
        <v>-3.6</v>
      </c>
      <c r="AI107" s="49">
        <f t="shared" si="12"/>
        <v>-98.699999999999989</v>
      </c>
    </row>
    <row r="108" spans="1:35" x14ac:dyDescent="0.25">
      <c r="A108" s="91" t="s">
        <v>109</v>
      </c>
      <c r="B108" s="104">
        <v>-2.4</v>
      </c>
      <c r="C108" s="104">
        <v>-7</v>
      </c>
      <c r="D108" s="104">
        <v>-7.1</v>
      </c>
      <c r="E108" s="104">
        <v>-8.6999999999999993</v>
      </c>
      <c r="F108" s="104">
        <v>-8.9</v>
      </c>
      <c r="G108" s="104">
        <v>-6.3</v>
      </c>
      <c r="H108" s="104">
        <v>-4.0999999999999996</v>
      </c>
      <c r="I108" s="104">
        <v>-2.2999999999999998</v>
      </c>
      <c r="J108" s="104">
        <v>6.1</v>
      </c>
      <c r="K108" s="104">
        <v>7.9</v>
      </c>
      <c r="L108" s="104">
        <v>8.9</v>
      </c>
      <c r="M108" s="104">
        <v>21.5</v>
      </c>
      <c r="N108" s="104">
        <v>11.9</v>
      </c>
      <c r="O108" s="104">
        <v>11.4</v>
      </c>
      <c r="P108" s="104">
        <v>9.8000000000000007</v>
      </c>
      <c r="Q108" s="104">
        <v>6.4</v>
      </c>
      <c r="R108" s="104"/>
      <c r="S108" s="104">
        <v>10.3</v>
      </c>
      <c r="T108" s="104">
        <v>6</v>
      </c>
      <c r="U108" s="104">
        <v>9</v>
      </c>
      <c r="V108" s="104">
        <v>11.2</v>
      </c>
      <c r="W108" s="104">
        <v>14.4</v>
      </c>
      <c r="X108" s="104">
        <v>35.700000000000003</v>
      </c>
      <c r="Y108" s="104">
        <v>15.6</v>
      </c>
      <c r="Z108" s="104">
        <v>13.8</v>
      </c>
      <c r="AA108" s="104">
        <v>13.9</v>
      </c>
      <c r="AB108" s="104">
        <v>12.1</v>
      </c>
      <c r="AC108" s="104">
        <v>12.1</v>
      </c>
      <c r="AD108" s="104">
        <v>4.5</v>
      </c>
      <c r="AE108" s="104">
        <v>3.2</v>
      </c>
      <c r="AF108" s="104">
        <v>0.7</v>
      </c>
      <c r="AG108" s="103">
        <v>60</v>
      </c>
      <c r="AH108" s="48">
        <f t="shared" si="11"/>
        <v>35.700000000000003</v>
      </c>
      <c r="AI108" s="49">
        <f t="shared" si="12"/>
        <v>-8.9</v>
      </c>
    </row>
    <row r="109" spans="1:35" x14ac:dyDescent="0.25">
      <c r="A109" s="105" t="s">
        <v>110</v>
      </c>
      <c r="B109" s="106">
        <v>0</v>
      </c>
      <c r="C109" s="106">
        <v>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6">
        <v>0</v>
      </c>
      <c r="K109" s="106">
        <v>0</v>
      </c>
      <c r="L109" s="106">
        <v>0</v>
      </c>
      <c r="M109" s="106">
        <v>0</v>
      </c>
      <c r="N109" s="106">
        <v>0</v>
      </c>
      <c r="O109" s="106"/>
      <c r="P109" s="106"/>
      <c r="Q109" s="106"/>
      <c r="R109" s="106"/>
      <c r="S109" s="106">
        <v>0</v>
      </c>
      <c r="T109" s="106">
        <v>52</v>
      </c>
      <c r="U109" s="106">
        <v>51</v>
      </c>
      <c r="V109" s="106">
        <v>35.200000000000003</v>
      </c>
      <c r="W109" s="106">
        <v>80.099999999999994</v>
      </c>
      <c r="X109" s="106">
        <v>83.4</v>
      </c>
      <c r="Y109" s="106">
        <v>81.400000000000006</v>
      </c>
      <c r="Z109" s="106">
        <v>74</v>
      </c>
      <c r="AA109" s="106">
        <v>67.400000000000006</v>
      </c>
      <c r="AB109" s="106">
        <v>50.8</v>
      </c>
      <c r="AC109" s="106">
        <v>50.8</v>
      </c>
      <c r="AD109" s="106">
        <v>22.5</v>
      </c>
      <c r="AE109" s="106">
        <v>0</v>
      </c>
      <c r="AF109" s="106">
        <v>0</v>
      </c>
      <c r="AG109" s="107">
        <v>120</v>
      </c>
      <c r="AH109" s="48">
        <f t="shared" si="11"/>
        <v>83.4</v>
      </c>
      <c r="AI109" s="49">
        <f t="shared" si="12"/>
        <v>0</v>
      </c>
    </row>
    <row r="110" spans="1:35" x14ac:dyDescent="0.25">
      <c r="A110" s="105" t="s">
        <v>111</v>
      </c>
      <c r="B110" s="106">
        <v>49.2</v>
      </c>
      <c r="C110" s="106">
        <v>40</v>
      </c>
      <c r="D110" s="106">
        <v>38</v>
      </c>
      <c r="E110" s="106">
        <v>41.5</v>
      </c>
      <c r="F110" s="106">
        <v>36.4</v>
      </c>
      <c r="G110" s="106">
        <v>23.5</v>
      </c>
      <c r="H110" s="106">
        <v>14.5</v>
      </c>
      <c r="I110" s="106">
        <v>26.6</v>
      </c>
      <c r="J110" s="106">
        <v>59.4</v>
      </c>
      <c r="K110" s="106">
        <v>81.400000000000006</v>
      </c>
      <c r="L110" s="106">
        <v>85.1</v>
      </c>
      <c r="M110" s="106">
        <v>98.8</v>
      </c>
      <c r="N110" s="106">
        <v>95.6</v>
      </c>
      <c r="O110" s="106">
        <v>83.2</v>
      </c>
      <c r="P110" s="106">
        <v>90.4</v>
      </c>
      <c r="Q110" s="106">
        <v>70.900000000000006</v>
      </c>
      <c r="R110" s="106"/>
      <c r="S110" s="106">
        <v>82.7</v>
      </c>
      <c r="T110" s="106">
        <v>55</v>
      </c>
      <c r="U110" s="106">
        <v>54</v>
      </c>
      <c r="V110" s="106">
        <v>37.5</v>
      </c>
      <c r="W110" s="106">
        <v>49</v>
      </c>
      <c r="X110" s="106">
        <v>43.9</v>
      </c>
      <c r="Y110" s="106">
        <v>51.1</v>
      </c>
      <c r="Z110" s="106">
        <v>37.200000000000003</v>
      </c>
      <c r="AA110" s="106">
        <v>20.399999999999999</v>
      </c>
      <c r="AB110" s="106">
        <v>-3</v>
      </c>
      <c r="AC110" s="106">
        <v>-3</v>
      </c>
      <c r="AD110" s="106">
        <v>2.7</v>
      </c>
      <c r="AE110" s="106">
        <v>15</v>
      </c>
      <c r="AF110" s="106">
        <v>47.8</v>
      </c>
      <c r="AG110" s="107"/>
      <c r="AH110" s="48">
        <f t="shared" si="11"/>
        <v>98.8</v>
      </c>
      <c r="AI110" s="49">
        <f t="shared" si="12"/>
        <v>-3</v>
      </c>
    </row>
    <row r="111" spans="1:35" x14ac:dyDescent="0.25">
      <c r="A111" s="105" t="s">
        <v>112</v>
      </c>
      <c r="B111" s="106">
        <v>49</v>
      </c>
      <c r="C111" s="106">
        <v>48.3</v>
      </c>
      <c r="D111" s="106">
        <v>37.299999999999997</v>
      </c>
      <c r="E111" s="106">
        <v>83.4</v>
      </c>
      <c r="F111" s="106">
        <v>72.599999999999994</v>
      </c>
      <c r="G111" s="106">
        <v>43.9</v>
      </c>
      <c r="H111" s="106">
        <v>0</v>
      </c>
      <c r="I111" s="106">
        <v>-5.0999999999999996</v>
      </c>
      <c r="J111" s="106">
        <v>11.5</v>
      </c>
      <c r="K111" s="106">
        <v>-1.9</v>
      </c>
      <c r="L111" s="106">
        <v>-1.1000000000000001</v>
      </c>
      <c r="M111" s="106">
        <v>6.2</v>
      </c>
      <c r="N111" s="106">
        <v>6.5</v>
      </c>
      <c r="O111" s="106">
        <v>-17.100000000000001</v>
      </c>
      <c r="P111" s="106">
        <v>-3.3</v>
      </c>
      <c r="Q111" s="106">
        <v>15.2</v>
      </c>
      <c r="R111" s="106"/>
      <c r="S111" s="106">
        <v>-42.2</v>
      </c>
      <c r="T111" s="106">
        <v>34</v>
      </c>
      <c r="U111" s="106">
        <v>29</v>
      </c>
      <c r="V111" s="106">
        <v>-9.1</v>
      </c>
      <c r="W111" s="106">
        <v>1.7</v>
      </c>
      <c r="X111" s="106">
        <v>22</v>
      </c>
      <c r="Y111" s="106">
        <v>4.4000000000000004</v>
      </c>
      <c r="Z111" s="106">
        <v>-3.2</v>
      </c>
      <c r="AA111" s="106">
        <v>-6.8</v>
      </c>
      <c r="AB111" s="106">
        <v>-11.7</v>
      </c>
      <c r="AC111" s="106">
        <v>-11.7</v>
      </c>
      <c r="AD111" s="106">
        <v>-13.1</v>
      </c>
      <c r="AE111" s="106">
        <v>-2.9</v>
      </c>
      <c r="AF111" s="106">
        <v>21.3</v>
      </c>
      <c r="AG111" s="108"/>
      <c r="AH111" s="48">
        <f t="shared" si="11"/>
        <v>83.4</v>
      </c>
      <c r="AI111" s="49">
        <f t="shared" si="12"/>
        <v>-42.2</v>
      </c>
    </row>
    <row r="112" spans="1:35" x14ac:dyDescent="0.25">
      <c r="A112" s="109" t="s">
        <v>113</v>
      </c>
      <c r="B112" s="94">
        <v>41.6</v>
      </c>
      <c r="C112" s="94">
        <v>42.6</v>
      </c>
      <c r="D112" s="94">
        <v>42.2</v>
      </c>
      <c r="E112" s="94">
        <v>42.3</v>
      </c>
      <c r="F112" s="94">
        <v>41.7</v>
      </c>
      <c r="G112" s="94">
        <v>40.799999999999997</v>
      </c>
      <c r="H112" s="94">
        <v>37.200000000000003</v>
      </c>
      <c r="I112" s="94">
        <v>34.700000000000003</v>
      </c>
      <c r="J112" s="94">
        <v>25.8</v>
      </c>
      <c r="K112" s="94">
        <v>22.3</v>
      </c>
      <c r="L112" s="94">
        <v>17.7</v>
      </c>
      <c r="M112" s="94">
        <v>14</v>
      </c>
      <c r="N112" s="94">
        <v>15.7</v>
      </c>
      <c r="O112" s="94">
        <v>18</v>
      </c>
      <c r="P112" s="94">
        <v>27</v>
      </c>
      <c r="Q112" s="94">
        <v>28.2</v>
      </c>
      <c r="R112" s="94"/>
      <c r="S112" s="94">
        <v>30.3</v>
      </c>
      <c r="T112" s="94">
        <v>28</v>
      </c>
      <c r="U112" s="94">
        <v>26</v>
      </c>
      <c r="V112" s="94">
        <v>12.9</v>
      </c>
      <c r="W112" s="94">
        <v>0</v>
      </c>
      <c r="X112" s="94">
        <v>75.7</v>
      </c>
      <c r="Y112" s="94">
        <v>10.5</v>
      </c>
      <c r="Z112" s="94">
        <v>15.6</v>
      </c>
      <c r="AA112" s="94">
        <v>17.3</v>
      </c>
      <c r="AB112" s="94">
        <v>24.6</v>
      </c>
      <c r="AC112" s="94">
        <v>24.6</v>
      </c>
      <c r="AD112" s="94">
        <v>30.2</v>
      </c>
      <c r="AE112" s="94">
        <v>38</v>
      </c>
      <c r="AF112" s="94">
        <v>38</v>
      </c>
      <c r="AG112" s="108"/>
      <c r="AH112" s="48">
        <f t="shared" si="11"/>
        <v>75.7</v>
      </c>
      <c r="AI112" s="49">
        <f t="shared" si="12"/>
        <v>0</v>
      </c>
    </row>
    <row r="113" spans="1:37" ht="15.75" thickBot="1" x14ac:dyDescent="0.3">
      <c r="A113" s="109" t="s">
        <v>114</v>
      </c>
      <c r="B113" s="94">
        <v>45.7</v>
      </c>
      <c r="C113" s="94">
        <v>51</v>
      </c>
      <c r="D113" s="94">
        <v>57.4</v>
      </c>
      <c r="E113" s="94">
        <v>59.5</v>
      </c>
      <c r="F113" s="94">
        <v>59.2</v>
      </c>
      <c r="G113" s="94">
        <v>61.8</v>
      </c>
      <c r="H113" s="94">
        <v>65.8</v>
      </c>
      <c r="I113" s="94">
        <v>70.900000000000006</v>
      </c>
      <c r="J113" s="94">
        <v>37.6</v>
      </c>
      <c r="K113" s="94">
        <v>25.66</v>
      </c>
      <c r="L113" s="94">
        <v>25.1</v>
      </c>
      <c r="M113" s="94">
        <v>19.600000000000001</v>
      </c>
      <c r="N113" s="94">
        <v>21.3</v>
      </c>
      <c r="O113" s="94">
        <v>26.7</v>
      </c>
      <c r="P113" s="94">
        <v>33.9</v>
      </c>
      <c r="Q113" s="94">
        <v>29.9</v>
      </c>
      <c r="R113" s="94"/>
      <c r="S113" s="94">
        <v>11.5</v>
      </c>
      <c r="T113" s="94">
        <v>37</v>
      </c>
      <c r="U113" s="94">
        <v>36.5</v>
      </c>
      <c r="V113" s="94">
        <v>49.8</v>
      </c>
      <c r="W113" s="94">
        <v>31</v>
      </c>
      <c r="X113" s="94">
        <v>35.200000000000003</v>
      </c>
      <c r="Y113" s="94">
        <v>36.5</v>
      </c>
      <c r="Z113" s="94">
        <v>41</v>
      </c>
      <c r="AA113" s="94">
        <v>51.7</v>
      </c>
      <c r="AB113" s="94">
        <v>63.8</v>
      </c>
      <c r="AC113" s="94">
        <v>63.8</v>
      </c>
      <c r="AD113" s="94">
        <v>68</v>
      </c>
      <c r="AE113" s="94">
        <v>51.1</v>
      </c>
      <c r="AF113" s="94">
        <v>39.799999999999997</v>
      </c>
      <c r="AG113" s="108"/>
      <c r="AH113" s="48">
        <f t="shared" si="11"/>
        <v>70.900000000000006</v>
      </c>
      <c r="AI113" s="49">
        <f t="shared" si="12"/>
        <v>11.5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4">SUM(B115:B219)</f>
        <v>0</v>
      </c>
      <c r="C220" s="125">
        <f t="shared" si="24"/>
        <v>0</v>
      </c>
      <c r="D220" s="125">
        <f t="shared" si="24"/>
        <v>0</v>
      </c>
      <c r="E220" s="125">
        <f t="shared" si="24"/>
        <v>0</v>
      </c>
      <c r="F220" s="125">
        <f t="shared" si="24"/>
        <v>0</v>
      </c>
      <c r="G220" s="125">
        <f t="shared" si="24"/>
        <v>0</v>
      </c>
      <c r="H220" s="125">
        <f t="shared" si="24"/>
        <v>0</v>
      </c>
      <c r="I220" s="125">
        <f t="shared" si="24"/>
        <v>0</v>
      </c>
      <c r="J220" s="125">
        <f t="shared" si="24"/>
        <v>0</v>
      </c>
      <c r="K220" s="125">
        <f t="shared" si="24"/>
        <v>0</v>
      </c>
      <c r="L220" s="125">
        <f t="shared" si="24"/>
        <v>0</v>
      </c>
      <c r="M220" s="125">
        <f t="shared" si="24"/>
        <v>0</v>
      </c>
      <c r="N220" s="125">
        <f t="shared" si="24"/>
        <v>0</v>
      </c>
      <c r="O220" s="125">
        <f t="shared" si="24"/>
        <v>0</v>
      </c>
      <c r="P220" s="125">
        <f t="shared" si="24"/>
        <v>0</v>
      </c>
      <c r="Q220" s="125">
        <f t="shared" si="24"/>
        <v>0</v>
      </c>
      <c r="R220" s="125">
        <f t="shared" si="24"/>
        <v>0</v>
      </c>
      <c r="S220" s="125">
        <f t="shared" si="24"/>
        <v>0</v>
      </c>
      <c r="T220" s="125">
        <f t="shared" si="24"/>
        <v>0</v>
      </c>
      <c r="U220" s="125">
        <f t="shared" si="24"/>
        <v>0</v>
      </c>
      <c r="V220" s="125">
        <f t="shared" si="24"/>
        <v>0</v>
      </c>
      <c r="W220" s="125">
        <f t="shared" si="24"/>
        <v>0</v>
      </c>
      <c r="X220" s="125">
        <f t="shared" si="24"/>
        <v>0</v>
      </c>
      <c r="Y220" s="125">
        <f t="shared" si="24"/>
        <v>0</v>
      </c>
      <c r="Z220" s="125">
        <f t="shared" si="24"/>
        <v>0</v>
      </c>
      <c r="AA220" s="125">
        <f t="shared" si="24"/>
        <v>0</v>
      </c>
      <c r="AB220" s="125">
        <f t="shared" si="24"/>
        <v>0</v>
      </c>
      <c r="AC220" s="125">
        <f t="shared" si="24"/>
        <v>0</v>
      </c>
      <c r="AD220" s="125">
        <f t="shared" si="24"/>
        <v>0</v>
      </c>
      <c r="AE220" s="125">
        <f t="shared" si="24"/>
        <v>0</v>
      </c>
      <c r="AF220" s="126">
        <f t="shared" si="24"/>
        <v>0</v>
      </c>
      <c r="AG220" s="127">
        <f t="shared" si="24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5">AF222</f>
        <v>0</v>
      </c>
      <c r="C222" s="129">
        <v>0.3</v>
      </c>
      <c r="D222" s="129">
        <f t="shared" ref="D222:P227" si="26">C222</f>
        <v>0.3</v>
      </c>
      <c r="E222" s="129">
        <f t="shared" si="26"/>
        <v>0.3</v>
      </c>
      <c r="F222" s="129">
        <f t="shared" si="26"/>
        <v>0.3</v>
      </c>
      <c r="G222" s="129">
        <f t="shared" si="26"/>
        <v>0.3</v>
      </c>
      <c r="H222" s="129">
        <f t="shared" si="26"/>
        <v>0.3</v>
      </c>
      <c r="I222" s="129">
        <f t="shared" si="26"/>
        <v>0.3</v>
      </c>
      <c r="J222" s="129">
        <f t="shared" si="26"/>
        <v>0.3</v>
      </c>
      <c r="K222" s="129">
        <f t="shared" si="26"/>
        <v>0.3</v>
      </c>
      <c r="L222" s="129">
        <f t="shared" si="26"/>
        <v>0.3</v>
      </c>
      <c r="M222" s="129">
        <f t="shared" si="26"/>
        <v>0.3</v>
      </c>
      <c r="N222" s="129">
        <f t="shared" si="26"/>
        <v>0.3</v>
      </c>
      <c r="O222" s="129">
        <f t="shared" si="26"/>
        <v>0.3</v>
      </c>
      <c r="P222" s="129">
        <f t="shared" si="26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5"/>
        <v>0</v>
      </c>
      <c r="C223" s="117">
        <v>0.4</v>
      </c>
      <c r="D223" s="117">
        <f t="shared" si="26"/>
        <v>0.4</v>
      </c>
      <c r="E223" s="117">
        <f t="shared" si="26"/>
        <v>0.4</v>
      </c>
      <c r="F223" s="117">
        <f t="shared" si="26"/>
        <v>0.4</v>
      </c>
      <c r="G223" s="117">
        <f t="shared" si="26"/>
        <v>0.4</v>
      </c>
      <c r="H223" s="117">
        <f t="shared" si="26"/>
        <v>0.4</v>
      </c>
      <c r="I223" s="117">
        <f t="shared" si="26"/>
        <v>0.4</v>
      </c>
      <c r="J223" s="117">
        <f t="shared" si="26"/>
        <v>0.4</v>
      </c>
      <c r="K223" s="117">
        <f t="shared" si="26"/>
        <v>0.4</v>
      </c>
      <c r="L223" s="117">
        <f t="shared" si="26"/>
        <v>0.4</v>
      </c>
      <c r="M223" s="117">
        <f t="shared" si="26"/>
        <v>0.4</v>
      </c>
      <c r="N223" s="117">
        <f t="shared" si="26"/>
        <v>0.4</v>
      </c>
      <c r="O223" s="117">
        <f t="shared" si="26"/>
        <v>0.4</v>
      </c>
      <c r="P223" s="117">
        <f t="shared" si="26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5"/>
        <v>0</v>
      </c>
      <c r="C224" s="117">
        <v>1.5</v>
      </c>
      <c r="D224" s="117">
        <f t="shared" si="26"/>
        <v>1.5</v>
      </c>
      <c r="E224" s="117">
        <f t="shared" si="26"/>
        <v>1.5</v>
      </c>
      <c r="F224" s="117">
        <f t="shared" si="26"/>
        <v>1.5</v>
      </c>
      <c r="G224" s="117">
        <f t="shared" si="26"/>
        <v>1.5</v>
      </c>
      <c r="H224" s="117">
        <f t="shared" si="26"/>
        <v>1.5</v>
      </c>
      <c r="I224" s="117">
        <f t="shared" si="26"/>
        <v>1.5</v>
      </c>
      <c r="J224" s="117">
        <f t="shared" si="26"/>
        <v>1.5</v>
      </c>
      <c r="K224" s="117">
        <f t="shared" si="26"/>
        <v>1.5</v>
      </c>
      <c r="L224" s="117">
        <f t="shared" si="26"/>
        <v>1.5</v>
      </c>
      <c r="M224" s="117">
        <f t="shared" si="26"/>
        <v>1.5</v>
      </c>
      <c r="N224" s="117">
        <f t="shared" si="26"/>
        <v>1.5</v>
      </c>
      <c r="O224" s="117">
        <f t="shared" si="26"/>
        <v>1.5</v>
      </c>
      <c r="P224" s="117">
        <f t="shared" si="26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5"/>
        <v>0</v>
      </c>
      <c r="C225" s="117">
        <v>0.3</v>
      </c>
      <c r="D225" s="117">
        <f t="shared" si="26"/>
        <v>0.3</v>
      </c>
      <c r="E225" s="117">
        <f t="shared" si="26"/>
        <v>0.3</v>
      </c>
      <c r="F225" s="117">
        <f t="shared" si="26"/>
        <v>0.3</v>
      </c>
      <c r="G225" s="117">
        <f t="shared" si="26"/>
        <v>0.3</v>
      </c>
      <c r="H225" s="117">
        <f t="shared" si="26"/>
        <v>0.3</v>
      </c>
      <c r="I225" s="117">
        <f t="shared" si="26"/>
        <v>0.3</v>
      </c>
      <c r="J225" s="117">
        <f t="shared" si="26"/>
        <v>0.3</v>
      </c>
      <c r="K225" s="117">
        <f t="shared" si="26"/>
        <v>0.3</v>
      </c>
      <c r="L225" s="117">
        <f t="shared" si="26"/>
        <v>0.3</v>
      </c>
      <c r="M225" s="117">
        <f t="shared" si="26"/>
        <v>0.3</v>
      </c>
      <c r="N225" s="117">
        <f t="shared" si="26"/>
        <v>0.3</v>
      </c>
      <c r="O225" s="117">
        <f t="shared" si="26"/>
        <v>0.3</v>
      </c>
      <c r="P225" s="117">
        <f t="shared" si="26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5"/>
        <v>0</v>
      </c>
      <c r="C226" s="117">
        <v>0.4</v>
      </c>
      <c r="D226" s="117">
        <f t="shared" si="26"/>
        <v>0.4</v>
      </c>
      <c r="E226" s="117">
        <f t="shared" si="26"/>
        <v>0.4</v>
      </c>
      <c r="F226" s="117">
        <f t="shared" si="26"/>
        <v>0.4</v>
      </c>
      <c r="G226" s="117">
        <f t="shared" si="26"/>
        <v>0.4</v>
      </c>
      <c r="H226" s="117">
        <f t="shared" si="26"/>
        <v>0.4</v>
      </c>
      <c r="I226" s="117">
        <f t="shared" si="26"/>
        <v>0.4</v>
      </c>
      <c r="J226" s="117">
        <f t="shared" si="26"/>
        <v>0.4</v>
      </c>
      <c r="K226" s="117">
        <f t="shared" si="26"/>
        <v>0.4</v>
      </c>
      <c r="L226" s="117">
        <f t="shared" si="26"/>
        <v>0.4</v>
      </c>
      <c r="M226" s="117">
        <f t="shared" si="26"/>
        <v>0.4</v>
      </c>
      <c r="N226" s="117">
        <f t="shared" si="26"/>
        <v>0.4</v>
      </c>
      <c r="O226" s="117">
        <f t="shared" si="26"/>
        <v>0.4</v>
      </c>
      <c r="P226" s="117">
        <f t="shared" si="26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5"/>
        <v>0</v>
      </c>
      <c r="C227" s="121">
        <v>0.64</v>
      </c>
      <c r="D227" s="121">
        <f t="shared" si="26"/>
        <v>0.64</v>
      </c>
      <c r="E227" s="121">
        <f t="shared" si="26"/>
        <v>0.64</v>
      </c>
      <c r="F227" s="121">
        <f t="shared" si="26"/>
        <v>0.64</v>
      </c>
      <c r="G227" s="121">
        <f t="shared" si="26"/>
        <v>0.64</v>
      </c>
      <c r="H227" s="121">
        <f t="shared" si="26"/>
        <v>0.64</v>
      </c>
      <c r="I227" s="121">
        <f t="shared" si="26"/>
        <v>0.64</v>
      </c>
      <c r="J227" s="121">
        <f t="shared" si="26"/>
        <v>0.64</v>
      </c>
      <c r="K227" s="121">
        <f t="shared" si="26"/>
        <v>0.64</v>
      </c>
      <c r="L227" s="121">
        <f t="shared" si="26"/>
        <v>0.64</v>
      </c>
      <c r="M227" s="121">
        <f t="shared" si="26"/>
        <v>0.64</v>
      </c>
      <c r="N227" s="121">
        <f t="shared" si="26"/>
        <v>0.64</v>
      </c>
      <c r="O227" s="121">
        <f t="shared" si="26"/>
        <v>0.64</v>
      </c>
      <c r="P227" s="121">
        <f t="shared" si="26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7">SUM(B222:B227)</f>
        <v>0</v>
      </c>
      <c r="C228" s="125">
        <f t="shared" si="27"/>
        <v>3.54</v>
      </c>
      <c r="D228" s="125">
        <f t="shared" si="27"/>
        <v>3.54</v>
      </c>
      <c r="E228" s="125">
        <f t="shared" si="27"/>
        <v>3.54</v>
      </c>
      <c r="F228" s="125">
        <f t="shared" si="27"/>
        <v>3.54</v>
      </c>
      <c r="G228" s="125">
        <f t="shared" si="27"/>
        <v>3.54</v>
      </c>
      <c r="H228" s="125">
        <f t="shared" si="27"/>
        <v>3.54</v>
      </c>
      <c r="I228" s="125">
        <f t="shared" si="27"/>
        <v>3.54</v>
      </c>
      <c r="J228" s="125">
        <f t="shared" si="27"/>
        <v>3.54</v>
      </c>
      <c r="K228" s="125">
        <f t="shared" si="27"/>
        <v>3.54</v>
      </c>
      <c r="L228" s="125">
        <f t="shared" si="27"/>
        <v>3.54</v>
      </c>
      <c r="M228" s="125">
        <f t="shared" si="27"/>
        <v>3.54</v>
      </c>
      <c r="N228" s="125">
        <f t="shared" si="27"/>
        <v>3.54</v>
      </c>
      <c r="O228" s="125">
        <f t="shared" si="27"/>
        <v>3.54</v>
      </c>
      <c r="P228" s="125">
        <f t="shared" si="27"/>
        <v>3.54</v>
      </c>
      <c r="Q228" s="125">
        <f t="shared" si="27"/>
        <v>0</v>
      </c>
      <c r="R228" s="125">
        <f t="shared" si="27"/>
        <v>0</v>
      </c>
      <c r="S228" s="125">
        <f t="shared" si="27"/>
        <v>0</v>
      </c>
      <c r="T228" s="125">
        <f t="shared" si="27"/>
        <v>0</v>
      </c>
      <c r="U228" s="125">
        <f t="shared" si="27"/>
        <v>0</v>
      </c>
      <c r="V228" s="125">
        <f t="shared" si="27"/>
        <v>0</v>
      </c>
      <c r="W228" s="125">
        <f t="shared" si="27"/>
        <v>0</v>
      </c>
      <c r="X228" s="125">
        <f t="shared" si="27"/>
        <v>0</v>
      </c>
      <c r="Y228" s="125">
        <f t="shared" si="27"/>
        <v>0</v>
      </c>
      <c r="Z228" s="125">
        <f t="shared" si="27"/>
        <v>0</v>
      </c>
      <c r="AA228" s="125">
        <f t="shared" si="27"/>
        <v>0</v>
      </c>
      <c r="AB228" s="125">
        <f t="shared" si="27"/>
        <v>0</v>
      </c>
      <c r="AC228" s="125">
        <f t="shared" si="27"/>
        <v>0</v>
      </c>
      <c r="AD228" s="125">
        <f t="shared" si="27"/>
        <v>0</v>
      </c>
      <c r="AE228" s="125">
        <f t="shared" si="27"/>
        <v>0</v>
      </c>
      <c r="AF228" s="125">
        <f t="shared" si="27"/>
        <v>0</v>
      </c>
      <c r="AG228" s="134">
        <f t="shared" si="27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1549.5400000000002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2079/08/22)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28">B85</f>
        <v>962.94</v>
      </c>
      <c r="U242" s="159">
        <f t="shared" si="28"/>
        <v>943.74</v>
      </c>
      <c r="V242" s="159">
        <f t="shared" si="28"/>
        <v>930.14</v>
      </c>
      <c r="W242" s="159">
        <f t="shared" si="28"/>
        <v>939.44</v>
      </c>
      <c r="X242" s="159">
        <f t="shared" si="28"/>
        <v>976.34</v>
      </c>
      <c r="Y242" s="159">
        <f t="shared" si="28"/>
        <v>999.14</v>
      </c>
      <c r="Z242" s="159">
        <f t="shared" si="28"/>
        <v>1087.1400000000001</v>
      </c>
      <c r="AA242" s="159">
        <f t="shared" si="28"/>
        <v>1141.2800000000002</v>
      </c>
      <c r="AB242" s="159">
        <f t="shared" si="28"/>
        <v>1292.44</v>
      </c>
      <c r="AC242" s="159">
        <f t="shared" si="28"/>
        <v>1339.5400000000002</v>
      </c>
      <c r="AD242" s="159">
        <f t="shared" si="28"/>
        <v>1524.94</v>
      </c>
      <c r="AE242" s="159">
        <f t="shared" si="28"/>
        <v>1549.5400000000002</v>
      </c>
      <c r="AF242" s="159">
        <f t="shared" si="28"/>
        <v>1547.94</v>
      </c>
      <c r="AG242" s="159">
        <f t="shared" si="28"/>
        <v>1361.44</v>
      </c>
      <c r="AH242" s="159">
        <f t="shared" si="28"/>
        <v>1252.1400000000001</v>
      </c>
      <c r="AI242" s="159">
        <f t="shared" si="28"/>
        <v>1183.8400000000001</v>
      </c>
      <c r="AJ242" s="159">
        <f t="shared" si="28"/>
        <v>616.04</v>
      </c>
      <c r="AK242" s="159">
        <f t="shared" si="28"/>
        <v>1144.24</v>
      </c>
      <c r="AL242" s="159">
        <f t="shared" si="28"/>
        <v>1151.24</v>
      </c>
      <c r="AM242" s="159">
        <f t="shared" si="28"/>
        <v>1016.3400000000001</v>
      </c>
      <c r="AN242" s="159">
        <f t="shared" si="28"/>
        <v>1279.8400000000001</v>
      </c>
      <c r="AO242" s="159">
        <f t="shared" si="28"/>
        <v>1500.2400000000002</v>
      </c>
      <c r="AP242" s="159">
        <f t="shared" si="28"/>
        <v>1684.64</v>
      </c>
      <c r="AQ242" s="159">
        <f t="shared" si="28"/>
        <v>1627.14</v>
      </c>
      <c r="AR242" s="159">
        <f t="shared" si="28"/>
        <v>1527.24</v>
      </c>
      <c r="AS242" s="159">
        <f t="shared" si="28"/>
        <v>1456.3400000000001</v>
      </c>
      <c r="AT242" s="159">
        <f t="shared" si="28"/>
        <v>1388.24</v>
      </c>
      <c r="AU242" s="159">
        <f t="shared" si="28"/>
        <v>1336.04</v>
      </c>
      <c r="AV242" s="159">
        <f t="shared" si="28"/>
        <v>1296.8399999999999</v>
      </c>
      <c r="AW242" s="159">
        <f t="shared" si="28"/>
        <v>1112.6400000000001</v>
      </c>
      <c r="AX242" s="159">
        <f t="shared" si="28"/>
        <v>980.54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29">C227</f>
        <v>0.64</v>
      </c>
      <c r="C263" s="162">
        <f t="shared" si="29"/>
        <v>0.64</v>
      </c>
      <c r="D263" s="162">
        <f t="shared" si="29"/>
        <v>0.64</v>
      </c>
      <c r="E263" s="162">
        <f t="shared" si="29"/>
        <v>0.64</v>
      </c>
      <c r="F263" s="162">
        <f t="shared" si="29"/>
        <v>0.64</v>
      </c>
      <c r="G263" s="162">
        <f t="shared" si="29"/>
        <v>0.64</v>
      </c>
      <c r="H263" s="162">
        <f t="shared" si="29"/>
        <v>0.64</v>
      </c>
      <c r="I263" s="162">
        <f t="shared" si="29"/>
        <v>0.64</v>
      </c>
      <c r="J263" s="162">
        <f t="shared" si="29"/>
        <v>0.64</v>
      </c>
      <c r="K263" s="162">
        <f t="shared" si="29"/>
        <v>0.64</v>
      </c>
      <c r="L263" s="162">
        <f t="shared" si="29"/>
        <v>0.64</v>
      </c>
      <c r="M263" s="162">
        <f t="shared" si="29"/>
        <v>0.64</v>
      </c>
      <c r="N263" s="162">
        <f t="shared" si="29"/>
        <v>0.64</v>
      </c>
      <c r="O263" s="162">
        <f t="shared" si="29"/>
        <v>0.64</v>
      </c>
      <c r="P263" s="162">
        <f t="shared" si="29"/>
        <v>0</v>
      </c>
      <c r="Q263" s="162">
        <f t="shared" si="29"/>
        <v>0</v>
      </c>
      <c r="R263" s="162">
        <f t="shared" si="29"/>
        <v>0</v>
      </c>
      <c r="S263" s="162">
        <f t="shared" si="29"/>
        <v>0</v>
      </c>
      <c r="T263" s="162">
        <f t="shared" si="29"/>
        <v>0</v>
      </c>
      <c r="U263" s="162">
        <f t="shared" si="29"/>
        <v>0</v>
      </c>
      <c r="V263" s="162">
        <f t="shared" si="29"/>
        <v>0</v>
      </c>
      <c r="W263" s="162">
        <f t="shared" si="29"/>
        <v>0</v>
      </c>
      <c r="X263" s="162">
        <f t="shared" si="29"/>
        <v>0</v>
      </c>
      <c r="Y263" s="162">
        <f t="shared" si="29"/>
        <v>0</v>
      </c>
      <c r="Z263" s="162">
        <f t="shared" si="29"/>
        <v>0</v>
      </c>
      <c r="AA263" s="162">
        <f t="shared" si="29"/>
        <v>0</v>
      </c>
      <c r="AB263" s="162">
        <f t="shared" si="29"/>
        <v>0</v>
      </c>
      <c r="AC263" s="162">
        <f t="shared" si="29"/>
        <v>0</v>
      </c>
      <c r="AD263" s="162">
        <f t="shared" si="29"/>
        <v>0</v>
      </c>
      <c r="AE263" s="162">
        <f t="shared" si="29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0">IF(B231&lt;100,"",B231-520)</f>
        <v/>
      </c>
      <c r="C264" s="163" t="str">
        <f t="shared" si="30"/>
        <v/>
      </c>
      <c r="D264" s="163" t="str">
        <f t="shared" si="30"/>
        <v/>
      </c>
      <c r="E264" s="163" t="str">
        <f t="shared" si="30"/>
        <v/>
      </c>
      <c r="F264" s="163" t="str">
        <f t="shared" si="30"/>
        <v/>
      </c>
      <c r="G264" s="163" t="str">
        <f t="shared" si="30"/>
        <v/>
      </c>
      <c r="H264" s="163" t="str">
        <f t="shared" si="30"/>
        <v/>
      </c>
      <c r="I264" s="163" t="str">
        <f t="shared" si="30"/>
        <v/>
      </c>
      <c r="J264" s="163" t="str">
        <f t="shared" si="30"/>
        <v/>
      </c>
      <c r="K264" s="163" t="str">
        <f t="shared" si="30"/>
        <v/>
      </c>
      <c r="L264" s="163" t="str">
        <f t="shared" si="30"/>
        <v/>
      </c>
      <c r="M264" s="163" t="str">
        <f t="shared" si="30"/>
        <v/>
      </c>
      <c r="N264" s="163" t="str">
        <f t="shared" si="30"/>
        <v/>
      </c>
      <c r="O264" s="163" t="str">
        <f t="shared" si="30"/>
        <v/>
      </c>
      <c r="P264" s="163" t="str">
        <f t="shared" si="30"/>
        <v/>
      </c>
      <c r="Q264" s="163" t="str">
        <f t="shared" si="30"/>
        <v/>
      </c>
      <c r="R264" s="163" t="str">
        <f t="shared" si="30"/>
        <v/>
      </c>
      <c r="S264" s="163" t="str">
        <f t="shared" si="30"/>
        <v/>
      </c>
      <c r="T264" s="163" t="str">
        <f t="shared" si="30"/>
        <v/>
      </c>
      <c r="U264" s="163" t="str">
        <f t="shared" si="30"/>
        <v/>
      </c>
      <c r="V264" s="163" t="str">
        <f t="shared" si="30"/>
        <v/>
      </c>
      <c r="W264" s="163" t="str">
        <f t="shared" si="30"/>
        <v/>
      </c>
      <c r="X264" s="163" t="str">
        <f t="shared" si="30"/>
        <v/>
      </c>
      <c r="Y264" s="163" t="str">
        <f t="shared" si="30"/>
        <v/>
      </c>
      <c r="Z264" s="163" t="str">
        <f t="shared" si="30"/>
        <v/>
      </c>
      <c r="AA264" s="163" t="str">
        <f t="shared" si="30"/>
        <v/>
      </c>
      <c r="AB264" s="163" t="str">
        <f t="shared" si="30"/>
        <v/>
      </c>
      <c r="AC264" s="163" t="str">
        <f t="shared" si="30"/>
        <v/>
      </c>
      <c r="AD264" s="163" t="str">
        <f t="shared" si="30"/>
        <v/>
      </c>
      <c r="AE264" s="163" t="str">
        <f t="shared" si="30"/>
        <v/>
      </c>
      <c r="AF264" s="163" t="str">
        <f t="shared" si="30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1">IF(B232&lt;100,"",B232-620)</f>
        <v/>
      </c>
      <c r="C265" s="163" t="str">
        <f t="shared" si="31"/>
        <v/>
      </c>
      <c r="D265" s="163" t="str">
        <f t="shared" si="31"/>
        <v/>
      </c>
      <c r="E265" s="163" t="str">
        <f t="shared" si="31"/>
        <v/>
      </c>
      <c r="F265" s="163" t="str">
        <f t="shared" si="31"/>
        <v/>
      </c>
      <c r="G265" s="163" t="str">
        <f t="shared" si="31"/>
        <v/>
      </c>
      <c r="H265" s="163" t="str">
        <f t="shared" si="31"/>
        <v/>
      </c>
      <c r="I265" s="163" t="str">
        <f t="shared" si="31"/>
        <v/>
      </c>
      <c r="J265" s="163" t="str">
        <f t="shared" si="31"/>
        <v/>
      </c>
      <c r="K265" s="163" t="str">
        <f t="shared" si="31"/>
        <v/>
      </c>
      <c r="L265" s="163" t="str">
        <f t="shared" si="31"/>
        <v/>
      </c>
      <c r="M265" s="163" t="str">
        <f t="shared" si="31"/>
        <v/>
      </c>
      <c r="N265" s="163" t="str">
        <f t="shared" si="31"/>
        <v/>
      </c>
      <c r="O265" s="163" t="str">
        <f t="shared" si="31"/>
        <v/>
      </c>
      <c r="P265" s="163" t="str">
        <f t="shared" si="31"/>
        <v/>
      </c>
      <c r="Q265" s="163" t="str">
        <f t="shared" si="31"/>
        <v/>
      </c>
      <c r="R265" s="163" t="str">
        <f t="shared" si="31"/>
        <v/>
      </c>
      <c r="S265" s="163" t="str">
        <f t="shared" si="31"/>
        <v/>
      </c>
      <c r="T265" s="163" t="str">
        <f t="shared" si="31"/>
        <v/>
      </c>
      <c r="U265" s="163" t="str">
        <f t="shared" si="31"/>
        <v/>
      </c>
      <c r="V265" s="163" t="str">
        <f t="shared" si="31"/>
        <v/>
      </c>
      <c r="W265" s="163" t="str">
        <f t="shared" si="31"/>
        <v/>
      </c>
      <c r="X265" s="163" t="str">
        <f t="shared" si="31"/>
        <v/>
      </c>
      <c r="Y265" s="163" t="str">
        <f t="shared" si="31"/>
        <v/>
      </c>
      <c r="Z265" s="163" t="str">
        <f t="shared" si="31"/>
        <v/>
      </c>
      <c r="AA265" s="163" t="str">
        <f t="shared" si="31"/>
        <v/>
      </c>
      <c r="AB265" s="163" t="str">
        <f t="shared" si="31"/>
        <v/>
      </c>
      <c r="AC265" s="163" t="str">
        <f t="shared" si="31"/>
        <v/>
      </c>
      <c r="AD265" s="163" t="str">
        <f t="shared" si="31"/>
        <v/>
      </c>
      <c r="AE265" s="163" t="str">
        <f t="shared" si="31"/>
        <v/>
      </c>
      <c r="AF265" s="163" t="str">
        <f t="shared" si="31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2">IF(B233&lt;100,"",B233-330)</f>
        <v/>
      </c>
      <c r="C266" s="163" t="str">
        <f t="shared" si="32"/>
        <v/>
      </c>
      <c r="D266" s="163" t="str">
        <f t="shared" si="32"/>
        <v/>
      </c>
      <c r="E266" s="163" t="str">
        <f t="shared" si="32"/>
        <v/>
      </c>
      <c r="F266" s="163" t="str">
        <f t="shared" si="32"/>
        <v/>
      </c>
      <c r="G266" s="163" t="str">
        <f t="shared" si="32"/>
        <v/>
      </c>
      <c r="H266" s="163" t="str">
        <f t="shared" si="32"/>
        <v/>
      </c>
      <c r="I266" s="163" t="str">
        <f t="shared" si="32"/>
        <v/>
      </c>
      <c r="J266" s="163" t="str">
        <f t="shared" si="32"/>
        <v/>
      </c>
      <c r="K266" s="163" t="str">
        <f t="shared" si="32"/>
        <v/>
      </c>
      <c r="L266" s="163" t="str">
        <f t="shared" si="32"/>
        <v/>
      </c>
      <c r="M266" s="163" t="str">
        <f t="shared" si="32"/>
        <v/>
      </c>
      <c r="N266" s="163" t="str">
        <f t="shared" si="32"/>
        <v/>
      </c>
      <c r="O266" s="163" t="str">
        <f t="shared" si="32"/>
        <v/>
      </c>
      <c r="P266" s="163" t="str">
        <f t="shared" si="32"/>
        <v/>
      </c>
      <c r="Q266" s="163" t="str">
        <f t="shared" si="32"/>
        <v/>
      </c>
      <c r="R266" s="163" t="str">
        <f t="shared" si="32"/>
        <v/>
      </c>
      <c r="S266" s="163" t="str">
        <f t="shared" si="32"/>
        <v/>
      </c>
      <c r="T266" s="163" t="str">
        <f t="shared" si="32"/>
        <v/>
      </c>
      <c r="U266" s="163" t="str">
        <f t="shared" si="32"/>
        <v/>
      </c>
      <c r="V266" s="163" t="str">
        <f t="shared" si="32"/>
        <v/>
      </c>
      <c r="W266" s="163" t="str">
        <f t="shared" si="32"/>
        <v/>
      </c>
      <c r="X266" s="163" t="str">
        <f t="shared" si="32"/>
        <v/>
      </c>
      <c r="Y266" s="163" t="str">
        <f t="shared" si="32"/>
        <v/>
      </c>
      <c r="Z266" s="163" t="str">
        <f t="shared" si="32"/>
        <v/>
      </c>
      <c r="AA266" s="163" t="str">
        <f t="shared" si="32"/>
        <v/>
      </c>
      <c r="AB266" s="163" t="str">
        <f t="shared" si="32"/>
        <v/>
      </c>
      <c r="AC266" s="163" t="str">
        <f t="shared" si="32"/>
        <v/>
      </c>
      <c r="AD266" s="163" t="str">
        <f t="shared" si="32"/>
        <v/>
      </c>
      <c r="AE266" s="163" t="str">
        <f t="shared" si="32"/>
        <v/>
      </c>
      <c r="AF266" s="163" t="str">
        <f t="shared" si="32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3">IF(B234&lt;100,"",B234-1500)</f>
        <v/>
      </c>
      <c r="C267" s="163" t="str">
        <f t="shared" si="33"/>
        <v/>
      </c>
      <c r="D267" s="163" t="str">
        <f t="shared" si="33"/>
        <v/>
      </c>
      <c r="E267" s="163" t="str">
        <f t="shared" si="33"/>
        <v/>
      </c>
      <c r="F267" s="163" t="str">
        <f t="shared" si="33"/>
        <v/>
      </c>
      <c r="G267" s="163" t="str">
        <f t="shared" si="33"/>
        <v/>
      </c>
      <c r="H267" s="163" t="str">
        <f t="shared" si="33"/>
        <v/>
      </c>
      <c r="I267" s="163" t="str">
        <f t="shared" si="33"/>
        <v/>
      </c>
      <c r="J267" s="163" t="str">
        <f t="shared" si="33"/>
        <v/>
      </c>
      <c r="K267" s="163" t="str">
        <f t="shared" si="33"/>
        <v/>
      </c>
      <c r="L267" s="163" t="str">
        <f t="shared" si="33"/>
        <v/>
      </c>
      <c r="M267" s="163" t="str">
        <f t="shared" si="33"/>
        <v/>
      </c>
      <c r="N267" s="163" t="str">
        <f t="shared" si="33"/>
        <v/>
      </c>
      <c r="O267" s="163" t="str">
        <f t="shared" si="33"/>
        <v/>
      </c>
      <c r="P267" s="163" t="str">
        <f t="shared" si="33"/>
        <v/>
      </c>
      <c r="Q267" s="163" t="str">
        <f t="shared" si="33"/>
        <v/>
      </c>
      <c r="R267" s="163" t="str">
        <f t="shared" si="33"/>
        <v/>
      </c>
      <c r="S267" s="163" t="str">
        <f t="shared" si="33"/>
        <v/>
      </c>
      <c r="T267" s="163" t="str">
        <f t="shared" si="33"/>
        <v/>
      </c>
      <c r="U267" s="163" t="str">
        <f t="shared" si="33"/>
        <v/>
      </c>
      <c r="V267" s="163" t="str">
        <f t="shared" si="33"/>
        <v/>
      </c>
      <c r="W267" s="163" t="str">
        <f t="shared" si="33"/>
        <v/>
      </c>
      <c r="X267" s="163" t="str">
        <f t="shared" si="33"/>
        <v/>
      </c>
      <c r="Y267" s="163" t="str">
        <f t="shared" si="33"/>
        <v/>
      </c>
      <c r="Z267" s="163" t="str">
        <f t="shared" si="33"/>
        <v/>
      </c>
      <c r="AA267" s="163" t="str">
        <f t="shared" si="33"/>
        <v/>
      </c>
      <c r="AB267" s="163" t="str">
        <f t="shared" si="33"/>
        <v/>
      </c>
      <c r="AC267" s="163" t="str">
        <f t="shared" si="33"/>
        <v/>
      </c>
      <c r="AD267" s="163" t="str">
        <f t="shared" si="33"/>
        <v/>
      </c>
      <c r="AE267" s="163" t="str">
        <f t="shared" si="33"/>
        <v/>
      </c>
      <c r="AF267" s="163" t="str">
        <f t="shared" si="33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D67:E67"/>
    <mergeCell ref="AB9:AB10"/>
    <mergeCell ref="AC9:AC10"/>
    <mergeCell ref="AD9:AD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7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F67:R67 T67:AF67 B15:AF15 X11:AF11 C105:AF105 C107:AF112 B22:AF26 B17:AF18">
    <cfRule type="expression" dxfId="3695" priority="283">
      <formula>B$9&gt;=20/24</formula>
    </cfRule>
    <cfRule type="expression" dxfId="3694" priority="284">
      <formula>AND(B$9&gt;=14/24,B$9&lt;20/24)</formula>
    </cfRule>
    <cfRule type="expression" dxfId="3693" priority="285">
      <formula>AND(B$9&gt;=8/24,B$9&lt;14/24)</formula>
    </cfRule>
    <cfRule type="expression" dxfId="3692" priority="286">
      <formula>B$9&lt;8/24</formula>
    </cfRule>
  </conditionalFormatting>
  <conditionalFormatting sqref="AL4:AL6">
    <cfRule type="iconSet" priority="282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3691" priority="278">
      <formula>S$9&gt;=20/24</formula>
    </cfRule>
    <cfRule type="expression" dxfId="3690" priority="279">
      <formula>AND(S$9&gt;=14/24,S$9&lt;20/24)</formula>
    </cfRule>
    <cfRule type="expression" dxfId="3689" priority="280">
      <formula>AND(S$9&gt;=8/24,S$9&lt;14/24)</formula>
    </cfRule>
    <cfRule type="expression" dxfId="3688" priority="281">
      <formula>S$9&lt;8/24</formula>
    </cfRule>
  </conditionalFormatting>
  <conditionalFormatting sqref="AG61 B12:W18 S43:AF43 B41:AF41 B20:AF20 B22:AF26 X11:AF18">
    <cfRule type="expression" dxfId="3687" priority="277">
      <formula>B11&gt;$AG11</formula>
    </cfRule>
  </conditionalFormatting>
  <conditionalFormatting sqref="A95:A105 A55:A82 A91:A93 A198:A228 A42:A53 A114:A185 A38:A39 A87:A89 A84:A85 A107:A109 A35:A36 A17:A18 A11:A15 A20:A33">
    <cfRule type="expression" dxfId="3686" priority="276">
      <formula>$AH11=0</formula>
    </cfRule>
  </conditionalFormatting>
  <conditionalFormatting sqref="A110">
    <cfRule type="expression" dxfId="3685" priority="275">
      <formula>$AH110=0</formula>
    </cfRule>
  </conditionalFormatting>
  <conditionalFormatting sqref="AL39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684" priority="273">
      <formula>$AH41=0</formula>
    </cfRule>
  </conditionalFormatting>
  <conditionalFormatting sqref="A94">
    <cfRule type="expression" dxfId="3683" priority="272">
      <formula>$AH94=0</formula>
    </cfRule>
  </conditionalFormatting>
  <conditionalFormatting sqref="A16">
    <cfRule type="expression" dxfId="3682" priority="271">
      <formula>$AH16=0</formula>
    </cfRule>
  </conditionalFormatting>
  <conditionalFormatting sqref="A192:A197">
    <cfRule type="expression" dxfId="3681" priority="270">
      <formula>$AH192=0</formula>
    </cfRule>
  </conditionalFormatting>
  <conditionalFormatting sqref="A186:A191">
    <cfRule type="expression" dxfId="3680" priority="269">
      <formula>$AH186=0</formula>
    </cfRule>
  </conditionalFormatting>
  <conditionalFormatting sqref="A54">
    <cfRule type="expression" dxfId="3679" priority="268">
      <formula>$AH54=0</formula>
    </cfRule>
  </conditionalFormatting>
  <conditionalFormatting sqref="A90">
    <cfRule type="expression" dxfId="3678" priority="267">
      <formula>$AH90=0</formula>
    </cfRule>
  </conditionalFormatting>
  <conditionalFormatting sqref="C95:AF95">
    <cfRule type="expression" dxfId="3677" priority="263">
      <formula>C$9&gt;=20/24</formula>
    </cfRule>
    <cfRule type="expression" dxfId="3676" priority="264">
      <formula>AND(C$9&gt;=14/24,C$9&lt;20/24)</formula>
    </cfRule>
    <cfRule type="expression" dxfId="3675" priority="265">
      <formula>AND(C$9&gt;=8/24,C$9&lt;14/24)</formula>
    </cfRule>
    <cfRule type="expression" dxfId="3674" priority="266">
      <formula>C$9&lt;8/24</formula>
    </cfRule>
  </conditionalFormatting>
  <conditionalFormatting sqref="AL40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B8 M8 S8 AB8 D67">
    <cfRule type="expression" dxfId="3673" priority="289">
      <formula>C$9&gt;=20/24</formula>
    </cfRule>
    <cfRule type="expression" dxfId="3672" priority="290">
      <formula>AND(C$9&gt;=14/24,C$9&lt;20/24)</formula>
    </cfRule>
    <cfRule type="expression" dxfId="3671" priority="291">
      <formula>AND(C$9&gt;=8/24,C$9&lt;14/24)</formula>
    </cfRule>
    <cfRule type="expression" dxfId="3670" priority="292">
      <formula>C$9&lt;8/24</formula>
    </cfRule>
  </conditionalFormatting>
  <conditionalFormatting sqref="A229">
    <cfRule type="expression" dxfId="3669" priority="293">
      <formula>$AH229=0</formula>
    </cfRule>
  </conditionalFormatting>
  <conditionalFormatting sqref="AG241">
    <cfRule type="expression" dxfId="3668" priority="294">
      <formula>B$9&gt;=20/24</formula>
    </cfRule>
    <cfRule type="expression" dxfId="3667" priority="295">
      <formula>AND(B$9&gt;=14/24,B$9&lt;20/24)</formula>
    </cfRule>
    <cfRule type="expression" dxfId="3666" priority="296">
      <formula>AND(B$9&gt;=8/24,B$9&lt;14/24)</formula>
    </cfRule>
    <cfRule type="expression" dxfId="3665" priority="297">
      <formula>B$9&lt;8/24</formula>
    </cfRule>
  </conditionalFormatting>
  <conditionalFormatting sqref="S8">
    <cfRule type="expression" dxfId="3664" priority="258">
      <formula>U$9&gt;=20/24</formula>
    </cfRule>
    <cfRule type="expression" dxfId="3663" priority="259">
      <formula>AND(U$9&gt;=14/24,U$9&lt;20/24)</formula>
    </cfRule>
    <cfRule type="expression" dxfId="3662" priority="260">
      <formula>AND(U$9&gt;=8/24,U$9&lt;14/24)</formula>
    </cfRule>
    <cfRule type="expression" dxfId="3661" priority="261">
      <formula>U$9&lt;8/24</formula>
    </cfRule>
  </conditionalFormatting>
  <conditionalFormatting sqref="AB8">
    <cfRule type="expression" dxfId="3660" priority="254">
      <formula>AD$9&gt;=20/24</formula>
    </cfRule>
    <cfRule type="expression" dxfId="3659" priority="255">
      <formula>AND(AD$9&gt;=14/24,AD$9&lt;20/24)</formula>
    </cfRule>
    <cfRule type="expression" dxfId="3658" priority="256">
      <formula>AND(AD$9&gt;=8/24,AD$9&lt;14/24)</formula>
    </cfRule>
    <cfRule type="expression" dxfId="3657" priority="257">
      <formula>AD$9&lt;8/24</formula>
    </cfRule>
  </conditionalFormatting>
  <conditionalFormatting sqref="AH241:AX241">
    <cfRule type="expression" dxfId="3656" priority="298">
      <formula>AG$9&gt;=20/24</formula>
    </cfRule>
    <cfRule type="expression" dxfId="3655" priority="299">
      <formula>AND(AG$9&gt;=14/24,AG$9&lt;20/24)</formula>
    </cfRule>
    <cfRule type="expression" dxfId="3654" priority="300">
      <formula>AND(AG$9&gt;=8/24,AG$9&lt;14/24)</formula>
    </cfRule>
    <cfRule type="expression" dxfId="3653" priority="301">
      <formula>AG$9&lt;8/24</formula>
    </cfRule>
  </conditionalFormatting>
  <conditionalFormatting sqref="T241">
    <cfRule type="expression" dxfId="3652" priority="302">
      <formula>AX$9&gt;=20/24</formula>
    </cfRule>
    <cfRule type="expression" dxfId="3651" priority="303">
      <formula>AND(AX$9&gt;=14/24,AX$9&lt;20/24)</formula>
    </cfRule>
    <cfRule type="expression" dxfId="3650" priority="304">
      <formula>AND(AX$9&gt;=8/24,AX$9&lt;14/24)</formula>
    </cfRule>
    <cfRule type="expression" dxfId="3649" priority="305">
      <formula>AX$9&lt;8/24</formula>
    </cfRule>
  </conditionalFormatting>
  <conditionalFormatting sqref="A111:A112">
    <cfRule type="expression" dxfId="3648" priority="253">
      <formula>$AH111=0</formula>
    </cfRule>
  </conditionalFormatting>
  <conditionalFormatting sqref="AB50:AF51 E50:O51 V50:W51">
    <cfRule type="expression" dxfId="3647" priority="249">
      <formula>E$9&gt;=20/24</formula>
    </cfRule>
    <cfRule type="expression" dxfId="3646" priority="250">
      <formula>AND(E$9&gt;=14/24,E$9&lt;20/24)</formula>
    </cfRule>
    <cfRule type="expression" dxfId="3645" priority="251">
      <formula>AND(E$9&gt;=8/24,E$9&lt;14/24)</formula>
    </cfRule>
    <cfRule type="expression" dxfId="3644" priority="252">
      <formula>E$9&lt;8/24</formula>
    </cfRule>
  </conditionalFormatting>
  <conditionalFormatting sqref="AB49:AF49 E49:O49 T49:W49">
    <cfRule type="expression" dxfId="3643" priority="245">
      <formula>E$9&gt;=20/24</formula>
    </cfRule>
    <cfRule type="expression" dxfId="3642" priority="246">
      <formula>AND(E$9&gt;=14/24,E$9&lt;20/24)</formula>
    </cfRule>
    <cfRule type="expression" dxfId="3641" priority="247">
      <formula>AND(E$9&gt;=8/24,E$9&lt;14/24)</formula>
    </cfRule>
    <cfRule type="expression" dxfId="3640" priority="248">
      <formula>E$9&lt;8/24</formula>
    </cfRule>
  </conditionalFormatting>
  <conditionalFormatting sqref="AB49:AF51 E49:O51 T49:U49 V49:W51">
    <cfRule type="expression" dxfId="3639" priority="244">
      <formula>E49&gt;$AG49</formula>
    </cfRule>
  </conditionalFormatting>
  <conditionalFormatting sqref="C92:AF92 L43:R43 E68:R69 U63:V65 C79:AF82 T68:AF69 X12:AF14 X33:AF33 X35:AF38 X20:AF20 X28:AF31 X63:AF65 D96:AF102 T71:AF77 X70:AF70">
    <cfRule type="expression" dxfId="3638" priority="240">
      <formula>C$9&gt;=20/24</formula>
    </cfRule>
    <cfRule type="expression" dxfId="3637" priority="241">
      <formula>AND(C$9&gt;=14/24,C$9&lt;20/24)</formula>
    </cfRule>
    <cfRule type="expression" dxfId="3636" priority="242">
      <formula>AND(C$9&gt;=8/24,C$9&lt;14/24)</formula>
    </cfRule>
    <cfRule type="expression" dxfId="3635" priority="243">
      <formula>C$9&lt;8/24</formula>
    </cfRule>
  </conditionalFormatting>
  <conditionalFormatting sqref="X39:AF39">
    <cfRule type="expression" dxfId="3634" priority="236">
      <formula>X$9&gt;=20/24</formula>
    </cfRule>
    <cfRule type="expression" dxfId="3633" priority="237">
      <formula>AND(X$9&gt;=14/24,X$9&lt;20/24)</formula>
    </cfRule>
    <cfRule type="expression" dxfId="3632" priority="238">
      <formula>AND(X$9&gt;=8/24,X$9&lt;14/24)</formula>
    </cfRule>
    <cfRule type="expression" dxfId="3631" priority="239">
      <formula>X$9&lt;8/24</formula>
    </cfRule>
  </conditionalFormatting>
  <conditionalFormatting sqref="AB52:AF53 L43:R43 U63:V65 E52:Q52 C61:AF61 X35:AF39 X28:AF33 X63:AF65">
    <cfRule type="expression" dxfId="3630" priority="235">
      <formula>C28&gt;$AG28</formula>
    </cfRule>
  </conditionalFormatting>
  <conditionalFormatting sqref="X41:AF41">
    <cfRule type="expression" dxfId="3629" priority="231">
      <formula>X$9&gt;=20/24</formula>
    </cfRule>
    <cfRule type="expression" dxfId="3628" priority="232">
      <formula>AND(X$9&gt;=14/24,X$9&lt;20/24)</formula>
    </cfRule>
    <cfRule type="expression" dxfId="3627" priority="233">
      <formula>AND(X$9&gt;=8/24,X$9&lt;14/24)</formula>
    </cfRule>
    <cfRule type="expression" dxfId="3626" priority="234">
      <formula>X$9&lt;8/24</formula>
    </cfRule>
  </conditionalFormatting>
  <conditionalFormatting sqref="X16:AF16">
    <cfRule type="expression" dxfId="3625" priority="227">
      <formula>X$9&gt;=20/24</formula>
    </cfRule>
    <cfRule type="expression" dxfId="3624" priority="228">
      <formula>AND(X$9&gt;=14/24,X$9&lt;20/24)</formula>
    </cfRule>
    <cfRule type="expression" dxfId="3623" priority="229">
      <formula>AND(X$9&gt;=8/24,X$9&lt;14/24)</formula>
    </cfRule>
    <cfRule type="expression" dxfId="3622" priority="230">
      <formula>X$9&lt;8/24</formula>
    </cfRule>
  </conditionalFormatting>
  <conditionalFormatting sqref="X40:AF40">
    <cfRule type="expression" dxfId="3621" priority="223">
      <formula>X$9&gt;=20/24</formula>
    </cfRule>
    <cfRule type="expression" dxfId="3620" priority="224">
      <formula>AND(X$9&gt;=14/24,X$9&lt;20/24)</formula>
    </cfRule>
    <cfRule type="expression" dxfId="3619" priority="225">
      <formula>AND(X$9&gt;=8/24,X$9&lt;14/24)</formula>
    </cfRule>
    <cfRule type="expression" dxfId="3618" priority="226">
      <formula>X$9&lt;8/24</formula>
    </cfRule>
  </conditionalFormatting>
  <conditionalFormatting sqref="X40:AF40">
    <cfRule type="expression" dxfId="3617" priority="222">
      <formula>X40&gt;$AG40</formula>
    </cfRule>
  </conditionalFormatting>
  <conditionalFormatting sqref="V52:AA53 AB54:AF60">
    <cfRule type="expression" dxfId="3616" priority="218">
      <formula>V$9&gt;=20/24</formula>
    </cfRule>
    <cfRule type="expression" dxfId="3615" priority="219">
      <formula>AND(V$9&gt;=14/24,V$9&lt;20/24)</formula>
    </cfRule>
    <cfRule type="expression" dxfId="3614" priority="220">
      <formula>AND(V$9&gt;=8/24,V$9&lt;14/24)</formula>
    </cfRule>
    <cfRule type="expression" dxfId="3613" priority="221">
      <formula>V$9&lt;8/24</formula>
    </cfRule>
  </conditionalFormatting>
  <conditionalFormatting sqref="V52:AA53 AB54:AF60">
    <cfRule type="expression" dxfId="3612" priority="217">
      <formula>V52&gt;$AG52</formula>
    </cfRule>
  </conditionalFormatting>
  <conditionalFormatting sqref="R52:R55 P49:R51 V54:AA55">
    <cfRule type="expression" dxfId="3611" priority="213">
      <formula>P$9&gt;=20/24</formula>
    </cfRule>
    <cfRule type="expression" dxfId="3610" priority="214">
      <formula>AND(P$9&gt;=14/24,P$9&lt;20/24)</formula>
    </cfRule>
    <cfRule type="expression" dxfId="3609" priority="215">
      <formula>AND(P$9&gt;=8/24,P$9&lt;14/24)</formula>
    </cfRule>
    <cfRule type="expression" dxfId="3608" priority="216">
      <formula>P$9&lt;8/24</formula>
    </cfRule>
  </conditionalFormatting>
  <conditionalFormatting sqref="R52:R55 P49:R51 V54:AA55">
    <cfRule type="expression" dxfId="3607" priority="212">
      <formula>P49&gt;$AG49</formula>
    </cfRule>
  </conditionalFormatting>
  <conditionalFormatting sqref="X32:AF32">
    <cfRule type="expression" dxfId="3606" priority="208">
      <formula>X$9&gt;=20/24</formula>
    </cfRule>
    <cfRule type="expression" dxfId="3605" priority="209">
      <formula>AND(X$9&gt;=14/24,X$9&lt;20/24)</formula>
    </cfRule>
    <cfRule type="expression" dxfId="3604" priority="210">
      <formula>AND(X$9&gt;=8/24,X$9&lt;14/24)</formula>
    </cfRule>
    <cfRule type="expression" dxfId="3603" priority="211">
      <formula>X$9&lt;8/24</formula>
    </cfRule>
  </conditionalFormatting>
  <conditionalFormatting sqref="X21:AF21 X27:AF27">
    <cfRule type="expression" dxfId="3602" priority="204">
      <formula>X$9&gt;=20/24</formula>
    </cfRule>
    <cfRule type="expression" dxfId="3601" priority="205">
      <formula>AND(X$9&gt;=14/24,X$9&lt;20/24)</formula>
    </cfRule>
    <cfRule type="expression" dxfId="3600" priority="206">
      <formula>AND(X$9&gt;=8/24,X$9&lt;14/24)</formula>
    </cfRule>
    <cfRule type="expression" dxfId="3599" priority="207">
      <formula>X$9&lt;8/24</formula>
    </cfRule>
  </conditionalFormatting>
  <conditionalFormatting sqref="X21:AF21 X27:AF27">
    <cfRule type="expression" dxfId="3598" priority="203">
      <formula>X21&gt;$AG21</formula>
    </cfRule>
  </conditionalFormatting>
  <conditionalFormatting sqref="X50:AA51">
    <cfRule type="expression" dxfId="3597" priority="194">
      <formula>X$9&gt;=20/24</formula>
    </cfRule>
    <cfRule type="expression" dxfId="3596" priority="195">
      <formula>AND(X$9&gt;=14/24,X$9&lt;20/24)</formula>
    </cfRule>
    <cfRule type="expression" dxfId="3595" priority="196">
      <formula>AND(X$9&gt;=8/24,X$9&lt;14/24)</formula>
    </cfRule>
    <cfRule type="expression" dxfId="3594" priority="197">
      <formula>X$9&lt;8/24</formula>
    </cfRule>
  </conditionalFormatting>
  <conditionalFormatting sqref="X49:AA49">
    <cfRule type="expression" dxfId="3593" priority="190">
      <formula>X$9&gt;=20/24</formula>
    </cfRule>
    <cfRule type="expression" dxfId="3592" priority="191">
      <formula>AND(X$9&gt;=14/24,X$9&lt;20/24)</formula>
    </cfRule>
    <cfRule type="expression" dxfId="3591" priority="192">
      <formula>AND(X$9&gt;=8/24,X$9&lt;14/24)</formula>
    </cfRule>
    <cfRule type="expression" dxfId="3590" priority="193">
      <formula>X$9&lt;8/24</formula>
    </cfRule>
  </conditionalFormatting>
  <conditionalFormatting sqref="X49:AA51">
    <cfRule type="expression" dxfId="3589" priority="189">
      <formula>X49&gt;$AG49</formula>
    </cfRule>
  </conditionalFormatting>
  <conditionalFormatting sqref="B105 B84:AF84 B93:AF93 B107:B112 B11:W11">
    <cfRule type="expression" dxfId="3588" priority="185">
      <formula>B$9&gt;=20/24</formula>
    </cfRule>
    <cfRule type="expression" dxfId="3587" priority="186">
      <formula>AND(B$9&gt;=14/24,B$9&lt;20/24)</formula>
    </cfRule>
    <cfRule type="expression" dxfId="3586" priority="187">
      <formula>AND(B$9&gt;=8/24,B$9&lt;14/24)</formula>
    </cfRule>
    <cfRule type="expression" dxfId="3585" priority="188">
      <formula>B$9&lt;8/24</formula>
    </cfRule>
  </conditionalFormatting>
  <conditionalFormatting sqref="B43:K43">
    <cfRule type="expression" dxfId="3584" priority="181">
      <formula>B$9&gt;=20/24</formula>
    </cfRule>
    <cfRule type="expression" dxfId="3583" priority="182">
      <formula>AND(B$9&gt;=14/24,B$9&lt;20/24)</formula>
    </cfRule>
    <cfRule type="expression" dxfId="3582" priority="183">
      <formula>AND(B$9&gt;=8/24,B$9&lt;14/24)</formula>
    </cfRule>
    <cfRule type="expression" dxfId="3581" priority="184">
      <formula>B$9&lt;8/24</formula>
    </cfRule>
  </conditionalFormatting>
  <conditionalFormatting sqref="B43:K43 B11:W11">
    <cfRule type="expression" dxfId="3580" priority="180">
      <formula>B11&gt;$AG11</formula>
    </cfRule>
  </conditionalFormatting>
  <conditionalFormatting sqref="B95">
    <cfRule type="expression" dxfId="3579" priority="176">
      <formula>B$9&gt;=20/24</formula>
    </cfRule>
    <cfRule type="expression" dxfId="3578" priority="177">
      <formula>AND(B$9&gt;=14/24,B$9&lt;20/24)</formula>
    </cfRule>
    <cfRule type="expression" dxfId="3577" priority="178">
      <formula>AND(B$9&gt;=8/24,B$9&lt;14/24)</formula>
    </cfRule>
    <cfRule type="expression" dxfId="3576" priority="179">
      <formula>B$9&lt;8/24</formula>
    </cfRule>
  </conditionalFormatting>
  <conditionalFormatting sqref="B67:C67 B50:D51 B42:AF42">
    <cfRule type="expression" dxfId="3575" priority="172">
      <formula>B$9&gt;=20/24</formula>
    </cfRule>
    <cfRule type="expression" dxfId="3574" priority="173">
      <formula>AND(B$9&gt;=14/24,B$9&lt;20/24)</formula>
    </cfRule>
    <cfRule type="expression" dxfId="3573" priority="174">
      <formula>AND(B$9&gt;=8/24,B$9&lt;14/24)</formula>
    </cfRule>
    <cfRule type="expression" dxfId="3572" priority="175">
      <formula>B$9&lt;8/24</formula>
    </cfRule>
  </conditionalFormatting>
  <conditionalFormatting sqref="B49:D49">
    <cfRule type="expression" dxfId="3571" priority="168">
      <formula>B$9&gt;=20/24</formula>
    </cfRule>
    <cfRule type="expression" dxfId="3570" priority="169">
      <formula>AND(B$9&gt;=14/24,B$9&lt;20/24)</formula>
    </cfRule>
    <cfRule type="expression" dxfId="3569" priority="170">
      <formula>AND(B$9&gt;=8/24,B$9&lt;14/24)</formula>
    </cfRule>
    <cfRule type="expression" dxfId="3568" priority="171">
      <formula>B$9&lt;8/24</formula>
    </cfRule>
  </conditionalFormatting>
  <conditionalFormatting sqref="B49:D51 B42:AF42">
    <cfRule type="expression" dxfId="3567" priority="167">
      <formula>B42&gt;$AG42</formula>
    </cfRule>
  </conditionalFormatting>
  <conditionalFormatting sqref="B63:B66 B79:B83 B85:AF85 B92 C66:AG66 C83:AG83 B94:AF94 B96:C102 B68:D69 C63:R65 B12:W14 B20:W20 B28:W31 B33:W33 B35:W38 B71:R77 B70:W70">
    <cfRule type="expression" dxfId="3566" priority="163">
      <formula>B$9&gt;=20/24</formula>
    </cfRule>
    <cfRule type="expression" dxfId="3565" priority="164">
      <formula>AND(B$9&gt;=14/24,B$9&lt;20/24)</formula>
    </cfRule>
    <cfRule type="expression" dxfId="3564" priority="165">
      <formula>AND(B$9&gt;=8/24,B$9&lt;14/24)</formula>
    </cfRule>
    <cfRule type="expression" dxfId="3563" priority="166">
      <formula>B$9&lt;8/24</formula>
    </cfRule>
  </conditionalFormatting>
  <conditionalFormatting sqref="B39:W39">
    <cfRule type="expression" dxfId="3562" priority="159">
      <formula>B$9&gt;=20/24</formula>
    </cfRule>
    <cfRule type="expression" dxfId="3561" priority="160">
      <formula>AND(B$9&gt;=14/24,B$9&lt;20/24)</formula>
    </cfRule>
    <cfRule type="expression" dxfId="3560" priority="161">
      <formula>AND(B$9&gt;=8/24,B$9&lt;14/24)</formula>
    </cfRule>
    <cfRule type="expression" dxfId="3559" priority="162">
      <formula>B$9&lt;8/24</formula>
    </cfRule>
  </conditionalFormatting>
  <conditionalFormatting sqref="B61:B66 C62:AG62 C66:AG66 C63:R65 B52:D53 E53:Q53 B44:AG44 B28:W33 B35:W39">
    <cfRule type="expression" dxfId="3558" priority="158">
      <formula>B28&gt;$AG28</formula>
    </cfRule>
  </conditionalFormatting>
  <conditionalFormatting sqref="B41:W41">
    <cfRule type="expression" dxfId="3557" priority="154">
      <formula>B$9&gt;=20/24</formula>
    </cfRule>
    <cfRule type="expression" dxfId="3556" priority="155">
      <formula>AND(B$9&gt;=14/24,B$9&lt;20/24)</formula>
    </cfRule>
    <cfRule type="expression" dxfId="3555" priority="156">
      <formula>AND(B$9&gt;=8/24,B$9&lt;14/24)</formula>
    </cfRule>
    <cfRule type="expression" dxfId="3554" priority="157">
      <formula>B$9&lt;8/24</formula>
    </cfRule>
  </conditionalFormatting>
  <conditionalFormatting sqref="B16:W16">
    <cfRule type="expression" dxfId="3553" priority="150">
      <formula>B$9&gt;=20/24</formula>
    </cfRule>
    <cfRule type="expression" dxfId="3552" priority="151">
      <formula>AND(B$9&gt;=14/24,B$9&lt;20/24)</formula>
    </cfRule>
    <cfRule type="expression" dxfId="3551" priority="152">
      <formula>AND(B$9&gt;=8/24,B$9&lt;14/24)</formula>
    </cfRule>
    <cfRule type="expression" dxfId="3550" priority="153">
      <formula>B$9&lt;8/24</formula>
    </cfRule>
  </conditionalFormatting>
  <conditionalFormatting sqref="B40:W40">
    <cfRule type="expression" dxfId="3549" priority="146">
      <formula>B$9&gt;=20/24</formula>
    </cfRule>
    <cfRule type="expression" dxfId="3548" priority="147">
      <formula>AND(B$9&gt;=14/24,B$9&lt;20/24)</formula>
    </cfRule>
    <cfRule type="expression" dxfId="3547" priority="148">
      <formula>AND(B$9&gt;=8/24,B$9&lt;14/24)</formula>
    </cfRule>
    <cfRule type="expression" dxfId="3546" priority="149">
      <formula>B$9&lt;8/24</formula>
    </cfRule>
  </conditionalFormatting>
  <conditionalFormatting sqref="B40:W40">
    <cfRule type="expression" dxfId="3545" priority="145">
      <formula>B40&gt;$AG40</formula>
    </cfRule>
  </conditionalFormatting>
  <conditionalFormatting sqref="R56:R60 B54:Q60">
    <cfRule type="expression" dxfId="3544" priority="141">
      <formula>B$9&gt;=20/24</formula>
    </cfRule>
    <cfRule type="expression" dxfId="3543" priority="142">
      <formula>AND(B$9&gt;=14/24,B$9&lt;20/24)</formula>
    </cfRule>
    <cfRule type="expression" dxfId="3542" priority="143">
      <formula>AND(B$9&gt;=8/24,B$9&lt;14/24)</formula>
    </cfRule>
    <cfRule type="expression" dxfId="3541" priority="144">
      <formula>B$9&lt;8/24</formula>
    </cfRule>
  </conditionalFormatting>
  <conditionalFormatting sqref="R56:R60 B54:Q60">
    <cfRule type="expression" dxfId="3540" priority="140">
      <formula>B54&gt;$AG54</formula>
    </cfRule>
  </conditionalFormatting>
  <conditionalFormatting sqref="B32:W32">
    <cfRule type="expression" dxfId="3539" priority="136">
      <formula>B$9&gt;=20/24</formula>
    </cfRule>
    <cfRule type="expression" dxfId="3538" priority="137">
      <formula>AND(B$9&gt;=14/24,B$9&lt;20/24)</formula>
    </cfRule>
    <cfRule type="expression" dxfId="3537" priority="138">
      <formula>AND(B$9&gt;=8/24,B$9&lt;14/24)</formula>
    </cfRule>
    <cfRule type="expression" dxfId="3536" priority="139">
      <formula>B$9&lt;8/24</formula>
    </cfRule>
  </conditionalFormatting>
  <conditionalFormatting sqref="B21:W21 B27:W27">
    <cfRule type="expression" dxfId="3535" priority="132">
      <formula>B$9&gt;=20/24</formula>
    </cfRule>
    <cfRule type="expression" dxfId="3534" priority="133">
      <formula>AND(B$9&gt;=14/24,B$9&lt;20/24)</formula>
    </cfRule>
    <cfRule type="expression" dxfId="3533" priority="134">
      <formula>AND(B$9&gt;=8/24,B$9&lt;14/24)</formula>
    </cfRule>
    <cfRule type="expression" dxfId="3532" priority="135">
      <formula>B$9&lt;8/24</formula>
    </cfRule>
  </conditionalFormatting>
  <conditionalFormatting sqref="B21:W21 B27:W27">
    <cfRule type="expression" dxfId="3531" priority="131">
      <formula>B21&gt;$AG21</formula>
    </cfRule>
  </conditionalFormatting>
  <conditionalFormatting sqref="A40">
    <cfRule type="expression" dxfId="3530" priority="130">
      <formula>$AH40=0</formula>
    </cfRule>
  </conditionalFormatting>
  <conditionalFormatting sqref="B78:AF78">
    <cfRule type="expression" dxfId="3529" priority="126">
      <formula>B$9&gt;=20/24</formula>
    </cfRule>
    <cfRule type="expression" dxfId="3528" priority="127">
      <formula>AND(B$9&gt;=14/24,B$9&lt;20/24)</formula>
    </cfRule>
    <cfRule type="expression" dxfId="3527" priority="128">
      <formula>AND(B$9&gt;=8/24,B$9&lt;14/24)</formula>
    </cfRule>
    <cfRule type="expression" dxfId="3526" priority="129">
      <formula>B$9&lt;8/24</formula>
    </cfRule>
  </conditionalFormatting>
  <conditionalFormatting sqref="B87:AF91">
    <cfRule type="expression" dxfId="3525" priority="122">
      <formula>B$9&gt;=20/24</formula>
    </cfRule>
    <cfRule type="expression" dxfId="3524" priority="123">
      <formula>AND(B$9&gt;=14/24,B$9&lt;20/24)</formula>
    </cfRule>
    <cfRule type="expression" dxfId="3523" priority="124">
      <formula>AND(B$9&gt;=8/24,B$9&lt;14/24)</formula>
    </cfRule>
    <cfRule type="expression" dxfId="3522" priority="125">
      <formula>B$9&lt;8/24</formula>
    </cfRule>
  </conditionalFormatting>
  <conditionalFormatting sqref="AL41 AL38 AL20:AL33 AL35:AL36 AL7:AL18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3521" priority="118">
      <formula>C$9&gt;=20/24</formula>
    </cfRule>
    <cfRule type="expression" dxfId="3520" priority="119">
      <formula>AND(C$9&gt;=14/24,C$9&lt;20/24)</formula>
    </cfRule>
    <cfRule type="expression" dxfId="3519" priority="120">
      <formula>AND(C$9&gt;=8/24,C$9&lt;14/24)</formula>
    </cfRule>
    <cfRule type="expression" dxfId="3518" priority="121">
      <formula>C$9&lt;8/24</formula>
    </cfRule>
  </conditionalFormatting>
  <conditionalFormatting sqref="C45:AF47">
    <cfRule type="expression" dxfId="3517" priority="117">
      <formula>C45&gt;$AG45</formula>
    </cfRule>
  </conditionalFormatting>
  <conditionalFormatting sqref="B45:B48 C48:AG48">
    <cfRule type="expression" dxfId="3516" priority="113">
      <formula>B$9&gt;=20/24</formula>
    </cfRule>
    <cfRule type="expression" dxfId="3515" priority="114">
      <formula>AND(B$9&gt;=14/24,B$9&lt;20/24)</formula>
    </cfRule>
    <cfRule type="expression" dxfId="3514" priority="115">
      <formula>AND(B$9&gt;=8/24,B$9&lt;14/24)</formula>
    </cfRule>
    <cfRule type="expression" dxfId="3513" priority="116">
      <formula>B$9&lt;8/24</formula>
    </cfRule>
  </conditionalFormatting>
  <conditionalFormatting sqref="B45:B48 C48:AG48">
    <cfRule type="expression" dxfId="3512" priority="112">
      <formula>B45&gt;$AG45</formula>
    </cfRule>
  </conditionalFormatting>
  <conditionalFormatting sqref="C103:AF103">
    <cfRule type="expression" dxfId="3511" priority="108">
      <formula>C$9&gt;=20/24</formula>
    </cfRule>
    <cfRule type="expression" dxfId="3510" priority="109">
      <formula>AND(C$9&gt;=14/24,C$9&lt;20/24)</formula>
    </cfRule>
    <cfRule type="expression" dxfId="3509" priority="110">
      <formula>AND(C$9&gt;=8/24,C$9&lt;14/24)</formula>
    </cfRule>
    <cfRule type="expression" dxfId="3508" priority="111">
      <formula>C$9&lt;8/24</formula>
    </cfRule>
  </conditionalFormatting>
  <conditionalFormatting sqref="B103">
    <cfRule type="expression" dxfId="3507" priority="104">
      <formula>B$9&gt;=20/24</formula>
    </cfRule>
    <cfRule type="expression" dxfId="3506" priority="105">
      <formula>AND(B$9&gt;=14/24,B$9&lt;20/24)</formula>
    </cfRule>
    <cfRule type="expression" dxfId="3505" priority="106">
      <formula>AND(B$9&gt;=8/24,B$9&lt;14/24)</formula>
    </cfRule>
    <cfRule type="expression" dxfId="3504" priority="107">
      <formula>B$9&lt;8/24</formula>
    </cfRule>
  </conditionalFormatting>
  <conditionalFormatting sqref="AL37">
    <cfRule type="iconSet" priority="103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503" priority="98">
      <formula>$AH37=0</formula>
    </cfRule>
  </conditionalFormatting>
  <conditionalFormatting sqref="A86">
    <cfRule type="expression" dxfId="3502" priority="96">
      <formula>$AH86=0</formula>
    </cfRule>
  </conditionalFormatting>
  <conditionalFormatting sqref="A83">
    <cfRule type="expression" dxfId="3501" priority="97">
      <formula>$AH83=0</formula>
    </cfRule>
  </conditionalFormatting>
  <conditionalFormatting sqref="A113">
    <cfRule type="expression" dxfId="3500" priority="87">
      <formula>$AH113=0</formula>
    </cfRule>
  </conditionalFormatting>
  <conditionalFormatting sqref="C106:AF106">
    <cfRule type="expression" dxfId="3499" priority="83">
      <formula>C$9&gt;=20/24</formula>
    </cfRule>
    <cfRule type="expression" dxfId="3498" priority="84">
      <formula>AND(C$9&gt;=14/24,C$9&lt;20/24)</formula>
    </cfRule>
    <cfRule type="expression" dxfId="3497" priority="85">
      <formula>AND(C$9&gt;=8/24,C$9&lt;14/24)</formula>
    </cfRule>
    <cfRule type="expression" dxfId="3496" priority="86">
      <formula>C$9&lt;8/24</formula>
    </cfRule>
  </conditionalFormatting>
  <conditionalFormatting sqref="A106">
    <cfRule type="expression" dxfId="3495" priority="82">
      <formula>$AH106=0</formula>
    </cfRule>
  </conditionalFormatting>
  <conditionalFormatting sqref="B106">
    <cfRule type="expression" dxfId="3494" priority="78">
      <formula>B$9&gt;=20/24</formula>
    </cfRule>
    <cfRule type="expression" dxfId="3493" priority="79">
      <formula>AND(B$9&gt;=14/24,B$9&lt;20/24)</formula>
    </cfRule>
    <cfRule type="expression" dxfId="3492" priority="80">
      <formula>AND(B$9&gt;=8/24,B$9&lt;14/24)</formula>
    </cfRule>
    <cfRule type="expression" dxfId="3491" priority="81">
      <formula>B$9&lt;8/24</formula>
    </cfRule>
  </conditionalFormatting>
  <conditionalFormatting sqref="V56:W58 X56:AA60">
    <cfRule type="expression" dxfId="3490" priority="74">
      <formula>V$9&gt;=20/24</formula>
    </cfRule>
    <cfRule type="expression" dxfId="3489" priority="75">
      <formula>AND(V$9&gt;=14/24,V$9&lt;20/24)</formula>
    </cfRule>
    <cfRule type="expression" dxfId="3488" priority="76">
      <formula>AND(V$9&gt;=8/24,V$9&lt;14/24)</formula>
    </cfRule>
    <cfRule type="expression" dxfId="3487" priority="77">
      <formula>V$9&lt;8/24</formula>
    </cfRule>
  </conditionalFormatting>
  <conditionalFormatting sqref="V56:W58 X56:AA60">
    <cfRule type="expression" dxfId="3486" priority="73">
      <formula>V56&gt;$AG56</formula>
    </cfRule>
  </conditionalFormatting>
  <conditionalFormatting sqref="B19:AF19">
    <cfRule type="expression" dxfId="3485" priority="71">
      <formula>B19&gt;$AG19</formula>
    </cfRule>
  </conditionalFormatting>
  <conditionalFormatting sqref="A19">
    <cfRule type="expression" dxfId="3484" priority="70">
      <formula>$AH19=0</formula>
    </cfRule>
  </conditionalFormatting>
  <conditionalFormatting sqref="X19:AF19">
    <cfRule type="expression" dxfId="3483" priority="66">
      <formula>X$9&gt;=20/24</formula>
    </cfRule>
    <cfRule type="expression" dxfId="3482" priority="67">
      <formula>AND(X$9&gt;=14/24,X$9&lt;20/24)</formula>
    </cfRule>
    <cfRule type="expression" dxfId="3481" priority="68">
      <formula>AND(X$9&gt;=8/24,X$9&lt;14/24)</formula>
    </cfRule>
    <cfRule type="expression" dxfId="3480" priority="69">
      <formula>X$9&lt;8/24</formula>
    </cfRule>
  </conditionalFormatting>
  <conditionalFormatting sqref="B19:W19">
    <cfRule type="expression" dxfId="3479" priority="62">
      <formula>B$9&gt;=20/24</formula>
    </cfRule>
    <cfRule type="expression" dxfId="3478" priority="63">
      <formula>AND(B$9&gt;=14/24,B$9&lt;20/24)</formula>
    </cfRule>
    <cfRule type="expression" dxfId="3477" priority="64">
      <formula>AND(B$9&gt;=8/24,B$9&lt;14/24)</formula>
    </cfRule>
    <cfRule type="expression" dxfId="3476" priority="65">
      <formula>B$9&lt;8/24</formula>
    </cfRule>
  </conditionalFormatting>
  <conditionalFormatting sqref="AL19">
    <cfRule type="iconSet" priority="7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475" priority="60">
      <formula>$AH34=0</formula>
    </cfRule>
  </conditionalFormatting>
  <conditionalFormatting sqref="X34:AF34">
    <cfRule type="expression" dxfId="3474" priority="56">
      <formula>X$9&gt;=20/24</formula>
    </cfRule>
    <cfRule type="expression" dxfId="3473" priority="57">
      <formula>AND(X$9&gt;=14/24,X$9&lt;20/24)</formula>
    </cfRule>
    <cfRule type="expression" dxfId="3472" priority="58">
      <formula>AND(X$9&gt;=8/24,X$9&lt;14/24)</formula>
    </cfRule>
    <cfRule type="expression" dxfId="3471" priority="59">
      <formula>X$9&lt;8/24</formula>
    </cfRule>
  </conditionalFormatting>
  <conditionalFormatting sqref="X34:AF34">
    <cfRule type="expression" dxfId="3470" priority="55">
      <formula>X34&gt;$AG34</formula>
    </cfRule>
  </conditionalFormatting>
  <conditionalFormatting sqref="B34:W34">
    <cfRule type="expression" dxfId="3469" priority="46">
      <formula>B$9&gt;=20/24</formula>
    </cfRule>
    <cfRule type="expression" dxfId="3468" priority="47">
      <formula>AND(B$9&gt;=14/24,B$9&lt;20/24)</formula>
    </cfRule>
    <cfRule type="expression" dxfId="3467" priority="48">
      <formula>AND(B$9&gt;=8/24,B$9&lt;14/24)</formula>
    </cfRule>
    <cfRule type="expression" dxfId="3466" priority="49">
      <formula>B$9&lt;8/24</formula>
    </cfRule>
  </conditionalFormatting>
  <conditionalFormatting sqref="B34:W34">
    <cfRule type="expression" dxfId="3465" priority="45">
      <formula>B34&gt;$AG34</formula>
    </cfRule>
  </conditionalFormatting>
  <conditionalFormatting sqref="AL34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S52:U52">
    <cfRule type="expression" dxfId="3464" priority="44">
      <formula>S52&gt;$AG52</formula>
    </cfRule>
  </conditionalFormatting>
  <conditionalFormatting sqref="S49:S51 T50:U51">
    <cfRule type="expression" dxfId="3463" priority="40">
      <formula>S$9&gt;=20/24</formula>
    </cfRule>
    <cfRule type="expression" dxfId="3462" priority="41">
      <formula>AND(S$9&gt;=14/24,S$9&lt;20/24)</formula>
    </cfRule>
    <cfRule type="expression" dxfId="3461" priority="42">
      <formula>AND(S$9&gt;=8/24,S$9&lt;14/24)</formula>
    </cfRule>
    <cfRule type="expression" dxfId="3460" priority="43">
      <formula>S$9&lt;8/24</formula>
    </cfRule>
  </conditionalFormatting>
  <conditionalFormatting sqref="S49:S51 T50:U51">
    <cfRule type="expression" dxfId="3459" priority="39">
      <formula>S49&gt;$AG49</formula>
    </cfRule>
  </conditionalFormatting>
  <conditionalFormatting sqref="S53:U53">
    <cfRule type="expression" dxfId="3458" priority="38">
      <formula>S53&gt;$AG53</formula>
    </cfRule>
  </conditionalFormatting>
  <conditionalFormatting sqref="S54:U60 V59:W60">
    <cfRule type="expression" dxfId="3457" priority="34">
      <formula>S$9&gt;=20/24</formula>
    </cfRule>
    <cfRule type="expression" dxfId="3456" priority="35">
      <formula>AND(S$9&gt;=14/24,S$9&lt;20/24)</formula>
    </cfRule>
    <cfRule type="expression" dxfId="3455" priority="36">
      <formula>AND(S$9&gt;=8/24,S$9&lt;14/24)</formula>
    </cfRule>
    <cfRule type="expression" dxfId="3454" priority="37">
      <formula>S$9&lt;8/24</formula>
    </cfRule>
  </conditionalFormatting>
  <conditionalFormatting sqref="S54:U60 V59:W60">
    <cfRule type="expression" dxfId="3453" priority="33">
      <formula>S54&gt;$AG54</formula>
    </cfRule>
  </conditionalFormatting>
  <conditionalFormatting sqref="S63:T65">
    <cfRule type="expression" dxfId="3452" priority="29">
      <formula>S$9&gt;=20/24</formula>
    </cfRule>
    <cfRule type="expression" dxfId="3451" priority="30">
      <formula>AND(S$9&gt;=14/24,S$9&lt;20/24)</formula>
    </cfRule>
    <cfRule type="expression" dxfId="3450" priority="31">
      <formula>AND(S$9&gt;=8/24,S$9&lt;14/24)</formula>
    </cfRule>
    <cfRule type="expression" dxfId="3449" priority="32">
      <formula>S$9&lt;8/24</formula>
    </cfRule>
  </conditionalFormatting>
  <conditionalFormatting sqref="S63:T65">
    <cfRule type="expression" dxfId="3448" priority="28">
      <formula>S63&gt;$AG63</formula>
    </cfRule>
  </conditionalFormatting>
  <conditionalFormatting sqref="S67">
    <cfRule type="expression" dxfId="3447" priority="24">
      <formula>S$9&gt;=20/24</formula>
    </cfRule>
    <cfRule type="expression" dxfId="3446" priority="25">
      <formula>AND(S$9&gt;=14/24,S$9&lt;20/24)</formula>
    </cfRule>
    <cfRule type="expression" dxfId="3445" priority="26">
      <formula>AND(S$9&gt;=8/24,S$9&lt;14/24)</formula>
    </cfRule>
    <cfRule type="expression" dxfId="3444" priority="27">
      <formula>S$9&lt;8/24</formula>
    </cfRule>
  </conditionalFormatting>
  <conditionalFormatting sqref="S68:S69">
    <cfRule type="expression" dxfId="3443" priority="20">
      <formula>S$9&gt;=20/24</formula>
    </cfRule>
    <cfRule type="expression" dxfId="3442" priority="21">
      <formula>AND(S$9&gt;=14/24,S$9&lt;20/24)</formula>
    </cfRule>
    <cfRule type="expression" dxfId="3441" priority="22">
      <formula>AND(S$9&gt;=8/24,S$9&lt;14/24)</formula>
    </cfRule>
    <cfRule type="expression" dxfId="3440" priority="23">
      <formula>S$9&lt;8/24</formula>
    </cfRule>
  </conditionalFormatting>
  <conditionalFormatting sqref="S71:S77">
    <cfRule type="expression" dxfId="3439" priority="16">
      <formula>S$9&gt;=20/24</formula>
    </cfRule>
    <cfRule type="expression" dxfId="3438" priority="17">
      <formula>AND(S$9&gt;=14/24,S$9&lt;20/24)</formula>
    </cfRule>
    <cfRule type="expression" dxfId="3437" priority="18">
      <formula>AND(S$9&gt;=8/24,S$9&lt;14/24)</formula>
    </cfRule>
    <cfRule type="expression" dxfId="3436" priority="19">
      <formula>S$9&lt;8/24</formula>
    </cfRule>
  </conditionalFormatting>
  <conditionalFormatting sqref="W63:W65">
    <cfRule type="expression" dxfId="3435" priority="12">
      <formula>W$9&gt;=20/24</formula>
    </cfRule>
    <cfRule type="expression" dxfId="3434" priority="13">
      <formula>AND(W$9&gt;=14/24,W$9&lt;20/24)</formula>
    </cfRule>
    <cfRule type="expression" dxfId="3433" priority="14">
      <formula>AND(W$9&gt;=8/24,W$9&lt;14/24)</formula>
    </cfRule>
    <cfRule type="expression" dxfId="3432" priority="15">
      <formula>W$9&lt;8/24</formula>
    </cfRule>
  </conditionalFormatting>
  <conditionalFormatting sqref="W63:W65">
    <cfRule type="expression" dxfId="3431" priority="11">
      <formula>W63&gt;$AG63</formula>
    </cfRule>
  </conditionalFormatting>
  <conditionalFormatting sqref="AK49">
    <cfRule type="expression" dxfId="3430" priority="7">
      <formula>AK$9&gt;=20/24</formula>
    </cfRule>
    <cfRule type="expression" dxfId="3429" priority="8">
      <formula>AND(AK$9&gt;=14/24,AK$9&lt;20/24)</formula>
    </cfRule>
    <cfRule type="expression" dxfId="3428" priority="9">
      <formula>AND(AK$9&gt;=8/24,AK$9&lt;14/24)</formula>
    </cfRule>
    <cfRule type="expression" dxfId="3427" priority="10">
      <formula>AK$9&lt;8/24</formula>
    </cfRule>
  </conditionalFormatting>
  <conditionalFormatting sqref="AK49">
    <cfRule type="expression" dxfId="3426" priority="6">
      <formula>AK49&gt;$AG49</formula>
    </cfRule>
  </conditionalFormatting>
  <conditionalFormatting sqref="AK50">
    <cfRule type="expression" dxfId="3425" priority="2">
      <formula>AK$9&gt;=20/24</formula>
    </cfRule>
    <cfRule type="expression" dxfId="3424" priority="3">
      <formula>AND(AK$9&gt;=14/24,AK$9&lt;20/24)</formula>
    </cfRule>
    <cfRule type="expression" dxfId="3423" priority="4">
      <formula>AND(AK$9&gt;=8/24,AK$9&lt;14/24)</formula>
    </cfRule>
    <cfRule type="expression" dxfId="3422" priority="5">
      <formula>AK$9&lt;8/24</formula>
    </cfRule>
  </conditionalFormatting>
  <conditionalFormatting sqref="AK50">
    <cfRule type="expression" dxfId="3421" priority="1">
      <formula>AK50&gt;$AG50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9" id="{926BD86E-E65B-4B9E-9CC4-19CA2D4B94C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0" id="{ACB796B4-E624-4BDB-AFC1-9521878A78E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1" id="{649C3D02-A364-49AA-A416-77A8EB2900C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2" id="{E71DE0AF-58CF-424D-8B99-5ADD7AA0689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92" id="{2FA07F3F-18A0-4BB4-A827-551BE623073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3" id="{DE1E329F-7A81-4808-AD7F-763155B69CB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4" id="{D4A39AA5-A0D1-4549-B885-C095ACDF546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5" id="{9F8D31DF-B4EF-4C44-84EC-9BF429CC9D7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88" id="{D6DB546E-9255-411B-9D44-52AFDD445DA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9" id="{CB8AF529-4A7E-4AA0-9DF8-F70FB6D1014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0" id="{66BB23D1-C37A-469F-A6C5-CC1C03D9D48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1" id="{796FAFE6-5F7A-440E-85F1-C00ABD45686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27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Q69" sqref="Q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2079/08/23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38</v>
      </c>
      <c r="C5" s="30">
        <f t="shared" si="0"/>
        <v>28.9</v>
      </c>
      <c r="D5" s="30">
        <f t="shared" si="0"/>
        <v>43</v>
      </c>
      <c r="E5" s="30">
        <f t="shared" si="0"/>
        <v>36</v>
      </c>
      <c r="F5" s="30">
        <f t="shared" si="0"/>
        <v>38</v>
      </c>
      <c r="G5" s="30">
        <f t="shared" si="0"/>
        <v>42</v>
      </c>
      <c r="H5" s="30">
        <f t="shared" si="0"/>
        <v>32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39</v>
      </c>
      <c r="M5" s="30">
        <f t="shared" si="0"/>
        <v>47.8</v>
      </c>
      <c r="N5" s="30">
        <f t="shared" si="0"/>
        <v>41.1</v>
      </c>
      <c r="O5" s="30">
        <f t="shared" si="0"/>
        <v>111.4</v>
      </c>
      <c r="P5" s="30">
        <f t="shared" si="0"/>
        <v>213.3</v>
      </c>
      <c r="Q5" s="30">
        <f t="shared" si="0"/>
        <v>198.60000000000002</v>
      </c>
      <c r="R5" s="30">
        <f t="shared" si="0"/>
        <v>213.6</v>
      </c>
      <c r="S5" s="30">
        <f t="shared" si="0"/>
        <v>205.8</v>
      </c>
      <c r="T5" s="30">
        <f t="shared" si="0"/>
        <v>198.1</v>
      </c>
      <c r="U5" s="30">
        <f t="shared" si="0"/>
        <v>42.7</v>
      </c>
      <c r="V5" s="30">
        <f t="shared" si="0"/>
        <v>59.2</v>
      </c>
      <c r="W5" s="30">
        <f t="shared" si="0"/>
        <v>48.3</v>
      </c>
      <c r="X5" s="30">
        <f t="shared" si="0"/>
        <v>48.3</v>
      </c>
      <c r="Y5" s="30">
        <f t="shared" si="0"/>
        <v>38.200000000000003</v>
      </c>
      <c r="Z5" s="30">
        <f t="shared" si="0"/>
        <v>36.299999999999997</v>
      </c>
      <c r="AA5" s="30">
        <f t="shared" si="0"/>
        <v>29.9</v>
      </c>
      <c r="AB5" s="30">
        <f t="shared" si="0"/>
        <v>31</v>
      </c>
      <c r="AC5" s="30">
        <f t="shared" si="0"/>
        <v>0</v>
      </c>
      <c r="AD5" s="30">
        <f t="shared" si="0"/>
        <v>0</v>
      </c>
      <c r="AE5" s="30">
        <f t="shared" si="0"/>
        <v>51.2</v>
      </c>
      <c r="AF5" s="30">
        <f>B78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1631MW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Load=890</v>
      </c>
      <c r="B7" s="35">
        <f t="shared" ref="B7:AF7" si="1">B85</f>
        <v>940.44</v>
      </c>
      <c r="C7" s="35">
        <f t="shared" si="1"/>
        <v>939.13</v>
      </c>
      <c r="D7" s="35">
        <f t="shared" si="1"/>
        <v>889.54000000000008</v>
      </c>
      <c r="E7" s="35">
        <f t="shared" si="1"/>
        <v>922.34000000000015</v>
      </c>
      <c r="F7" s="35">
        <f t="shared" si="1"/>
        <v>938.6400000000001</v>
      </c>
      <c r="G7" s="35">
        <f t="shared" si="1"/>
        <v>989.6400000000001</v>
      </c>
      <c r="H7" s="35">
        <f t="shared" si="1"/>
        <v>1054.3400000000001</v>
      </c>
      <c r="I7" s="35">
        <f t="shared" si="1"/>
        <v>1124.7400000000002</v>
      </c>
      <c r="J7" s="35">
        <f t="shared" si="1"/>
        <v>1266.94</v>
      </c>
      <c r="K7" s="35">
        <f t="shared" si="1"/>
        <v>1396.0400000000002</v>
      </c>
      <c r="L7" s="35">
        <f t="shared" si="1"/>
        <v>1510.94</v>
      </c>
      <c r="M7" s="35">
        <f t="shared" si="1"/>
        <v>1631.3400000000004</v>
      </c>
      <c r="N7" s="35">
        <f t="shared" si="1"/>
        <v>1543.5400000000002</v>
      </c>
      <c r="O7" s="35">
        <f t="shared" si="1"/>
        <v>1342.74</v>
      </c>
      <c r="P7" s="35">
        <f t="shared" si="1"/>
        <v>1268.9400000000003</v>
      </c>
      <c r="Q7" s="35">
        <f t="shared" si="1"/>
        <v>1203.54</v>
      </c>
      <c r="R7" s="35">
        <f t="shared" si="1"/>
        <v>1161.04</v>
      </c>
      <c r="S7" s="35">
        <f t="shared" si="1"/>
        <v>1168.3400000000001</v>
      </c>
      <c r="T7" s="35">
        <f t="shared" si="1"/>
        <v>1178.04</v>
      </c>
      <c r="U7" s="35">
        <f t="shared" si="1"/>
        <v>1201.74</v>
      </c>
      <c r="V7" s="35">
        <f t="shared" si="1"/>
        <v>1114.24</v>
      </c>
      <c r="W7" s="35">
        <f t="shared" si="1"/>
        <v>1500.14</v>
      </c>
      <c r="X7" s="35">
        <f t="shared" si="1"/>
        <v>1623.5400000000002</v>
      </c>
      <c r="Y7" s="35">
        <f t="shared" si="1"/>
        <v>1577.74</v>
      </c>
      <c r="Z7" s="35">
        <f t="shared" si="1"/>
        <v>1504.5400000000002</v>
      </c>
      <c r="AA7" s="35">
        <f t="shared" si="1"/>
        <v>1453.24</v>
      </c>
      <c r="AB7" s="35">
        <f t="shared" si="1"/>
        <v>1387.0400000000002</v>
      </c>
      <c r="AC7" s="35">
        <f t="shared" si="1"/>
        <v>1312.64</v>
      </c>
      <c r="AD7" s="35">
        <f t="shared" si="1"/>
        <v>1260.24</v>
      </c>
      <c r="AE7" s="35">
        <f t="shared" si="1"/>
        <v>1038.04</v>
      </c>
      <c r="AF7" s="35">
        <f t="shared" si="1"/>
        <v>963.44000000000017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29.4</v>
      </c>
      <c r="C11" s="45">
        <v>30.3</v>
      </c>
      <c r="D11" s="45">
        <v>28.2</v>
      </c>
      <c r="E11" s="45">
        <v>28.2</v>
      </c>
      <c r="F11" s="45">
        <v>28.2</v>
      </c>
      <c r="G11" s="45">
        <v>28.2</v>
      </c>
      <c r="H11" s="45">
        <v>28.2</v>
      </c>
      <c r="I11" s="45">
        <v>28.2</v>
      </c>
      <c r="J11" s="45">
        <v>28.2</v>
      </c>
      <c r="K11" s="45">
        <v>28.2</v>
      </c>
      <c r="L11" s="45">
        <v>28.2</v>
      </c>
      <c r="M11" s="45">
        <v>28.2</v>
      </c>
      <c r="N11" s="45">
        <v>28.2</v>
      </c>
      <c r="O11" s="45">
        <v>28.2</v>
      </c>
      <c r="P11" s="45">
        <v>28.2</v>
      </c>
      <c r="Q11" s="45">
        <v>28.6</v>
      </c>
      <c r="R11" s="45">
        <v>28.6</v>
      </c>
      <c r="S11" s="45">
        <v>28.6</v>
      </c>
      <c r="T11" s="45">
        <v>27.7</v>
      </c>
      <c r="U11" s="45">
        <v>27.7</v>
      </c>
      <c r="V11" s="45">
        <v>27.7</v>
      </c>
      <c r="W11" s="45">
        <v>26.9</v>
      </c>
      <c r="X11" s="46">
        <v>27.8</v>
      </c>
      <c r="Y11" s="46">
        <v>27.8</v>
      </c>
      <c r="Z11" s="46">
        <v>27.8</v>
      </c>
      <c r="AA11" s="46">
        <v>27.6</v>
      </c>
      <c r="AB11" s="46">
        <v>27.6</v>
      </c>
      <c r="AC11" s="46">
        <v>27.6</v>
      </c>
      <c r="AD11" s="46">
        <v>27.6</v>
      </c>
      <c r="AE11" s="46">
        <v>27.6</v>
      </c>
      <c r="AF11" s="46">
        <v>30.2</v>
      </c>
      <c r="AG11" s="47">
        <v>52.4</v>
      </c>
      <c r="AH11" s="48">
        <f>MAX(B11:AF11)</f>
        <v>30.3</v>
      </c>
      <c r="AI11" s="49">
        <f>MIN(B11:AF11)</f>
        <v>26.9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50.2</v>
      </c>
      <c r="C12" s="45">
        <v>50.3</v>
      </c>
      <c r="D12" s="45">
        <v>50.5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>
        <v>50.5</v>
      </c>
      <c r="O12" s="45">
        <v>50.5</v>
      </c>
      <c r="P12" s="45">
        <v>50.5</v>
      </c>
      <c r="Q12" s="45">
        <v>50.4</v>
      </c>
      <c r="R12" s="45">
        <v>50.4</v>
      </c>
      <c r="S12" s="45">
        <v>50.2</v>
      </c>
      <c r="T12" s="45">
        <v>50.2</v>
      </c>
      <c r="U12" s="45">
        <v>50.2</v>
      </c>
      <c r="V12" s="45">
        <v>50.3</v>
      </c>
      <c r="W12" s="45">
        <v>49.9</v>
      </c>
      <c r="X12" s="45">
        <v>50.1</v>
      </c>
      <c r="Y12" s="45">
        <v>50.1</v>
      </c>
      <c r="Z12" s="45">
        <v>50.1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50.2</v>
      </c>
      <c r="AG12" s="51">
        <v>50</v>
      </c>
      <c r="AH12" s="48">
        <f t="shared" ref="AH12:AH79" si="2">MAX(B12:AF12)</f>
        <v>50.5</v>
      </c>
      <c r="AI12" s="49">
        <f t="shared" ref="AI12:AI79" si="3">MIN(B12:AF12)</f>
        <v>49.9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24.7</v>
      </c>
      <c r="C13" s="45">
        <v>24.7</v>
      </c>
      <c r="D13" s="45">
        <v>24.7</v>
      </c>
      <c r="E13" s="45">
        <v>24.7</v>
      </c>
      <c r="F13" s="45">
        <v>24.7</v>
      </c>
      <c r="G13" s="45">
        <v>24.7</v>
      </c>
      <c r="H13" s="45">
        <v>24.7</v>
      </c>
      <c r="I13" s="45">
        <v>24.7</v>
      </c>
      <c r="J13" s="45">
        <v>24.7</v>
      </c>
      <c r="K13" s="45">
        <v>24.7</v>
      </c>
      <c r="L13" s="45">
        <v>24.7</v>
      </c>
      <c r="M13" s="45">
        <v>24.7</v>
      </c>
      <c r="N13" s="45">
        <v>24.7</v>
      </c>
      <c r="O13" s="45">
        <v>24.7</v>
      </c>
      <c r="P13" s="45">
        <v>24.7</v>
      </c>
      <c r="Q13" s="45">
        <v>24.4</v>
      </c>
      <c r="R13" s="45">
        <v>24.4</v>
      </c>
      <c r="S13" s="45">
        <v>24.4</v>
      </c>
      <c r="T13" s="45">
        <v>24.5</v>
      </c>
      <c r="U13" s="45">
        <v>24.5</v>
      </c>
      <c r="V13" s="45">
        <v>24.5</v>
      </c>
      <c r="W13" s="45">
        <v>26.6</v>
      </c>
      <c r="X13" s="45">
        <v>28.1</v>
      </c>
      <c r="Y13" s="45">
        <v>28.1</v>
      </c>
      <c r="Z13" s="45">
        <v>28.1</v>
      </c>
      <c r="AA13" s="45">
        <v>28</v>
      </c>
      <c r="AB13" s="45">
        <v>28</v>
      </c>
      <c r="AC13" s="45">
        <v>28</v>
      </c>
      <c r="AD13" s="45">
        <v>28</v>
      </c>
      <c r="AE13" s="45">
        <v>28</v>
      </c>
      <c r="AF13" s="45">
        <v>27.2</v>
      </c>
      <c r="AG13" s="51">
        <v>45</v>
      </c>
      <c r="AH13" s="48">
        <f t="shared" si="2"/>
        <v>28.1</v>
      </c>
      <c r="AI13" s="49">
        <f t="shared" si="3"/>
        <v>24.4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12</v>
      </c>
      <c r="C15" s="45">
        <v>22</v>
      </c>
      <c r="D15" s="45">
        <v>22</v>
      </c>
      <c r="E15" s="45">
        <v>22</v>
      </c>
      <c r="F15" s="45">
        <v>22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22</v>
      </c>
      <c r="M15" s="45">
        <v>22</v>
      </c>
      <c r="N15" s="45">
        <v>22</v>
      </c>
      <c r="O15" s="45">
        <v>22</v>
      </c>
      <c r="P15" s="45">
        <v>22</v>
      </c>
      <c r="Q15" s="45">
        <v>22</v>
      </c>
      <c r="R15" s="45">
        <v>22</v>
      </c>
      <c r="S15" s="45">
        <v>22</v>
      </c>
      <c r="T15" s="45">
        <v>22</v>
      </c>
      <c r="U15" s="45">
        <v>22</v>
      </c>
      <c r="V15" s="45">
        <v>22</v>
      </c>
      <c r="W15" s="45">
        <v>22</v>
      </c>
      <c r="X15" s="45">
        <v>22</v>
      </c>
      <c r="Y15" s="45">
        <v>22</v>
      </c>
      <c r="Z15" s="45">
        <v>22</v>
      </c>
      <c r="AA15" s="45">
        <v>22</v>
      </c>
      <c r="AB15" s="45">
        <v>22</v>
      </c>
      <c r="AC15" s="45">
        <v>22</v>
      </c>
      <c r="AD15" s="45">
        <v>22</v>
      </c>
      <c r="AE15" s="45">
        <v>22</v>
      </c>
      <c r="AF15" s="45">
        <v>10</v>
      </c>
      <c r="AG15" s="51">
        <v>36</v>
      </c>
      <c r="AH15" s="48">
        <f t="shared" si="2"/>
        <v>22</v>
      </c>
      <c r="AI15" s="49">
        <f t="shared" si="3"/>
        <v>10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0</v>
      </c>
      <c r="C16" s="45">
        <v>14.4</v>
      </c>
      <c r="D16" s="45">
        <v>5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17</v>
      </c>
      <c r="K16" s="45">
        <v>17</v>
      </c>
      <c r="L16" s="45">
        <v>17</v>
      </c>
      <c r="M16" s="45">
        <v>17</v>
      </c>
      <c r="N16" s="45">
        <v>17</v>
      </c>
      <c r="O16" s="45">
        <v>17</v>
      </c>
      <c r="P16" s="45">
        <v>17</v>
      </c>
      <c r="Q16" s="45">
        <v>14.4</v>
      </c>
      <c r="R16" s="45">
        <v>14.4</v>
      </c>
      <c r="S16" s="45">
        <v>14.4</v>
      </c>
      <c r="T16" s="45">
        <v>14.4</v>
      </c>
      <c r="U16" s="45">
        <v>14.4</v>
      </c>
      <c r="V16" s="45">
        <v>14.4</v>
      </c>
      <c r="W16" s="45">
        <v>14.4</v>
      </c>
      <c r="X16" s="45">
        <v>15</v>
      </c>
      <c r="Y16" s="45">
        <v>15</v>
      </c>
      <c r="Z16" s="45">
        <v>15</v>
      </c>
      <c r="AA16" s="45">
        <v>15</v>
      </c>
      <c r="AB16" s="45">
        <v>15</v>
      </c>
      <c r="AC16" s="45">
        <v>15</v>
      </c>
      <c r="AD16" s="45">
        <v>14.7</v>
      </c>
      <c r="AE16" s="45">
        <v>14.7</v>
      </c>
      <c r="AF16" s="45">
        <v>10</v>
      </c>
      <c r="AG16" s="52">
        <v>30</v>
      </c>
      <c r="AH16" s="48">
        <f t="shared" si="2"/>
        <v>17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14.2</v>
      </c>
      <c r="C17" s="45">
        <v>14</v>
      </c>
      <c r="D17" s="45">
        <v>13.3</v>
      </c>
      <c r="E17" s="45">
        <v>13.3</v>
      </c>
      <c r="F17" s="45">
        <v>13.3</v>
      </c>
      <c r="G17" s="45">
        <v>13.3</v>
      </c>
      <c r="H17" s="45">
        <v>13.3</v>
      </c>
      <c r="I17" s="45">
        <v>13.3</v>
      </c>
      <c r="J17" s="45">
        <v>13.3</v>
      </c>
      <c r="K17" s="45">
        <v>13.3</v>
      </c>
      <c r="L17" s="45">
        <v>13.3</v>
      </c>
      <c r="M17" s="45">
        <v>13.3</v>
      </c>
      <c r="N17" s="45">
        <v>13.3</v>
      </c>
      <c r="O17" s="45">
        <v>13.3</v>
      </c>
      <c r="P17" s="45">
        <v>13.3</v>
      </c>
      <c r="Q17" s="45">
        <v>13.3</v>
      </c>
      <c r="R17" s="45">
        <v>13.3</v>
      </c>
      <c r="S17" s="45">
        <v>13.3</v>
      </c>
      <c r="T17" s="45">
        <v>13.3</v>
      </c>
      <c r="U17" s="45">
        <v>13.3</v>
      </c>
      <c r="V17" s="45">
        <v>13.3</v>
      </c>
      <c r="W17" s="45">
        <v>13.3</v>
      </c>
      <c r="X17" s="45">
        <v>13.3</v>
      </c>
      <c r="Y17" s="45">
        <v>13.3</v>
      </c>
      <c r="Z17" s="45">
        <v>13.3</v>
      </c>
      <c r="AA17" s="45">
        <v>13.3</v>
      </c>
      <c r="AB17" s="45">
        <v>13.3</v>
      </c>
      <c r="AC17" s="45">
        <v>13.3</v>
      </c>
      <c r="AD17" s="45">
        <v>13.3</v>
      </c>
      <c r="AE17" s="45">
        <v>13.3</v>
      </c>
      <c r="AF17" s="45">
        <v>13.3</v>
      </c>
      <c r="AG17" s="51">
        <v>24.2</v>
      </c>
      <c r="AH17" s="48">
        <f t="shared" si="2"/>
        <v>14.2</v>
      </c>
      <c r="AI17" s="49">
        <f t="shared" si="3"/>
        <v>13.3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14.1</v>
      </c>
      <c r="C18" s="45">
        <v>14.3</v>
      </c>
      <c r="D18" s="45">
        <v>14</v>
      </c>
      <c r="E18" s="45">
        <v>14</v>
      </c>
      <c r="F18" s="45">
        <v>14</v>
      </c>
      <c r="G18" s="45">
        <v>14</v>
      </c>
      <c r="H18" s="45">
        <v>14</v>
      </c>
      <c r="I18" s="45">
        <v>14</v>
      </c>
      <c r="J18" s="45">
        <v>14</v>
      </c>
      <c r="K18" s="45">
        <v>14</v>
      </c>
      <c r="L18" s="45">
        <v>14</v>
      </c>
      <c r="M18" s="45">
        <v>14</v>
      </c>
      <c r="N18" s="45">
        <v>14</v>
      </c>
      <c r="O18" s="45">
        <v>14</v>
      </c>
      <c r="P18" s="45">
        <v>14</v>
      </c>
      <c r="Q18" s="45">
        <v>14</v>
      </c>
      <c r="R18" s="45">
        <v>14</v>
      </c>
      <c r="S18" s="45">
        <v>14</v>
      </c>
      <c r="T18" s="45">
        <v>14</v>
      </c>
      <c r="U18" s="45">
        <v>14</v>
      </c>
      <c r="V18" s="45">
        <v>14</v>
      </c>
      <c r="W18" s="45">
        <v>14</v>
      </c>
      <c r="X18" s="45">
        <v>14</v>
      </c>
      <c r="Y18" s="45">
        <v>14</v>
      </c>
      <c r="Z18" s="45">
        <v>14</v>
      </c>
      <c r="AA18" s="45">
        <v>14</v>
      </c>
      <c r="AB18" s="45">
        <v>14</v>
      </c>
      <c r="AC18" s="45">
        <v>14</v>
      </c>
      <c r="AD18" s="45">
        <v>14</v>
      </c>
      <c r="AE18" s="45">
        <v>14</v>
      </c>
      <c r="AF18" s="45">
        <v>14</v>
      </c>
      <c r="AG18" s="51">
        <v>28</v>
      </c>
      <c r="AH18" s="48">
        <f t="shared" si="2"/>
        <v>14.3</v>
      </c>
      <c r="AI18" s="49">
        <f t="shared" si="3"/>
        <v>14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0</v>
      </c>
      <c r="C19" s="45">
        <v>17</v>
      </c>
      <c r="D19" s="45">
        <v>5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17</v>
      </c>
      <c r="K19" s="45">
        <v>17</v>
      </c>
      <c r="L19" s="45">
        <v>17</v>
      </c>
      <c r="M19" s="45">
        <v>17</v>
      </c>
      <c r="N19" s="45">
        <v>17</v>
      </c>
      <c r="O19" s="45">
        <v>17</v>
      </c>
      <c r="P19" s="45">
        <v>17</v>
      </c>
      <c r="Q19" s="45">
        <v>17</v>
      </c>
      <c r="R19" s="45">
        <v>17</v>
      </c>
      <c r="S19" s="45">
        <v>17</v>
      </c>
      <c r="T19" s="45">
        <v>17</v>
      </c>
      <c r="U19" s="45">
        <v>17</v>
      </c>
      <c r="V19" s="45">
        <v>17</v>
      </c>
      <c r="W19" s="45">
        <v>17</v>
      </c>
      <c r="X19" s="45">
        <v>17</v>
      </c>
      <c r="Y19" s="45">
        <v>17</v>
      </c>
      <c r="Z19" s="45">
        <v>17</v>
      </c>
      <c r="AA19" s="45">
        <v>17</v>
      </c>
      <c r="AB19" s="45">
        <v>17</v>
      </c>
      <c r="AC19" s="45">
        <v>17</v>
      </c>
      <c r="AD19" s="45">
        <v>17</v>
      </c>
      <c r="AE19" s="45">
        <v>17</v>
      </c>
      <c r="AF19" s="45">
        <v>8</v>
      </c>
      <c r="AG19" s="52">
        <v>30</v>
      </c>
      <c r="AH19" s="48">
        <f t="shared" si="2"/>
        <v>17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15</v>
      </c>
      <c r="C20" s="45">
        <v>15</v>
      </c>
      <c r="D20" s="45">
        <v>5</v>
      </c>
      <c r="E20" s="45">
        <v>5</v>
      </c>
      <c r="F20" s="45">
        <v>5</v>
      </c>
      <c r="G20" s="45">
        <v>5</v>
      </c>
      <c r="H20" s="45">
        <v>5</v>
      </c>
      <c r="I20" s="45">
        <v>5</v>
      </c>
      <c r="J20" s="45">
        <v>5</v>
      </c>
      <c r="K20" s="45">
        <v>5</v>
      </c>
      <c r="L20" s="45">
        <v>5</v>
      </c>
      <c r="M20" s="45">
        <v>13</v>
      </c>
      <c r="N20" s="45">
        <v>13</v>
      </c>
      <c r="O20" s="45">
        <v>13</v>
      </c>
      <c r="P20" s="45">
        <v>13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15</v>
      </c>
      <c r="AI20" s="49">
        <f t="shared" si="3"/>
        <v>5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>
        <v>12</v>
      </c>
      <c r="W22" s="45">
        <v>12</v>
      </c>
      <c r="X22" s="45">
        <v>12</v>
      </c>
      <c r="Y22" s="45">
        <v>12</v>
      </c>
      <c r="Z22" s="45">
        <v>12</v>
      </c>
      <c r="AA22" s="45">
        <v>12</v>
      </c>
      <c r="AB22" s="45">
        <v>12</v>
      </c>
      <c r="AC22" s="45">
        <v>12</v>
      </c>
      <c r="AD22" s="45">
        <v>12</v>
      </c>
      <c r="AE22" s="45">
        <v>12</v>
      </c>
      <c r="AF22" s="45">
        <v>12</v>
      </c>
      <c r="AG22" s="51">
        <v>25</v>
      </c>
      <c r="AH22" s="48">
        <f t="shared" si="2"/>
        <v>12</v>
      </c>
      <c r="AI22" s="49">
        <f t="shared" si="3"/>
        <v>12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0</v>
      </c>
      <c r="C23" s="45">
        <v>15</v>
      </c>
      <c r="D23" s="45">
        <v>5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13.9</v>
      </c>
      <c r="K23" s="45">
        <v>13.9</v>
      </c>
      <c r="L23" s="45">
        <v>13.9</v>
      </c>
      <c r="M23" s="45">
        <v>13.9</v>
      </c>
      <c r="N23" s="45">
        <v>13.9</v>
      </c>
      <c r="O23" s="45">
        <v>13.9</v>
      </c>
      <c r="P23" s="45">
        <v>13.9</v>
      </c>
      <c r="Q23" s="45">
        <v>13.9</v>
      </c>
      <c r="R23" s="45">
        <v>13.9</v>
      </c>
      <c r="S23" s="45">
        <v>13.9</v>
      </c>
      <c r="T23" s="45">
        <v>13.9</v>
      </c>
      <c r="U23" s="45">
        <v>13.9</v>
      </c>
      <c r="V23" s="45">
        <v>13.9</v>
      </c>
      <c r="W23" s="45">
        <v>13.9</v>
      </c>
      <c r="X23" s="45">
        <v>13.9</v>
      </c>
      <c r="Y23" s="45">
        <v>13.9</v>
      </c>
      <c r="Z23" s="45">
        <v>13.9</v>
      </c>
      <c r="AA23" s="45">
        <v>13.9</v>
      </c>
      <c r="AB23" s="45">
        <v>13.9</v>
      </c>
      <c r="AC23" s="45">
        <v>13.9</v>
      </c>
      <c r="AD23" s="45">
        <v>13.9</v>
      </c>
      <c r="AE23" s="45">
        <v>13.9</v>
      </c>
      <c r="AF23" s="45">
        <v>8</v>
      </c>
      <c r="AG23" s="51">
        <v>25</v>
      </c>
      <c r="AH23" s="48">
        <f t="shared" si="2"/>
        <v>15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12.9</v>
      </c>
      <c r="C24" s="45">
        <v>12.9</v>
      </c>
      <c r="D24" s="45">
        <v>12.9</v>
      </c>
      <c r="E24" s="45">
        <v>12.9</v>
      </c>
      <c r="F24" s="45">
        <v>12.9</v>
      </c>
      <c r="G24" s="45">
        <v>12.9</v>
      </c>
      <c r="H24" s="45">
        <v>12.9</v>
      </c>
      <c r="I24" s="45">
        <v>12.9</v>
      </c>
      <c r="J24" s="45">
        <v>12.9</v>
      </c>
      <c r="K24" s="45">
        <v>12.9</v>
      </c>
      <c r="L24" s="45">
        <v>12.9</v>
      </c>
      <c r="M24" s="45">
        <v>12.9</v>
      </c>
      <c r="N24" s="45">
        <v>12.9</v>
      </c>
      <c r="O24" s="45">
        <v>12.9</v>
      </c>
      <c r="P24" s="45">
        <v>12.9</v>
      </c>
      <c r="Q24" s="45">
        <v>12.9</v>
      </c>
      <c r="R24" s="45">
        <v>12.9</v>
      </c>
      <c r="S24" s="45">
        <v>12.9</v>
      </c>
      <c r="T24" s="45">
        <v>12.9</v>
      </c>
      <c r="U24" s="45">
        <v>12.9</v>
      </c>
      <c r="V24" s="45">
        <v>12.9</v>
      </c>
      <c r="W24" s="45">
        <v>12.9</v>
      </c>
      <c r="X24" s="45">
        <v>12.9</v>
      </c>
      <c r="Y24" s="45">
        <v>12.9</v>
      </c>
      <c r="Z24" s="45">
        <v>12.9</v>
      </c>
      <c r="AA24" s="45">
        <v>12.9</v>
      </c>
      <c r="AB24" s="45">
        <v>12.9</v>
      </c>
      <c r="AC24" s="45">
        <v>12.9</v>
      </c>
      <c r="AD24" s="45">
        <v>12.9</v>
      </c>
      <c r="AE24" s="45">
        <v>12.9</v>
      </c>
      <c r="AF24" s="45">
        <v>12.9</v>
      </c>
      <c r="AG24" s="51">
        <v>23.5</v>
      </c>
      <c r="AH24" s="48">
        <f t="shared" si="2"/>
        <v>12.9</v>
      </c>
      <c r="AI24" s="49">
        <f t="shared" si="3"/>
        <v>12.9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0</v>
      </c>
      <c r="C29" s="45">
        <v>0</v>
      </c>
      <c r="D29" s="45">
        <v>5</v>
      </c>
      <c r="E29" s="45">
        <v>0</v>
      </c>
      <c r="F29" s="45">
        <v>0</v>
      </c>
      <c r="G29" s="45">
        <v>0</v>
      </c>
      <c r="H29" s="45">
        <v>0</v>
      </c>
      <c r="I29" s="45">
        <v>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8</v>
      </c>
      <c r="C30" s="45">
        <v>8</v>
      </c>
      <c r="D30" s="45">
        <v>8</v>
      </c>
      <c r="E30" s="45">
        <v>8</v>
      </c>
      <c r="F30" s="45">
        <v>8</v>
      </c>
      <c r="G30" s="45">
        <v>8</v>
      </c>
      <c r="H30" s="45">
        <v>8</v>
      </c>
      <c r="I30" s="45">
        <v>8</v>
      </c>
      <c r="J30" s="45">
        <v>8</v>
      </c>
      <c r="K30" s="45">
        <v>8</v>
      </c>
      <c r="L30" s="45">
        <v>8</v>
      </c>
      <c r="M30" s="45">
        <v>8</v>
      </c>
      <c r="N30" s="45">
        <v>8</v>
      </c>
      <c r="O30" s="45">
        <v>8</v>
      </c>
      <c r="P30" s="45">
        <v>8</v>
      </c>
      <c r="Q30" s="45">
        <v>8</v>
      </c>
      <c r="R30" s="45">
        <v>8</v>
      </c>
      <c r="S30" s="45">
        <v>8</v>
      </c>
      <c r="T30" s="45">
        <v>8</v>
      </c>
      <c r="U30" s="45">
        <v>8</v>
      </c>
      <c r="V30" s="45">
        <v>8</v>
      </c>
      <c r="W30" s="45">
        <v>8</v>
      </c>
      <c r="X30" s="45">
        <v>8</v>
      </c>
      <c r="Y30" s="45">
        <v>8</v>
      </c>
      <c r="Z30" s="45">
        <v>8</v>
      </c>
      <c r="AA30" s="45">
        <v>8</v>
      </c>
      <c r="AB30" s="45">
        <v>8</v>
      </c>
      <c r="AC30" s="45">
        <v>8</v>
      </c>
      <c r="AD30" s="45">
        <v>8</v>
      </c>
      <c r="AE30" s="45">
        <v>8</v>
      </c>
      <c r="AF30" s="45">
        <v>8</v>
      </c>
      <c r="AG30" s="51">
        <v>18</v>
      </c>
      <c r="AH30" s="48">
        <f t="shared" si="2"/>
        <v>8</v>
      </c>
      <c r="AI30" s="49">
        <f t="shared" si="3"/>
        <v>8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8</v>
      </c>
      <c r="C34" s="45">
        <v>8</v>
      </c>
      <c r="D34" s="45">
        <v>4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8</v>
      </c>
      <c r="K34" s="45">
        <v>8</v>
      </c>
      <c r="L34" s="45">
        <v>8</v>
      </c>
      <c r="M34" s="45">
        <v>8</v>
      </c>
      <c r="N34" s="45">
        <v>8</v>
      </c>
      <c r="O34" s="45">
        <v>8</v>
      </c>
      <c r="P34" s="45">
        <v>8</v>
      </c>
      <c r="Q34" s="45">
        <v>8</v>
      </c>
      <c r="R34" s="45">
        <v>8</v>
      </c>
      <c r="S34" s="45">
        <v>8</v>
      </c>
      <c r="T34" s="45">
        <v>8</v>
      </c>
      <c r="U34" s="45">
        <v>8</v>
      </c>
      <c r="V34" s="45">
        <v>8</v>
      </c>
      <c r="W34" s="45">
        <v>8</v>
      </c>
      <c r="X34" s="45">
        <v>8</v>
      </c>
      <c r="Y34" s="45">
        <v>8</v>
      </c>
      <c r="Z34" s="45">
        <v>8</v>
      </c>
      <c r="AA34" s="45">
        <v>8</v>
      </c>
      <c r="AB34" s="45">
        <v>6</v>
      </c>
      <c r="AC34" s="45">
        <v>6</v>
      </c>
      <c r="AD34" s="45">
        <v>6</v>
      </c>
      <c r="AE34" s="45">
        <v>6</v>
      </c>
      <c r="AF34" s="45">
        <v>3</v>
      </c>
      <c r="AG34" s="51">
        <v>12</v>
      </c>
      <c r="AH34" s="48">
        <f t="shared" si="2"/>
        <v>8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220</v>
      </c>
      <c r="C42" s="57">
        <v>220</v>
      </c>
      <c r="D42" s="57">
        <v>220</v>
      </c>
      <c r="E42" s="57">
        <v>220</v>
      </c>
      <c r="F42" s="57">
        <v>220</v>
      </c>
      <c r="G42" s="57">
        <v>220</v>
      </c>
      <c r="H42" s="57">
        <v>220</v>
      </c>
      <c r="I42" s="57">
        <v>220</v>
      </c>
      <c r="J42" s="57">
        <v>220</v>
      </c>
      <c r="K42" s="57">
        <v>220</v>
      </c>
      <c r="L42" s="57">
        <v>220</v>
      </c>
      <c r="M42" s="57">
        <v>220</v>
      </c>
      <c r="N42" s="57">
        <v>220</v>
      </c>
      <c r="O42" s="57">
        <v>220</v>
      </c>
      <c r="P42" s="57">
        <v>220</v>
      </c>
      <c r="Q42" s="57">
        <v>220</v>
      </c>
      <c r="R42" s="57">
        <v>220</v>
      </c>
      <c r="S42" s="57">
        <v>220</v>
      </c>
      <c r="T42" s="57">
        <v>220</v>
      </c>
      <c r="U42" s="57">
        <v>220</v>
      </c>
      <c r="V42" s="57">
        <v>220</v>
      </c>
      <c r="W42" s="57">
        <v>220</v>
      </c>
      <c r="X42" s="57">
        <v>220</v>
      </c>
      <c r="Y42" s="57">
        <v>220</v>
      </c>
      <c r="Z42" s="57">
        <v>220</v>
      </c>
      <c r="AA42" s="57">
        <v>220</v>
      </c>
      <c r="AB42" s="57">
        <v>220</v>
      </c>
      <c r="AC42" s="57">
        <v>220</v>
      </c>
      <c r="AD42" s="57">
        <v>220</v>
      </c>
      <c r="AE42" s="57">
        <v>220</v>
      </c>
      <c r="AF42" s="57">
        <v>220</v>
      </c>
      <c r="AG42" s="55">
        <v>85</v>
      </c>
      <c r="AH42" s="48">
        <f t="shared" si="2"/>
        <v>220</v>
      </c>
      <c r="AI42" s="49">
        <f t="shared" si="3"/>
        <v>220</v>
      </c>
      <c r="AK42" s="50"/>
    </row>
    <row r="43" spans="1:88" ht="15.75" thickBot="1" x14ac:dyDescent="0.3">
      <c r="A43" s="58" t="s">
        <v>47</v>
      </c>
      <c r="B43" s="59">
        <v>71</v>
      </c>
      <c r="C43" s="59">
        <v>71.3</v>
      </c>
      <c r="D43" s="59">
        <v>73.2</v>
      </c>
      <c r="E43" s="59">
        <f>39.6+33.2</f>
        <v>72.800000000000011</v>
      </c>
      <c r="F43" s="59">
        <f>39.2+33.2</f>
        <v>72.400000000000006</v>
      </c>
      <c r="G43" s="59">
        <f>39.2+33.2</f>
        <v>72.400000000000006</v>
      </c>
      <c r="H43" s="59">
        <f>38.4+33.1</f>
        <v>71.5</v>
      </c>
      <c r="I43" s="59">
        <f>38.4+32.8</f>
        <v>71.199999999999989</v>
      </c>
      <c r="J43" s="59">
        <f>37.7+33.2</f>
        <v>70.900000000000006</v>
      </c>
      <c r="K43" s="59">
        <v>71</v>
      </c>
      <c r="L43" s="57">
        <f>37.4+33.3</f>
        <v>70.699999999999989</v>
      </c>
      <c r="M43" s="57">
        <f>37.4+33.3</f>
        <v>70.699999999999989</v>
      </c>
      <c r="N43" s="57">
        <f>33.1+35.9</f>
        <v>69</v>
      </c>
      <c r="O43" s="57">
        <f>33.9+37.9</f>
        <v>71.8</v>
      </c>
      <c r="P43" s="57">
        <f>33.8+42.3</f>
        <v>76.099999999999994</v>
      </c>
      <c r="Q43" s="57">
        <f>34.2+38.7</f>
        <v>72.900000000000006</v>
      </c>
      <c r="R43" s="57">
        <f>34.1+40.5</f>
        <v>74.599999999999994</v>
      </c>
      <c r="S43" s="57">
        <f>33+39.3</f>
        <v>72.3</v>
      </c>
      <c r="T43" s="57">
        <f>32.9+38.8</f>
        <v>71.699999999999989</v>
      </c>
      <c r="U43" s="59">
        <f>32.7+38.7</f>
        <v>71.400000000000006</v>
      </c>
      <c r="V43" s="59">
        <f>32.6+35.5</f>
        <v>68.099999999999994</v>
      </c>
      <c r="W43" s="59">
        <f>31.9+34.9</f>
        <v>66.8</v>
      </c>
      <c r="X43" s="59">
        <v>65.2</v>
      </c>
      <c r="Y43" s="59">
        <f>31.3+33.8</f>
        <v>65.099999999999994</v>
      </c>
      <c r="Z43" s="59">
        <f>31.8+34.5</f>
        <v>66.3</v>
      </c>
      <c r="AA43" s="59">
        <v>65.5</v>
      </c>
      <c r="AB43" s="59">
        <v>67</v>
      </c>
      <c r="AC43" s="59">
        <f>32+35.5</f>
        <v>67.5</v>
      </c>
      <c r="AD43" s="59">
        <f>32+35.5</f>
        <v>67.5</v>
      </c>
      <c r="AE43" s="59">
        <f>32.1+34.9</f>
        <v>67</v>
      </c>
      <c r="AF43" s="59">
        <f>32.7+34.2</f>
        <v>66.900000000000006</v>
      </c>
      <c r="AG43" s="55">
        <v>240</v>
      </c>
      <c r="AH43" s="48">
        <f t="shared" si="2"/>
        <v>76.099999999999994</v>
      </c>
      <c r="AI43" s="49">
        <f t="shared" si="3"/>
        <v>65.099999999999994</v>
      </c>
      <c r="AK43" s="50"/>
    </row>
    <row r="44" spans="1:88" ht="15.75" thickBot="1" x14ac:dyDescent="0.3">
      <c r="A44" s="60" t="s">
        <v>48</v>
      </c>
      <c r="B44" s="61">
        <f t="shared" ref="B44:AG44" si="4">SUM(B11:B42)</f>
        <v>546.1</v>
      </c>
      <c r="C44" s="61">
        <f t="shared" si="4"/>
        <v>603.5</v>
      </c>
      <c r="D44" s="61">
        <f>SUM(D11:D42)</f>
        <v>560.20000000000005</v>
      </c>
      <c r="E44" s="61">
        <f t="shared" si="4"/>
        <v>536.20000000000005</v>
      </c>
      <c r="F44" s="61">
        <f t="shared" si="4"/>
        <v>536.20000000000005</v>
      </c>
      <c r="G44" s="61">
        <f t="shared" si="4"/>
        <v>536.20000000000005</v>
      </c>
      <c r="H44" s="61">
        <f t="shared" si="4"/>
        <v>536.20000000000005</v>
      </c>
      <c r="I44" s="61">
        <f t="shared" si="4"/>
        <v>536.20000000000005</v>
      </c>
      <c r="J44" s="61">
        <f t="shared" si="4"/>
        <v>602.1</v>
      </c>
      <c r="K44" s="61">
        <f t="shared" si="4"/>
        <v>602.1</v>
      </c>
      <c r="L44" s="61">
        <f t="shared" si="4"/>
        <v>602.1</v>
      </c>
      <c r="M44" s="61">
        <f t="shared" si="4"/>
        <v>611.1</v>
      </c>
      <c r="N44" s="61">
        <f t="shared" si="4"/>
        <v>611.1</v>
      </c>
      <c r="O44" s="61">
        <f t="shared" si="4"/>
        <v>611.1</v>
      </c>
      <c r="P44" s="61">
        <f t="shared" si="4"/>
        <v>611.1</v>
      </c>
      <c r="Q44" s="61">
        <f t="shared" si="4"/>
        <v>609.5</v>
      </c>
      <c r="R44" s="61">
        <f t="shared" si="4"/>
        <v>609.5</v>
      </c>
      <c r="S44" s="61">
        <f t="shared" si="4"/>
        <v>609.30000000000007</v>
      </c>
      <c r="T44" s="61">
        <f t="shared" si="4"/>
        <v>608.5</v>
      </c>
      <c r="U44" s="61">
        <f t="shared" si="4"/>
        <v>608.5</v>
      </c>
      <c r="V44" s="61">
        <f t="shared" si="4"/>
        <v>607.6</v>
      </c>
      <c r="W44" s="61">
        <f t="shared" si="4"/>
        <v>608.5</v>
      </c>
      <c r="X44" s="61">
        <v>612.70000000000005</v>
      </c>
      <c r="Y44" s="61">
        <f t="shared" si="4"/>
        <v>611.70000000000005</v>
      </c>
      <c r="Z44" s="61">
        <f t="shared" si="4"/>
        <v>611.70000000000005</v>
      </c>
      <c r="AA44" s="61">
        <f t="shared" si="4"/>
        <v>611.6</v>
      </c>
      <c r="AB44" s="61">
        <f t="shared" si="4"/>
        <v>609.6</v>
      </c>
      <c r="AC44" s="61">
        <f t="shared" si="4"/>
        <v>609.6</v>
      </c>
      <c r="AD44" s="61">
        <f t="shared" si="4"/>
        <v>609.29999999999995</v>
      </c>
      <c r="AE44" s="61">
        <f t="shared" si="4"/>
        <v>609.29999999999995</v>
      </c>
      <c r="AF44" s="61">
        <f t="shared" si="4"/>
        <v>576.40000000000009</v>
      </c>
      <c r="AG44" s="62">
        <f t="shared" si="4"/>
        <v>814.78000000000009</v>
      </c>
      <c r="AH44" s="48">
        <f t="shared" si="2"/>
        <v>612.70000000000005</v>
      </c>
      <c r="AI44" s="49">
        <f t="shared" si="3"/>
        <v>536.20000000000005</v>
      </c>
      <c r="AK44" s="50"/>
    </row>
    <row r="45" spans="1:88" x14ac:dyDescent="0.25">
      <c r="A45" s="63" t="s">
        <v>49</v>
      </c>
      <c r="B45" s="45">
        <v>15</v>
      </c>
      <c r="C45" s="45">
        <v>15</v>
      </c>
      <c r="D45" s="45">
        <v>15</v>
      </c>
      <c r="E45" s="45">
        <v>15</v>
      </c>
      <c r="F45" s="45">
        <v>15</v>
      </c>
      <c r="G45" s="45">
        <v>15</v>
      </c>
      <c r="H45" s="45">
        <v>70</v>
      </c>
      <c r="I45" s="45">
        <v>125</v>
      </c>
      <c r="J45" s="45">
        <v>210</v>
      </c>
      <c r="K45" s="45">
        <v>315</v>
      </c>
      <c r="L45" s="45">
        <v>430</v>
      </c>
      <c r="M45" s="45">
        <v>456</v>
      </c>
      <c r="N45" s="45">
        <v>380</v>
      </c>
      <c r="O45" s="45">
        <v>190</v>
      </c>
      <c r="P45" s="45">
        <v>60</v>
      </c>
      <c r="Q45" s="45">
        <v>15</v>
      </c>
      <c r="R45" s="45">
        <v>15</v>
      </c>
      <c r="S45" s="45">
        <v>15</v>
      </c>
      <c r="T45" s="45">
        <v>12</v>
      </c>
      <c r="U45" s="45">
        <v>12</v>
      </c>
      <c r="V45" s="45">
        <v>12</v>
      </c>
      <c r="W45" s="45">
        <v>340</v>
      </c>
      <c r="X45" s="45">
        <v>365</v>
      </c>
      <c r="Y45" s="45">
        <v>325</v>
      </c>
      <c r="Z45" s="45">
        <v>290</v>
      </c>
      <c r="AA45" s="45">
        <v>290</v>
      </c>
      <c r="AB45" s="45">
        <v>250</v>
      </c>
      <c r="AC45" s="45">
        <v>230</v>
      </c>
      <c r="AD45" s="45">
        <v>210</v>
      </c>
      <c r="AE45" s="45">
        <v>20</v>
      </c>
      <c r="AF45" s="45">
        <v>20</v>
      </c>
      <c r="AG45" s="52">
        <v>456</v>
      </c>
      <c r="AH45" s="48">
        <f t="shared" si="2"/>
        <v>456</v>
      </c>
      <c r="AI45" s="49">
        <f t="shared" si="3"/>
        <v>12</v>
      </c>
      <c r="AK45" s="50"/>
    </row>
    <row r="46" spans="1:88" x14ac:dyDescent="0.25">
      <c r="A46" s="64" t="s">
        <v>50</v>
      </c>
      <c r="B46" s="65">
        <v>50</v>
      </c>
      <c r="C46" s="65">
        <v>50</v>
      </c>
      <c r="D46" s="65">
        <v>50</v>
      </c>
      <c r="E46" s="65">
        <v>50</v>
      </c>
      <c r="F46" s="65">
        <v>50</v>
      </c>
      <c r="G46" s="65">
        <v>50</v>
      </c>
      <c r="H46" s="65">
        <v>50</v>
      </c>
      <c r="I46" s="65">
        <v>50</v>
      </c>
      <c r="J46" s="65">
        <v>50</v>
      </c>
      <c r="K46" s="65">
        <v>50</v>
      </c>
      <c r="L46" s="65">
        <v>50</v>
      </c>
      <c r="M46" s="65">
        <v>50</v>
      </c>
      <c r="N46" s="65">
        <v>50</v>
      </c>
      <c r="O46" s="65">
        <v>50</v>
      </c>
      <c r="P46" s="65">
        <v>48</v>
      </c>
      <c r="Q46" s="65">
        <v>48</v>
      </c>
      <c r="R46" s="65">
        <v>48</v>
      </c>
      <c r="S46" s="65">
        <v>48</v>
      </c>
      <c r="T46" s="65">
        <v>48</v>
      </c>
      <c r="U46" s="65">
        <v>48</v>
      </c>
      <c r="V46" s="65">
        <v>48</v>
      </c>
      <c r="W46" s="65">
        <v>48</v>
      </c>
      <c r="X46" s="65">
        <v>48</v>
      </c>
      <c r="Y46" s="65">
        <v>48</v>
      </c>
      <c r="Z46" s="65">
        <v>48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50</v>
      </c>
      <c r="AI46" s="49">
        <f t="shared" si="3"/>
        <v>48</v>
      </c>
      <c r="AK46" s="50"/>
    </row>
    <row r="47" spans="1:88" ht="15.75" thickBot="1" x14ac:dyDescent="0.3">
      <c r="A47" s="66" t="s">
        <v>51</v>
      </c>
      <c r="B47" s="67">
        <v>19.2</v>
      </c>
      <c r="C47" s="67">
        <v>19.100000000000001</v>
      </c>
      <c r="D47" s="67">
        <v>19.2</v>
      </c>
      <c r="E47" s="67">
        <v>19.100000000000001</v>
      </c>
      <c r="F47" s="67">
        <v>19.100000000000001</v>
      </c>
      <c r="G47" s="67">
        <v>19.100000000000001</v>
      </c>
      <c r="H47" s="67">
        <v>19.100000000000001</v>
      </c>
      <c r="I47" s="67">
        <v>19.100000000000001</v>
      </c>
      <c r="J47" s="67">
        <v>19.100000000000001</v>
      </c>
      <c r="K47" s="67">
        <v>19.100000000000001</v>
      </c>
      <c r="L47" s="67">
        <v>19.100000000000001</v>
      </c>
      <c r="M47" s="67">
        <v>17.2</v>
      </c>
      <c r="N47" s="67">
        <v>18.100000000000001</v>
      </c>
      <c r="O47" s="67">
        <v>18.2</v>
      </c>
      <c r="P47" s="67">
        <v>18.100000000000001</v>
      </c>
      <c r="Q47" s="67">
        <v>18.100000000000001</v>
      </c>
      <c r="R47" s="67">
        <v>18.100000000000001</v>
      </c>
      <c r="S47" s="67">
        <v>18.100000000000001</v>
      </c>
      <c r="T47" s="67">
        <v>18.100000000000001</v>
      </c>
      <c r="U47" s="67">
        <v>18.100000000000001</v>
      </c>
      <c r="V47" s="67">
        <v>18.100000000000001</v>
      </c>
      <c r="W47" s="67">
        <v>18.100000000000001</v>
      </c>
      <c r="X47" s="67">
        <v>22.1</v>
      </c>
      <c r="Y47" s="67">
        <v>22.1</v>
      </c>
      <c r="Z47" s="67">
        <v>18.600000000000001</v>
      </c>
      <c r="AA47" s="67">
        <v>18.600000000000001</v>
      </c>
      <c r="AB47" s="67">
        <v>18.600000000000001</v>
      </c>
      <c r="AC47" s="67">
        <v>18.600000000000001</v>
      </c>
      <c r="AD47" s="67">
        <v>18.600000000000001</v>
      </c>
      <c r="AE47" s="67">
        <v>18.600000000000001</v>
      </c>
      <c r="AF47" s="67">
        <v>18.600000000000001</v>
      </c>
      <c r="AG47" s="68">
        <v>22.1</v>
      </c>
      <c r="AH47" s="48">
        <f t="shared" si="2"/>
        <v>22.1</v>
      </c>
      <c r="AI47" s="49">
        <f t="shared" si="3"/>
        <v>17.2</v>
      </c>
      <c r="AK47" s="50"/>
    </row>
    <row r="48" spans="1:88" ht="15.75" thickBot="1" x14ac:dyDescent="0.3">
      <c r="A48" s="69" t="s">
        <v>52</v>
      </c>
      <c r="B48" s="61">
        <f t="shared" ref="B48:AG48" si="5">SUM(B45:B47)</f>
        <v>84.2</v>
      </c>
      <c r="C48" s="61">
        <f t="shared" si="5"/>
        <v>84.1</v>
      </c>
      <c r="D48" s="61">
        <f t="shared" si="5"/>
        <v>84.2</v>
      </c>
      <c r="E48" s="61">
        <f t="shared" si="5"/>
        <v>84.1</v>
      </c>
      <c r="F48" s="61">
        <f t="shared" si="5"/>
        <v>84.1</v>
      </c>
      <c r="G48" s="61">
        <f t="shared" si="5"/>
        <v>84.1</v>
      </c>
      <c r="H48" s="61">
        <f t="shared" si="5"/>
        <v>139.1</v>
      </c>
      <c r="I48" s="61">
        <f t="shared" si="5"/>
        <v>194.1</v>
      </c>
      <c r="J48" s="61">
        <f t="shared" si="5"/>
        <v>279.10000000000002</v>
      </c>
      <c r="K48" s="61">
        <f t="shared" si="5"/>
        <v>384.1</v>
      </c>
      <c r="L48" s="61">
        <f t="shared" si="5"/>
        <v>499.1</v>
      </c>
      <c r="M48" s="61">
        <f t="shared" si="5"/>
        <v>523.20000000000005</v>
      </c>
      <c r="N48" s="61">
        <f t="shared" si="5"/>
        <v>448.1</v>
      </c>
      <c r="O48" s="61">
        <f t="shared" si="5"/>
        <v>258.2</v>
      </c>
      <c r="P48" s="61">
        <f t="shared" si="5"/>
        <v>126.1</v>
      </c>
      <c r="Q48" s="61">
        <f t="shared" si="5"/>
        <v>81.099999999999994</v>
      </c>
      <c r="R48" s="61">
        <f t="shared" si="5"/>
        <v>81.099999999999994</v>
      </c>
      <c r="S48" s="61">
        <f t="shared" si="5"/>
        <v>81.099999999999994</v>
      </c>
      <c r="T48" s="61">
        <f t="shared" si="5"/>
        <v>78.099999999999994</v>
      </c>
      <c r="U48" s="61">
        <f t="shared" si="5"/>
        <v>78.099999999999994</v>
      </c>
      <c r="V48" s="61">
        <f t="shared" si="5"/>
        <v>78.099999999999994</v>
      </c>
      <c r="W48" s="61">
        <f t="shared" si="5"/>
        <v>406.1</v>
      </c>
      <c r="X48" s="61">
        <v>435.1</v>
      </c>
      <c r="Y48" s="61">
        <f t="shared" si="5"/>
        <v>395.1</v>
      </c>
      <c r="Z48" s="61">
        <f t="shared" si="5"/>
        <v>356.6</v>
      </c>
      <c r="AA48" s="61">
        <f t="shared" si="5"/>
        <v>356.6</v>
      </c>
      <c r="AB48" s="61">
        <f t="shared" si="5"/>
        <v>316.60000000000002</v>
      </c>
      <c r="AC48" s="61">
        <f t="shared" si="5"/>
        <v>296.60000000000002</v>
      </c>
      <c r="AD48" s="61">
        <f t="shared" si="5"/>
        <v>276.60000000000002</v>
      </c>
      <c r="AE48" s="61">
        <f t="shared" si="5"/>
        <v>86.6</v>
      </c>
      <c r="AF48" s="61">
        <f t="shared" si="5"/>
        <v>86.6</v>
      </c>
      <c r="AG48" s="61">
        <f t="shared" si="5"/>
        <v>538.1</v>
      </c>
      <c r="AH48" s="48">
        <f t="shared" si="2"/>
        <v>523.20000000000005</v>
      </c>
      <c r="AI48" s="49">
        <f t="shared" si="3"/>
        <v>78.099999999999994</v>
      </c>
      <c r="AK48" s="50"/>
    </row>
    <row r="49" spans="1:41" x14ac:dyDescent="0.25">
      <c r="A49" s="44" t="s">
        <v>53</v>
      </c>
      <c r="B49" s="45">
        <v>92.2</v>
      </c>
      <c r="C49" s="45">
        <v>30.3</v>
      </c>
      <c r="D49" s="45">
        <v>30.3</v>
      </c>
      <c r="E49" s="45">
        <v>48.4</v>
      </c>
      <c r="F49" s="45">
        <v>76.099999999999994</v>
      </c>
      <c r="G49" s="45">
        <v>101.8</v>
      </c>
      <c r="H49" s="45">
        <v>102</v>
      </c>
      <c r="I49" s="45">
        <v>121.2</v>
      </c>
      <c r="J49" s="45">
        <v>130</v>
      </c>
      <c r="K49" s="45">
        <v>139.5</v>
      </c>
      <c r="L49" s="45">
        <v>139.1</v>
      </c>
      <c r="M49" s="45">
        <v>142.6</v>
      </c>
      <c r="N49" s="45">
        <v>142.6</v>
      </c>
      <c r="O49" s="45">
        <v>142.6</v>
      </c>
      <c r="P49" s="45">
        <v>142.5</v>
      </c>
      <c r="Q49" s="45">
        <v>91.4</v>
      </c>
      <c r="R49" s="45">
        <v>82.2</v>
      </c>
      <c r="S49" s="45">
        <v>71.400000000000006</v>
      </c>
      <c r="T49" s="45">
        <v>76.8</v>
      </c>
      <c r="U49" s="45">
        <v>87</v>
      </c>
      <c r="V49" s="45">
        <v>140</v>
      </c>
      <c r="W49" s="45">
        <v>142.4</v>
      </c>
      <c r="X49" s="45">
        <v>142.1</v>
      </c>
      <c r="Y49" s="45">
        <v>142.1</v>
      </c>
      <c r="Z49" s="45">
        <v>141.69999999999999</v>
      </c>
      <c r="AA49" s="45">
        <v>141.69999999999999</v>
      </c>
      <c r="AB49" s="45">
        <v>141.69999999999999</v>
      </c>
      <c r="AC49" s="45">
        <v>142.19999999999999</v>
      </c>
      <c r="AD49" s="45">
        <v>141.1</v>
      </c>
      <c r="AE49" s="45">
        <v>116.6</v>
      </c>
      <c r="AF49" s="45">
        <v>63.8</v>
      </c>
      <c r="AG49" s="52">
        <v>144</v>
      </c>
      <c r="AH49" s="48">
        <f t="shared" si="2"/>
        <v>142.6</v>
      </c>
      <c r="AI49" s="49">
        <f t="shared" si="3"/>
        <v>30.3</v>
      </c>
      <c r="AK49" s="50"/>
    </row>
    <row r="50" spans="1:41" x14ac:dyDescent="0.25">
      <c r="A50" s="54" t="s">
        <v>54</v>
      </c>
      <c r="B50" s="65">
        <v>35</v>
      </c>
      <c r="C50" s="65">
        <v>0</v>
      </c>
      <c r="D50" s="65">
        <v>0</v>
      </c>
      <c r="E50" s="65">
        <v>25.2</v>
      </c>
      <c r="F50" s="65">
        <v>40.700000000000003</v>
      </c>
      <c r="G50" s="65">
        <v>50</v>
      </c>
      <c r="H50" s="65">
        <v>54.3</v>
      </c>
      <c r="I50" s="65">
        <v>59.1</v>
      </c>
      <c r="J50" s="65">
        <v>65</v>
      </c>
      <c r="K50" s="65">
        <v>69.7</v>
      </c>
      <c r="L50" s="65">
        <v>70.3</v>
      </c>
      <c r="M50" s="65">
        <v>70</v>
      </c>
      <c r="N50" s="65">
        <v>70</v>
      </c>
      <c r="O50" s="65">
        <v>70</v>
      </c>
      <c r="P50" s="45">
        <v>68.8</v>
      </c>
      <c r="Q50" s="45">
        <v>46</v>
      </c>
      <c r="R50" s="45">
        <v>28.7</v>
      </c>
      <c r="S50" s="45">
        <v>28.8</v>
      </c>
      <c r="T50" s="45">
        <v>50.6</v>
      </c>
      <c r="U50" s="45">
        <v>49.5</v>
      </c>
      <c r="V50" s="65">
        <v>61.2</v>
      </c>
      <c r="W50" s="65">
        <v>69</v>
      </c>
      <c r="X50" s="65">
        <v>70.2</v>
      </c>
      <c r="Y50" s="65">
        <v>70.2</v>
      </c>
      <c r="Z50" s="65">
        <v>69.400000000000006</v>
      </c>
      <c r="AA50" s="65">
        <v>69.400000000000006</v>
      </c>
      <c r="AB50" s="65">
        <v>72.2</v>
      </c>
      <c r="AC50" s="65">
        <v>51.8</v>
      </c>
      <c r="AD50" s="65">
        <v>51.2</v>
      </c>
      <c r="AE50" s="65">
        <v>48.7</v>
      </c>
      <c r="AF50" s="65">
        <v>25.8</v>
      </c>
      <c r="AG50" s="55">
        <v>70</v>
      </c>
      <c r="AH50" s="48">
        <f t="shared" si="2"/>
        <v>72.2</v>
      </c>
      <c r="AI50" s="49">
        <f t="shared" si="3"/>
        <v>0</v>
      </c>
      <c r="AK50" s="50"/>
    </row>
    <row r="51" spans="1:41" x14ac:dyDescent="0.25">
      <c r="A51" s="54" t="s">
        <v>55</v>
      </c>
      <c r="B51" s="65">
        <v>69</v>
      </c>
      <c r="C51" s="65">
        <v>69</v>
      </c>
      <c r="D51" s="65">
        <v>69.900000000000006</v>
      </c>
      <c r="E51" s="65">
        <v>69.7</v>
      </c>
      <c r="F51" s="65">
        <v>49.8</v>
      </c>
      <c r="G51" s="65">
        <v>50.3</v>
      </c>
      <c r="H51" s="65">
        <v>51.5</v>
      </c>
      <c r="I51" s="65">
        <v>51.4</v>
      </c>
      <c r="J51" s="65">
        <v>60</v>
      </c>
      <c r="K51" s="65">
        <v>69.900000000000006</v>
      </c>
      <c r="L51" s="65">
        <v>69.599999999999994</v>
      </c>
      <c r="M51" s="65">
        <v>69.7</v>
      </c>
      <c r="N51" s="65">
        <v>69.7</v>
      </c>
      <c r="O51" s="65">
        <v>69.7</v>
      </c>
      <c r="P51" s="45">
        <v>62.5</v>
      </c>
      <c r="Q51" s="45">
        <v>40.1</v>
      </c>
      <c r="R51" s="45">
        <v>38.700000000000003</v>
      </c>
      <c r="S51" s="45">
        <v>42.1</v>
      </c>
      <c r="T51" s="45">
        <v>36.200000000000003</v>
      </c>
      <c r="U51" s="45">
        <v>46.6</v>
      </c>
      <c r="V51" s="65">
        <v>52.8</v>
      </c>
      <c r="W51" s="65">
        <v>70</v>
      </c>
      <c r="X51" s="65">
        <v>70.3</v>
      </c>
      <c r="Y51" s="65">
        <v>70.3</v>
      </c>
      <c r="Z51" s="65">
        <v>68.2</v>
      </c>
      <c r="AA51" s="65">
        <v>68.2</v>
      </c>
      <c r="AB51" s="65">
        <v>70.8</v>
      </c>
      <c r="AC51" s="65">
        <v>69.099999999999994</v>
      </c>
      <c r="AD51" s="65">
        <v>69.7</v>
      </c>
      <c r="AE51" s="65">
        <v>64.5</v>
      </c>
      <c r="AF51" s="65">
        <v>46.9</v>
      </c>
      <c r="AG51" s="55">
        <v>69</v>
      </c>
      <c r="AH51" s="48">
        <f t="shared" si="2"/>
        <v>70.8</v>
      </c>
      <c r="AI51" s="49">
        <f t="shared" si="3"/>
        <v>36.200000000000003</v>
      </c>
      <c r="AK51" s="50"/>
    </row>
    <row r="52" spans="1:41" x14ac:dyDescent="0.25">
      <c r="A52" s="54" t="s">
        <v>56</v>
      </c>
      <c r="B52" s="57">
        <v>61</v>
      </c>
      <c r="C52" s="57">
        <v>61.2</v>
      </c>
      <c r="D52" s="57">
        <v>61</v>
      </c>
      <c r="E52" s="57">
        <v>60.7</v>
      </c>
      <c r="F52" s="57">
        <v>60.7</v>
      </c>
      <c r="G52" s="57">
        <v>60.7</v>
      </c>
      <c r="H52" s="57">
        <v>60.7</v>
      </c>
      <c r="I52" s="57">
        <v>60.7</v>
      </c>
      <c r="J52" s="57">
        <v>60.7</v>
      </c>
      <c r="K52" s="57">
        <v>60.7</v>
      </c>
      <c r="L52" s="57">
        <v>60.7</v>
      </c>
      <c r="M52" s="57">
        <v>60.7</v>
      </c>
      <c r="N52" s="57">
        <v>60.7</v>
      </c>
      <c r="O52" s="57">
        <v>60.7</v>
      </c>
      <c r="P52" s="45">
        <v>60.7</v>
      </c>
      <c r="Q52" s="45">
        <v>60.7</v>
      </c>
      <c r="R52" s="45">
        <v>60.9</v>
      </c>
      <c r="S52" s="45">
        <v>60.7</v>
      </c>
      <c r="T52" s="45">
        <v>60.7</v>
      </c>
      <c r="U52" s="45">
        <v>60.7</v>
      </c>
      <c r="V52" s="65">
        <v>60.4</v>
      </c>
      <c r="W52" s="65">
        <v>60.4</v>
      </c>
      <c r="X52" s="65">
        <v>60.4</v>
      </c>
      <c r="Y52" s="65">
        <v>60.4</v>
      </c>
      <c r="Z52" s="65">
        <v>60.7</v>
      </c>
      <c r="AA52" s="65">
        <v>60.7</v>
      </c>
      <c r="AB52" s="57">
        <v>60.7</v>
      </c>
      <c r="AC52" s="57">
        <v>60.7</v>
      </c>
      <c r="AD52" s="57">
        <v>60.7</v>
      </c>
      <c r="AE52" s="57">
        <v>60.7</v>
      </c>
      <c r="AF52" s="57">
        <v>60.7</v>
      </c>
      <c r="AG52" s="55">
        <v>60</v>
      </c>
      <c r="AH52" s="48">
        <f t="shared" si="2"/>
        <v>61.2</v>
      </c>
      <c r="AI52" s="49">
        <f t="shared" si="3"/>
        <v>60.4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13.5</v>
      </c>
      <c r="H53" s="57">
        <v>13.5</v>
      </c>
      <c r="I53" s="57">
        <v>15</v>
      </c>
      <c r="J53" s="57">
        <v>15</v>
      </c>
      <c r="K53" s="57">
        <v>15</v>
      </c>
      <c r="L53" s="57">
        <v>15</v>
      </c>
      <c r="M53" s="57">
        <v>30.1</v>
      </c>
      <c r="N53" s="57">
        <v>30.1</v>
      </c>
      <c r="O53" s="57">
        <v>30.1</v>
      </c>
      <c r="P53" s="45">
        <v>25.6</v>
      </c>
      <c r="Q53" s="45">
        <v>0</v>
      </c>
      <c r="R53" s="45">
        <v>0</v>
      </c>
      <c r="S53" s="45">
        <v>0</v>
      </c>
      <c r="T53" s="45">
        <v>0</v>
      </c>
      <c r="U53" s="45">
        <v>13.9</v>
      </c>
      <c r="V53" s="65">
        <v>14</v>
      </c>
      <c r="W53" s="65">
        <v>14</v>
      </c>
      <c r="X53" s="65">
        <v>29.4</v>
      </c>
      <c r="Y53" s="65">
        <v>29.4</v>
      </c>
      <c r="Z53" s="65">
        <v>29.4</v>
      </c>
      <c r="AA53" s="65">
        <v>29</v>
      </c>
      <c r="AB53" s="57">
        <v>28.7</v>
      </c>
      <c r="AC53" s="57">
        <v>0</v>
      </c>
      <c r="AD53" s="57">
        <v>0</v>
      </c>
      <c r="AE53" s="57">
        <v>0</v>
      </c>
      <c r="AF53" s="57">
        <v>0</v>
      </c>
      <c r="AG53" s="55">
        <v>30</v>
      </c>
      <c r="AH53" s="48">
        <f t="shared" si="2"/>
        <v>30.1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3</v>
      </c>
      <c r="N54" s="65">
        <v>4</v>
      </c>
      <c r="O54" s="65">
        <v>5</v>
      </c>
      <c r="P54" s="65">
        <v>6</v>
      </c>
      <c r="Q54" s="65">
        <v>10</v>
      </c>
      <c r="R54" s="45">
        <v>10</v>
      </c>
      <c r="S54" s="45">
        <v>10</v>
      </c>
      <c r="T54" s="45">
        <v>10</v>
      </c>
      <c r="U54" s="45">
        <v>8</v>
      </c>
      <c r="V54" s="45">
        <v>5</v>
      </c>
      <c r="W54" s="45">
        <v>5</v>
      </c>
      <c r="X54" s="45">
        <v>0</v>
      </c>
      <c r="Y54" s="45">
        <v>0</v>
      </c>
      <c r="Z54" s="45">
        <v>0</v>
      </c>
      <c r="AA54" s="4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10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17.399999999999999</v>
      </c>
      <c r="C55" s="65">
        <v>17.399999999999999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17.3</v>
      </c>
      <c r="N55" s="65">
        <v>17.3</v>
      </c>
      <c r="O55" s="65">
        <v>17.3</v>
      </c>
      <c r="P55" s="65">
        <v>17.3</v>
      </c>
      <c r="Q55" s="65">
        <v>17.3</v>
      </c>
      <c r="R55" s="45">
        <v>17.3</v>
      </c>
      <c r="S55" s="45">
        <v>17.3</v>
      </c>
      <c r="T55" s="45">
        <v>17.3</v>
      </c>
      <c r="U55" s="45">
        <v>17.3</v>
      </c>
      <c r="V55" s="45">
        <v>18.100000000000001</v>
      </c>
      <c r="W55" s="45">
        <v>0</v>
      </c>
      <c r="X55" s="45">
        <v>17.3</v>
      </c>
      <c r="Y55" s="45">
        <v>17.3</v>
      </c>
      <c r="Z55" s="45">
        <v>17.3</v>
      </c>
      <c r="AA55" s="45">
        <v>17.3</v>
      </c>
      <c r="AB55" s="65">
        <v>17.3</v>
      </c>
      <c r="AC55" s="65">
        <v>17.3</v>
      </c>
      <c r="AD55" s="65">
        <v>17.3</v>
      </c>
      <c r="AE55" s="65">
        <v>17.3</v>
      </c>
      <c r="AF55" s="65">
        <v>17.3</v>
      </c>
      <c r="AG55" s="55">
        <v>24</v>
      </c>
      <c r="AH55" s="48">
        <f t="shared" si="2"/>
        <v>18.100000000000001</v>
      </c>
      <c r="AI55" s="49">
        <f t="shared" si="3"/>
        <v>0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14.9</v>
      </c>
      <c r="C57" s="65">
        <v>14.99</v>
      </c>
      <c r="D57" s="65">
        <v>15.8</v>
      </c>
      <c r="E57" s="65">
        <v>15.8</v>
      </c>
      <c r="F57" s="65">
        <v>15.8</v>
      </c>
      <c r="G57" s="65">
        <v>15.8</v>
      </c>
      <c r="H57" s="65">
        <v>15.8</v>
      </c>
      <c r="I57" s="65">
        <v>15.8</v>
      </c>
      <c r="J57" s="65">
        <v>15.8</v>
      </c>
      <c r="K57" s="65">
        <v>15.8</v>
      </c>
      <c r="L57" s="65">
        <v>15.8</v>
      </c>
      <c r="M57" s="65">
        <v>15.8</v>
      </c>
      <c r="N57" s="65">
        <v>15.8</v>
      </c>
      <c r="O57" s="65">
        <v>15.8</v>
      </c>
      <c r="P57" s="65">
        <v>15.8</v>
      </c>
      <c r="Q57" s="65">
        <v>13.9</v>
      </c>
      <c r="R57" s="65">
        <v>13.8</v>
      </c>
      <c r="S57" s="65">
        <v>13.8</v>
      </c>
      <c r="T57" s="65">
        <v>13.8</v>
      </c>
      <c r="U57" s="65">
        <v>13.8</v>
      </c>
      <c r="V57" s="65">
        <v>14.1</v>
      </c>
      <c r="W57" s="65">
        <v>14.1</v>
      </c>
      <c r="X57" s="65">
        <v>14.1</v>
      </c>
      <c r="Y57" s="65">
        <v>14.1</v>
      </c>
      <c r="Z57" s="65">
        <v>14.1</v>
      </c>
      <c r="AA57" s="65">
        <v>14.1</v>
      </c>
      <c r="AB57" s="65">
        <v>14.1</v>
      </c>
      <c r="AC57" s="65">
        <v>14.1</v>
      </c>
      <c r="AD57" s="65">
        <v>14.1</v>
      </c>
      <c r="AE57" s="65">
        <v>14.1</v>
      </c>
      <c r="AF57" s="65">
        <v>14.1</v>
      </c>
      <c r="AG57" s="55">
        <v>14.1</v>
      </c>
      <c r="AH57" s="48">
        <f t="shared" si="2"/>
        <v>15.8</v>
      </c>
      <c r="AI57" s="49">
        <f t="shared" si="3"/>
        <v>13.8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7.5</v>
      </c>
      <c r="C58" s="65">
        <v>7.5</v>
      </c>
      <c r="D58" s="65">
        <v>8.8000000000000007</v>
      </c>
      <c r="E58" s="65">
        <v>8.8000000000000007</v>
      </c>
      <c r="F58" s="65">
        <v>8.8000000000000007</v>
      </c>
      <c r="G58" s="65">
        <v>8.8000000000000007</v>
      </c>
      <c r="H58" s="65">
        <v>8.8000000000000007</v>
      </c>
      <c r="I58" s="65">
        <v>8.8000000000000007</v>
      </c>
      <c r="J58" s="65">
        <v>8.8000000000000007</v>
      </c>
      <c r="K58" s="65">
        <v>8.8000000000000007</v>
      </c>
      <c r="L58" s="65">
        <v>8.8000000000000007</v>
      </c>
      <c r="M58" s="65">
        <v>8</v>
      </c>
      <c r="N58" s="65">
        <v>8</v>
      </c>
      <c r="O58" s="65">
        <v>8</v>
      </c>
      <c r="P58" s="65">
        <v>8</v>
      </c>
      <c r="Q58" s="65">
        <v>7.2</v>
      </c>
      <c r="R58" s="65">
        <v>7.2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7.2</v>
      </c>
      <c r="AD58" s="65">
        <v>7.2</v>
      </c>
      <c r="AE58" s="65">
        <v>7.2</v>
      </c>
      <c r="AF58" s="65">
        <v>7.6</v>
      </c>
      <c r="AG58" s="55">
        <v>14</v>
      </c>
      <c r="AH58" s="48">
        <f t="shared" si="2"/>
        <v>8.8000000000000007</v>
      </c>
      <c r="AI58" s="49">
        <f t="shared" si="3"/>
        <v>7.2</v>
      </c>
      <c r="AK58" s="50"/>
    </row>
    <row r="59" spans="1:41" x14ac:dyDescent="0.25">
      <c r="A59" s="54" t="s">
        <v>63</v>
      </c>
      <c r="B59" s="65">
        <v>6</v>
      </c>
      <c r="C59" s="65">
        <v>6</v>
      </c>
      <c r="D59" s="65">
        <v>6</v>
      </c>
      <c r="E59" s="65">
        <v>6</v>
      </c>
      <c r="F59" s="65">
        <v>6</v>
      </c>
      <c r="G59" s="65">
        <v>6</v>
      </c>
      <c r="H59" s="65">
        <v>6</v>
      </c>
      <c r="I59" s="65">
        <v>6</v>
      </c>
      <c r="J59" s="65">
        <v>6</v>
      </c>
      <c r="K59" s="65">
        <v>6</v>
      </c>
      <c r="L59" s="65">
        <v>6</v>
      </c>
      <c r="M59" s="65">
        <v>6</v>
      </c>
      <c r="N59" s="65">
        <v>6</v>
      </c>
      <c r="O59" s="65">
        <v>6</v>
      </c>
      <c r="P59" s="65">
        <v>6</v>
      </c>
      <c r="Q59" s="65">
        <v>5.9</v>
      </c>
      <c r="R59" s="65">
        <v>5.9</v>
      </c>
      <c r="S59" s="65">
        <v>5.9</v>
      </c>
      <c r="T59" s="65">
        <v>5.9</v>
      </c>
      <c r="U59" s="65">
        <v>5.9</v>
      </c>
      <c r="V59" s="65">
        <v>5.9</v>
      </c>
      <c r="W59" s="65">
        <v>5.9</v>
      </c>
      <c r="X59" s="65">
        <v>5.9</v>
      </c>
      <c r="Y59" s="65">
        <v>5.9</v>
      </c>
      <c r="Z59" s="65">
        <v>5.9</v>
      </c>
      <c r="AA59" s="65">
        <v>5.9</v>
      </c>
      <c r="AB59" s="65">
        <v>5.9</v>
      </c>
      <c r="AC59" s="65">
        <v>5.9</v>
      </c>
      <c r="AD59" s="65">
        <v>5.9</v>
      </c>
      <c r="AE59" s="65">
        <v>5.9</v>
      </c>
      <c r="AF59" s="65">
        <v>5.9</v>
      </c>
      <c r="AG59" s="55">
        <v>10.050000000000001</v>
      </c>
      <c r="AH59" s="48">
        <f t="shared" si="2"/>
        <v>6</v>
      </c>
      <c r="AI59" s="49">
        <f t="shared" si="3"/>
        <v>5.9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6">SUM(B49:B61)</f>
        <v>310.14</v>
      </c>
      <c r="C62" s="61">
        <f t="shared" si="6"/>
        <v>213.53</v>
      </c>
      <c r="D62" s="61">
        <f t="shared" si="6"/>
        <v>216.24</v>
      </c>
      <c r="E62" s="61">
        <f t="shared" si="6"/>
        <v>259.04000000000002</v>
      </c>
      <c r="F62" s="61">
        <f t="shared" si="6"/>
        <v>282.34000000000009</v>
      </c>
      <c r="G62" s="61">
        <f t="shared" si="6"/>
        <v>331.34000000000009</v>
      </c>
      <c r="H62" s="61">
        <f t="shared" si="6"/>
        <v>337.04000000000008</v>
      </c>
      <c r="I62" s="61">
        <f t="shared" si="6"/>
        <v>362.44000000000011</v>
      </c>
      <c r="J62" s="61">
        <f t="shared" si="6"/>
        <v>385.74000000000007</v>
      </c>
      <c r="K62" s="61">
        <f t="shared" si="6"/>
        <v>409.84000000000009</v>
      </c>
      <c r="L62" s="61">
        <f t="shared" si="6"/>
        <v>409.74000000000007</v>
      </c>
      <c r="M62" s="61">
        <f t="shared" si="6"/>
        <v>430.34000000000009</v>
      </c>
      <c r="N62" s="61">
        <f t="shared" si="6"/>
        <v>431.34000000000009</v>
      </c>
      <c r="O62" s="61">
        <f t="shared" si="6"/>
        <v>432.34000000000009</v>
      </c>
      <c r="P62" s="61">
        <f t="shared" si="6"/>
        <v>420.34000000000009</v>
      </c>
      <c r="Q62" s="61">
        <f t="shared" si="6"/>
        <v>299.64</v>
      </c>
      <c r="R62" s="61">
        <f t="shared" si="6"/>
        <v>271.84000000000009</v>
      </c>
      <c r="S62" s="61">
        <f t="shared" si="6"/>
        <v>264.34000000000003</v>
      </c>
      <c r="T62" s="61">
        <f t="shared" si="6"/>
        <v>285.64000000000004</v>
      </c>
      <c r="U62" s="61">
        <f t="shared" si="6"/>
        <v>317.04000000000002</v>
      </c>
      <c r="V62" s="61">
        <f t="shared" si="6"/>
        <v>385.84000000000003</v>
      </c>
      <c r="W62" s="61">
        <f t="shared" si="6"/>
        <v>395.14</v>
      </c>
      <c r="X62" s="61">
        <v>424.04</v>
      </c>
      <c r="Y62" s="61">
        <f t="shared" si="6"/>
        <v>424.04</v>
      </c>
      <c r="Z62" s="61">
        <f t="shared" si="6"/>
        <v>421.04</v>
      </c>
      <c r="AA62" s="61">
        <f t="shared" si="6"/>
        <v>420.64000000000004</v>
      </c>
      <c r="AB62" s="61">
        <f t="shared" si="6"/>
        <v>425.74</v>
      </c>
      <c r="AC62" s="61">
        <f t="shared" si="6"/>
        <v>375.44000000000005</v>
      </c>
      <c r="AD62" s="61">
        <f t="shared" si="6"/>
        <v>374.34000000000003</v>
      </c>
      <c r="AE62" s="61">
        <f t="shared" si="6"/>
        <v>342.14000000000004</v>
      </c>
      <c r="AF62" s="61">
        <f t="shared" si="6"/>
        <v>249.23999999999998</v>
      </c>
      <c r="AG62" s="62">
        <f t="shared" si="6"/>
        <v>489.91</v>
      </c>
      <c r="AH62" s="48">
        <f t="shared" si="2"/>
        <v>432.34000000000009</v>
      </c>
      <c r="AI62" s="49">
        <f t="shared" si="3"/>
        <v>213.53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10.9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31.2</v>
      </c>
      <c r="X63" s="45">
        <v>59.8</v>
      </c>
      <c r="Y63" s="45">
        <v>59.8</v>
      </c>
      <c r="Z63" s="45">
        <v>45</v>
      </c>
      <c r="AA63" s="45">
        <v>13.2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59.8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12.3</v>
      </c>
      <c r="N64" s="65">
        <v>3.8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28.3</v>
      </c>
      <c r="Y64" s="65">
        <v>28.4</v>
      </c>
      <c r="Z64" s="65">
        <v>24</v>
      </c>
      <c r="AA64" s="65">
        <v>10.9</v>
      </c>
      <c r="AB64" s="65">
        <v>3.8</v>
      </c>
      <c r="AC64" s="65">
        <v>0</v>
      </c>
      <c r="AD64" s="65">
        <v>0</v>
      </c>
      <c r="AE64" s="65">
        <v>0</v>
      </c>
      <c r="AF64" s="65">
        <v>0</v>
      </c>
      <c r="AG64" s="55">
        <v>32</v>
      </c>
      <c r="AH64" s="48">
        <f t="shared" si="2"/>
        <v>28.4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4.5</v>
      </c>
      <c r="N65" s="67">
        <v>1.4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10.3</v>
      </c>
      <c r="Y65" s="67">
        <v>10.4</v>
      </c>
      <c r="Z65" s="67">
        <v>8</v>
      </c>
      <c r="AA65" s="67">
        <v>4</v>
      </c>
      <c r="AB65" s="67">
        <v>1.4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7">SUM(B63:B65)</f>
        <v>0</v>
      </c>
      <c r="C66" s="61">
        <f t="shared" si="7"/>
        <v>0</v>
      </c>
      <c r="D66" s="61">
        <f t="shared" si="7"/>
        <v>0</v>
      </c>
      <c r="E66" s="61">
        <f t="shared" si="7"/>
        <v>0</v>
      </c>
      <c r="F66" s="61">
        <f t="shared" si="7"/>
        <v>0</v>
      </c>
      <c r="G66" s="61">
        <f t="shared" si="7"/>
        <v>0</v>
      </c>
      <c r="H66" s="61">
        <f t="shared" si="7"/>
        <v>0</v>
      </c>
      <c r="I66" s="61">
        <f t="shared" si="7"/>
        <v>0</v>
      </c>
      <c r="J66" s="61">
        <f t="shared" si="7"/>
        <v>0</v>
      </c>
      <c r="K66" s="61">
        <f t="shared" si="7"/>
        <v>0</v>
      </c>
      <c r="L66" s="61">
        <f t="shared" si="7"/>
        <v>0</v>
      </c>
      <c r="M66" s="61">
        <f t="shared" si="7"/>
        <v>27.700000000000003</v>
      </c>
      <c r="N66" s="61">
        <f t="shared" si="7"/>
        <v>5.1999999999999993</v>
      </c>
      <c r="O66" s="61">
        <f t="shared" si="7"/>
        <v>0</v>
      </c>
      <c r="P66" s="61">
        <f t="shared" si="7"/>
        <v>0</v>
      </c>
      <c r="Q66" s="61">
        <f t="shared" si="7"/>
        <v>0</v>
      </c>
      <c r="R66" s="61">
        <f t="shared" si="7"/>
        <v>0</v>
      </c>
      <c r="S66" s="61">
        <f t="shared" si="7"/>
        <v>0</v>
      </c>
      <c r="T66" s="61">
        <f t="shared" si="7"/>
        <v>0</v>
      </c>
      <c r="U66" s="61">
        <f t="shared" si="7"/>
        <v>0</v>
      </c>
      <c r="V66" s="61">
        <f t="shared" si="7"/>
        <v>0</v>
      </c>
      <c r="W66" s="61">
        <f t="shared" si="7"/>
        <v>31.2</v>
      </c>
      <c r="X66" s="61">
        <v>98.399999999999991</v>
      </c>
      <c r="Y66" s="61">
        <f t="shared" si="7"/>
        <v>98.6</v>
      </c>
      <c r="Z66" s="61">
        <f t="shared" si="7"/>
        <v>77</v>
      </c>
      <c r="AA66" s="61">
        <f t="shared" si="7"/>
        <v>28.1</v>
      </c>
      <c r="AB66" s="61">
        <f t="shared" si="7"/>
        <v>5.1999999999999993</v>
      </c>
      <c r="AC66" s="61">
        <f t="shared" si="7"/>
        <v>0</v>
      </c>
      <c r="AD66" s="61">
        <f t="shared" si="7"/>
        <v>0</v>
      </c>
      <c r="AE66" s="61">
        <f t="shared" si="7"/>
        <v>0</v>
      </c>
      <c r="AF66" s="61">
        <f t="shared" si="7"/>
        <v>0</v>
      </c>
      <c r="AG66" s="62">
        <f t="shared" si="7"/>
        <v>106</v>
      </c>
      <c r="AH66" s="48">
        <f t="shared" si="2"/>
        <v>98.6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0</v>
      </c>
      <c r="K67" s="45">
        <v>0</v>
      </c>
      <c r="L67" s="45">
        <v>0</v>
      </c>
      <c r="M67" s="45">
        <v>39</v>
      </c>
      <c r="N67" s="45">
        <v>47.8</v>
      </c>
      <c r="O67" s="45">
        <v>41.1</v>
      </c>
      <c r="P67" s="45">
        <v>42.4</v>
      </c>
      <c r="Q67" s="45">
        <v>45.8</v>
      </c>
      <c r="R67" s="45">
        <v>44.3</v>
      </c>
      <c r="S67" s="45">
        <v>45.6</v>
      </c>
      <c r="T67" s="45">
        <v>45.8</v>
      </c>
      <c r="U67" s="45">
        <v>35</v>
      </c>
      <c r="V67" s="45">
        <v>40.200000000000003</v>
      </c>
      <c r="W67" s="45">
        <v>50</v>
      </c>
      <c r="X67" s="45">
        <v>48.3</v>
      </c>
      <c r="Y67" s="45">
        <v>48.3</v>
      </c>
      <c r="Z67" s="45">
        <v>38.200000000000003</v>
      </c>
      <c r="AA67" s="45">
        <v>36.299999999999997</v>
      </c>
      <c r="AB67" s="45">
        <v>29.9</v>
      </c>
      <c r="AC67" s="45">
        <v>31</v>
      </c>
      <c r="AD67" s="45">
        <v>0</v>
      </c>
      <c r="AE67" s="45">
        <v>0</v>
      </c>
      <c r="AF67" s="45">
        <v>0</v>
      </c>
      <c r="AG67" s="52"/>
      <c r="AH67" s="48">
        <f t="shared" si="2"/>
        <v>50</v>
      </c>
      <c r="AI67" s="49">
        <f t="shared" si="3"/>
        <v>0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/>
      <c r="C69" s="65">
        <v>38</v>
      </c>
      <c r="D69" s="65">
        <v>28.9</v>
      </c>
      <c r="E69" s="65">
        <v>43</v>
      </c>
      <c r="F69" s="65">
        <v>36</v>
      </c>
      <c r="G69" s="65">
        <v>38</v>
      </c>
      <c r="H69" s="65">
        <v>42</v>
      </c>
      <c r="I69" s="65">
        <v>32</v>
      </c>
      <c r="J69" s="65">
        <v>-52</v>
      </c>
      <c r="K69" s="65">
        <v>-106</v>
      </c>
      <c r="L69" s="65">
        <v>-126</v>
      </c>
      <c r="M69" s="65">
        <v>-180</v>
      </c>
      <c r="N69" s="65">
        <v>-179.8</v>
      </c>
      <c r="O69" s="65">
        <v>-2.9</v>
      </c>
      <c r="P69" s="65">
        <v>69</v>
      </c>
      <c r="Q69" s="65">
        <v>167.5</v>
      </c>
      <c r="R69" s="65">
        <v>154.30000000000001</v>
      </c>
      <c r="S69" s="65">
        <v>168</v>
      </c>
      <c r="T69" s="65">
        <v>160</v>
      </c>
      <c r="U69" s="65">
        <v>163.1</v>
      </c>
      <c r="V69" s="65">
        <v>2.5</v>
      </c>
      <c r="W69" s="65">
        <v>9.1999999999999993</v>
      </c>
      <c r="X69" s="65">
        <v>-157.69999999999999</v>
      </c>
      <c r="Y69" s="65">
        <v>-147</v>
      </c>
      <c r="Z69" s="65">
        <v>-157</v>
      </c>
      <c r="AA69" s="65">
        <v>-156.5</v>
      </c>
      <c r="AB69" s="65">
        <v>-152.9</v>
      </c>
      <c r="AC69" s="65">
        <v>-151.4</v>
      </c>
      <c r="AD69" s="65">
        <v>-148</v>
      </c>
      <c r="AE69" s="65">
        <v>-2.4</v>
      </c>
      <c r="AF69" s="65">
        <v>51.2</v>
      </c>
      <c r="AG69" s="75"/>
      <c r="AH69" s="48">
        <f t="shared" si="2"/>
        <v>168</v>
      </c>
      <c r="AI69" s="49">
        <f t="shared" si="3"/>
        <v>-180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8">SUMIF(B67:B77,"&gt;0")</f>
        <v>0</v>
      </c>
      <c r="C78" s="61">
        <f t="shared" si="8"/>
        <v>38</v>
      </c>
      <c r="D78" s="61">
        <f t="shared" si="8"/>
        <v>28.9</v>
      </c>
      <c r="E78" s="61">
        <f t="shared" si="8"/>
        <v>43</v>
      </c>
      <c r="F78" s="61">
        <f t="shared" si="8"/>
        <v>36</v>
      </c>
      <c r="G78" s="61">
        <f t="shared" si="8"/>
        <v>38</v>
      </c>
      <c r="H78" s="61">
        <f t="shared" si="8"/>
        <v>42</v>
      </c>
      <c r="I78" s="61">
        <f t="shared" si="8"/>
        <v>32</v>
      </c>
      <c r="J78" s="61">
        <f t="shared" si="8"/>
        <v>0</v>
      </c>
      <c r="K78" s="61">
        <f t="shared" si="8"/>
        <v>0</v>
      </c>
      <c r="L78" s="61">
        <f t="shared" si="8"/>
        <v>0</v>
      </c>
      <c r="M78" s="61">
        <f t="shared" si="8"/>
        <v>39</v>
      </c>
      <c r="N78" s="61">
        <f t="shared" si="8"/>
        <v>47.8</v>
      </c>
      <c r="O78" s="61">
        <f t="shared" si="8"/>
        <v>41.1</v>
      </c>
      <c r="P78" s="61">
        <f t="shared" si="8"/>
        <v>111.4</v>
      </c>
      <c r="Q78" s="61">
        <f t="shared" si="8"/>
        <v>213.3</v>
      </c>
      <c r="R78" s="61">
        <f t="shared" si="8"/>
        <v>198.60000000000002</v>
      </c>
      <c r="S78" s="61">
        <f t="shared" si="8"/>
        <v>213.6</v>
      </c>
      <c r="T78" s="61">
        <f t="shared" si="8"/>
        <v>205.8</v>
      </c>
      <c r="U78" s="61">
        <f t="shared" si="8"/>
        <v>198.1</v>
      </c>
      <c r="V78" s="61">
        <f t="shared" si="8"/>
        <v>42.7</v>
      </c>
      <c r="W78" s="61">
        <f t="shared" si="8"/>
        <v>59.2</v>
      </c>
      <c r="X78" s="61">
        <v>48.3</v>
      </c>
      <c r="Y78" s="61">
        <f t="shared" si="8"/>
        <v>48.3</v>
      </c>
      <c r="Z78" s="61">
        <f t="shared" si="8"/>
        <v>38.200000000000003</v>
      </c>
      <c r="AA78" s="61">
        <f t="shared" si="8"/>
        <v>36.299999999999997</v>
      </c>
      <c r="AB78" s="61">
        <f t="shared" si="8"/>
        <v>29.9</v>
      </c>
      <c r="AC78" s="61">
        <f t="shared" si="8"/>
        <v>31</v>
      </c>
      <c r="AD78" s="61">
        <f t="shared" si="8"/>
        <v>0</v>
      </c>
      <c r="AE78" s="61">
        <f t="shared" si="8"/>
        <v>0</v>
      </c>
      <c r="AF78" s="61">
        <f t="shared" si="8"/>
        <v>51.2</v>
      </c>
      <c r="AG78" s="81">
        <f>SUM(AG67:AG77)</f>
        <v>0</v>
      </c>
      <c r="AH78" s="48">
        <f t="shared" si="2"/>
        <v>213.6</v>
      </c>
      <c r="AI78" s="49">
        <f t="shared" si="3"/>
        <v>0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ref="AH80:AH113" si="9">MAX(B80:AF80)</f>
        <v>0</v>
      </c>
      <c r="AI80" s="49">
        <f t="shared" ref="AI80:AI113" si="10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87</v>
      </c>
      <c r="B83" s="83">
        <f t="shared" ref="B83:AG83" si="11">B44+B48+B66+B62+B78+B82</f>
        <v>940.44</v>
      </c>
      <c r="C83" s="83">
        <f t="shared" si="11"/>
        <v>939.13</v>
      </c>
      <c r="D83" s="83">
        <f t="shared" si="11"/>
        <v>889.54000000000008</v>
      </c>
      <c r="E83" s="83">
        <f t="shared" si="11"/>
        <v>922.34000000000015</v>
      </c>
      <c r="F83" s="83">
        <f t="shared" si="11"/>
        <v>938.6400000000001</v>
      </c>
      <c r="G83" s="83">
        <f t="shared" si="11"/>
        <v>989.6400000000001</v>
      </c>
      <c r="H83" s="83">
        <f t="shared" si="11"/>
        <v>1054.3400000000001</v>
      </c>
      <c r="I83" s="83">
        <f t="shared" si="11"/>
        <v>1124.7400000000002</v>
      </c>
      <c r="J83" s="83">
        <f t="shared" si="11"/>
        <v>1266.94</v>
      </c>
      <c r="K83" s="83">
        <f t="shared" si="11"/>
        <v>1396.0400000000002</v>
      </c>
      <c r="L83" s="83">
        <f t="shared" si="11"/>
        <v>1510.94</v>
      </c>
      <c r="M83" s="83">
        <f t="shared" si="11"/>
        <v>1631.3400000000004</v>
      </c>
      <c r="N83" s="83">
        <f t="shared" si="11"/>
        <v>1543.5400000000002</v>
      </c>
      <c r="O83" s="83">
        <f t="shared" si="11"/>
        <v>1342.74</v>
      </c>
      <c r="P83" s="83">
        <f t="shared" si="11"/>
        <v>1268.9400000000003</v>
      </c>
      <c r="Q83" s="83">
        <f t="shared" si="11"/>
        <v>1203.54</v>
      </c>
      <c r="R83" s="83">
        <f t="shared" si="11"/>
        <v>1161.04</v>
      </c>
      <c r="S83" s="83">
        <f t="shared" si="11"/>
        <v>1168.3400000000001</v>
      </c>
      <c r="T83" s="83">
        <f t="shared" si="11"/>
        <v>1178.04</v>
      </c>
      <c r="U83" s="83">
        <f t="shared" si="11"/>
        <v>1201.74</v>
      </c>
      <c r="V83" s="83">
        <f t="shared" si="11"/>
        <v>1114.24</v>
      </c>
      <c r="W83" s="83">
        <f t="shared" si="11"/>
        <v>1500.14</v>
      </c>
      <c r="X83" s="83">
        <v>1618.5400000000002</v>
      </c>
      <c r="Y83" s="83">
        <f t="shared" si="11"/>
        <v>1577.74</v>
      </c>
      <c r="Z83" s="83">
        <f t="shared" si="11"/>
        <v>1504.5400000000002</v>
      </c>
      <c r="AA83" s="83">
        <f t="shared" si="11"/>
        <v>1453.24</v>
      </c>
      <c r="AB83" s="83">
        <f t="shared" si="11"/>
        <v>1387.0400000000002</v>
      </c>
      <c r="AC83" s="83">
        <f t="shared" si="11"/>
        <v>1312.64</v>
      </c>
      <c r="AD83" s="83">
        <f t="shared" si="11"/>
        <v>1260.24</v>
      </c>
      <c r="AE83" s="83">
        <f t="shared" si="11"/>
        <v>1038.04</v>
      </c>
      <c r="AF83" s="83">
        <f t="shared" si="11"/>
        <v>963.44000000000017</v>
      </c>
      <c r="AG83" s="62">
        <f t="shared" si="11"/>
        <v>2004.1900000000003</v>
      </c>
      <c r="AH83" s="48">
        <f t="shared" si="9"/>
        <v>1631.3400000000004</v>
      </c>
      <c r="AI83" s="49">
        <f t="shared" si="10"/>
        <v>889.54000000000008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>
        <v>5</v>
      </c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9"/>
        <v>5</v>
      </c>
      <c r="AI84" s="49">
        <f t="shared" si="10"/>
        <v>5</v>
      </c>
    </row>
    <row r="85" spans="1:37" ht="15.75" thickBot="1" x14ac:dyDescent="0.3">
      <c r="A85" s="74" t="s">
        <v>89</v>
      </c>
      <c r="B85" s="83">
        <f t="shared" ref="B85:AF85" si="12">B83+B84</f>
        <v>940.44</v>
      </c>
      <c r="C85" s="83">
        <f t="shared" si="12"/>
        <v>939.13</v>
      </c>
      <c r="D85" s="83">
        <f t="shared" si="12"/>
        <v>889.54000000000008</v>
      </c>
      <c r="E85" s="83">
        <f t="shared" si="12"/>
        <v>922.34000000000015</v>
      </c>
      <c r="F85" s="83">
        <f t="shared" si="12"/>
        <v>938.6400000000001</v>
      </c>
      <c r="G85" s="83">
        <f t="shared" si="12"/>
        <v>989.6400000000001</v>
      </c>
      <c r="H85" s="83">
        <f t="shared" si="12"/>
        <v>1054.3400000000001</v>
      </c>
      <c r="I85" s="83">
        <f t="shared" si="12"/>
        <v>1124.7400000000002</v>
      </c>
      <c r="J85" s="83">
        <f t="shared" si="12"/>
        <v>1266.94</v>
      </c>
      <c r="K85" s="83">
        <f t="shared" si="12"/>
        <v>1396.0400000000002</v>
      </c>
      <c r="L85" s="83">
        <f t="shared" si="12"/>
        <v>1510.94</v>
      </c>
      <c r="M85" s="83">
        <f t="shared" si="12"/>
        <v>1631.3400000000004</v>
      </c>
      <c r="N85" s="83">
        <f t="shared" si="12"/>
        <v>1543.5400000000002</v>
      </c>
      <c r="O85" s="83">
        <f t="shared" si="12"/>
        <v>1342.74</v>
      </c>
      <c r="P85" s="83">
        <f t="shared" si="12"/>
        <v>1268.9400000000003</v>
      </c>
      <c r="Q85" s="83">
        <f t="shared" si="12"/>
        <v>1203.54</v>
      </c>
      <c r="R85" s="83">
        <f t="shared" si="12"/>
        <v>1161.04</v>
      </c>
      <c r="S85" s="83">
        <f t="shared" si="12"/>
        <v>1168.3400000000001</v>
      </c>
      <c r="T85" s="83">
        <f t="shared" si="12"/>
        <v>1178.04</v>
      </c>
      <c r="U85" s="83">
        <f t="shared" si="12"/>
        <v>1201.74</v>
      </c>
      <c r="V85" s="83">
        <f t="shared" si="12"/>
        <v>1114.24</v>
      </c>
      <c r="W85" s="83">
        <f t="shared" si="12"/>
        <v>1500.14</v>
      </c>
      <c r="X85" s="83">
        <v>1623.5400000000002</v>
      </c>
      <c r="Y85" s="83">
        <f t="shared" si="12"/>
        <v>1577.74</v>
      </c>
      <c r="Z85" s="83">
        <f t="shared" si="12"/>
        <v>1504.5400000000002</v>
      </c>
      <c r="AA85" s="83">
        <f t="shared" si="12"/>
        <v>1453.24</v>
      </c>
      <c r="AB85" s="83">
        <f t="shared" si="12"/>
        <v>1387.0400000000002</v>
      </c>
      <c r="AC85" s="83">
        <f t="shared" si="12"/>
        <v>1312.64</v>
      </c>
      <c r="AD85" s="83">
        <f t="shared" si="12"/>
        <v>1260.24</v>
      </c>
      <c r="AE85" s="83">
        <f t="shared" si="12"/>
        <v>1038.04</v>
      </c>
      <c r="AF85" s="83">
        <f t="shared" si="12"/>
        <v>963.44000000000017</v>
      </c>
      <c r="AG85" s="81">
        <f>AG82+AG78+AG66+AG62+AG44+AG84</f>
        <v>1466.0900000000001</v>
      </c>
      <c r="AH85" s="48">
        <f t="shared" si="9"/>
        <v>1631.3400000000004</v>
      </c>
      <c r="AI85" s="49">
        <f t="shared" si="10"/>
        <v>889.54000000000008</v>
      </c>
    </row>
    <row r="86" spans="1:37" ht="15.75" thickBot="1" x14ac:dyDescent="0.3">
      <c r="A86" s="74" t="s">
        <v>90</v>
      </c>
      <c r="B86" s="83">
        <f t="shared" ref="B86:AF86" si="13">B85-B93</f>
        <v>940.44</v>
      </c>
      <c r="C86" s="83">
        <f t="shared" si="13"/>
        <v>939.13</v>
      </c>
      <c r="D86" s="83">
        <f t="shared" si="13"/>
        <v>889.54000000000008</v>
      </c>
      <c r="E86" s="83">
        <f t="shared" si="13"/>
        <v>922.34000000000015</v>
      </c>
      <c r="F86" s="83">
        <f t="shared" si="13"/>
        <v>938.6400000000001</v>
      </c>
      <c r="G86" s="83">
        <f t="shared" si="13"/>
        <v>989.6400000000001</v>
      </c>
      <c r="H86" s="83">
        <f t="shared" si="13"/>
        <v>1054.3400000000001</v>
      </c>
      <c r="I86" s="83">
        <f t="shared" si="13"/>
        <v>1124.7400000000002</v>
      </c>
      <c r="J86" s="83">
        <f t="shared" si="13"/>
        <v>1214.94</v>
      </c>
      <c r="K86" s="83">
        <f t="shared" si="13"/>
        <v>1290.0400000000002</v>
      </c>
      <c r="L86" s="83">
        <f t="shared" si="13"/>
        <v>1384.94</v>
      </c>
      <c r="M86" s="83">
        <f t="shared" si="13"/>
        <v>1451.3400000000004</v>
      </c>
      <c r="N86" s="83">
        <f t="shared" si="13"/>
        <v>1363.7400000000002</v>
      </c>
      <c r="O86" s="83">
        <f t="shared" si="13"/>
        <v>1339.84</v>
      </c>
      <c r="P86" s="83">
        <f t="shared" si="13"/>
        <v>1268.9400000000003</v>
      </c>
      <c r="Q86" s="83">
        <f t="shared" si="13"/>
        <v>1203.54</v>
      </c>
      <c r="R86" s="83">
        <f t="shared" si="13"/>
        <v>1161.04</v>
      </c>
      <c r="S86" s="83">
        <f t="shared" si="13"/>
        <v>1168.3400000000001</v>
      </c>
      <c r="T86" s="83">
        <f t="shared" si="13"/>
        <v>1178.04</v>
      </c>
      <c r="U86" s="83">
        <f t="shared" si="13"/>
        <v>1201.74</v>
      </c>
      <c r="V86" s="83">
        <f t="shared" si="13"/>
        <v>1114.24</v>
      </c>
      <c r="W86" s="83">
        <f t="shared" si="13"/>
        <v>1500.14</v>
      </c>
      <c r="X86" s="83">
        <v>1465.8400000000001</v>
      </c>
      <c r="Y86" s="83">
        <f t="shared" si="13"/>
        <v>1430.74</v>
      </c>
      <c r="Z86" s="83">
        <f t="shared" si="13"/>
        <v>1347.5400000000002</v>
      </c>
      <c r="AA86" s="83">
        <f t="shared" si="13"/>
        <v>1296.74</v>
      </c>
      <c r="AB86" s="83">
        <f t="shared" si="13"/>
        <v>1234.1400000000001</v>
      </c>
      <c r="AC86" s="83">
        <f t="shared" si="13"/>
        <v>1161.24</v>
      </c>
      <c r="AD86" s="83">
        <f t="shared" si="13"/>
        <v>1112.24</v>
      </c>
      <c r="AE86" s="83">
        <f t="shared" si="13"/>
        <v>1035.6399999999999</v>
      </c>
      <c r="AF86" s="83">
        <f t="shared" si="13"/>
        <v>963.44000000000017</v>
      </c>
      <c r="AG86" s="81"/>
      <c r="AH86" s="48">
        <f t="shared" si="9"/>
        <v>1500.14</v>
      </c>
      <c r="AI86" s="49">
        <f t="shared" si="10"/>
        <v>889.54000000000008</v>
      </c>
    </row>
    <row r="87" spans="1:37" x14ac:dyDescent="0.25">
      <c r="A87" s="44" t="s">
        <v>74</v>
      </c>
      <c r="B87" s="76">
        <f t="shared" ref="B87:AF87" si="14">IF(B70&lt;0,B70*-1,0)</f>
        <v>0</v>
      </c>
      <c r="C87" s="76">
        <f t="shared" si="14"/>
        <v>0</v>
      </c>
      <c r="D87" s="76">
        <f t="shared" si="14"/>
        <v>0</v>
      </c>
      <c r="E87" s="76">
        <f t="shared" si="14"/>
        <v>0</v>
      </c>
      <c r="F87" s="76">
        <f t="shared" si="14"/>
        <v>0</v>
      </c>
      <c r="G87" s="76">
        <f t="shared" si="14"/>
        <v>0</v>
      </c>
      <c r="H87" s="76">
        <f t="shared" si="14"/>
        <v>0</v>
      </c>
      <c r="I87" s="76">
        <f t="shared" si="14"/>
        <v>0</v>
      </c>
      <c r="J87" s="76">
        <f t="shared" si="14"/>
        <v>0</v>
      </c>
      <c r="K87" s="76">
        <f t="shared" si="14"/>
        <v>0</v>
      </c>
      <c r="L87" s="76">
        <f t="shared" si="14"/>
        <v>0</v>
      </c>
      <c r="M87" s="76">
        <f t="shared" si="14"/>
        <v>0</v>
      </c>
      <c r="N87" s="76">
        <f t="shared" si="14"/>
        <v>0</v>
      </c>
      <c r="O87" s="76">
        <f t="shared" si="14"/>
        <v>0</v>
      </c>
      <c r="P87" s="76">
        <f t="shared" si="14"/>
        <v>0</v>
      </c>
      <c r="Q87" s="76">
        <f t="shared" si="14"/>
        <v>0</v>
      </c>
      <c r="R87" s="76">
        <f t="shared" si="14"/>
        <v>0</v>
      </c>
      <c r="S87" s="76">
        <f t="shared" si="14"/>
        <v>0</v>
      </c>
      <c r="T87" s="76">
        <f t="shared" si="14"/>
        <v>0</v>
      </c>
      <c r="U87" s="76">
        <f t="shared" si="14"/>
        <v>0</v>
      </c>
      <c r="V87" s="76">
        <f t="shared" si="14"/>
        <v>0</v>
      </c>
      <c r="W87" s="76">
        <f t="shared" si="14"/>
        <v>0</v>
      </c>
      <c r="X87" s="76">
        <v>0</v>
      </c>
      <c r="Y87" s="76">
        <f t="shared" si="14"/>
        <v>0</v>
      </c>
      <c r="Z87" s="76">
        <f t="shared" si="14"/>
        <v>0</v>
      </c>
      <c r="AA87" s="76">
        <f t="shared" si="14"/>
        <v>0</v>
      </c>
      <c r="AB87" s="76">
        <f t="shared" si="14"/>
        <v>0</v>
      </c>
      <c r="AC87" s="76">
        <f t="shared" si="14"/>
        <v>0</v>
      </c>
      <c r="AD87" s="76">
        <f t="shared" si="14"/>
        <v>0</v>
      </c>
      <c r="AE87" s="76">
        <f t="shared" si="14"/>
        <v>0</v>
      </c>
      <c r="AF87" s="76">
        <f t="shared" si="14"/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72</v>
      </c>
      <c r="B88" s="76">
        <f t="shared" ref="B88:AF88" si="15">IF(B68&lt;0,B68*-1,0)</f>
        <v>0</v>
      </c>
      <c r="C88" s="76">
        <f t="shared" si="15"/>
        <v>0</v>
      </c>
      <c r="D88" s="76">
        <f t="shared" si="15"/>
        <v>0</v>
      </c>
      <c r="E88" s="76">
        <f t="shared" si="15"/>
        <v>0</v>
      </c>
      <c r="F88" s="76">
        <f t="shared" si="15"/>
        <v>0</v>
      </c>
      <c r="G88" s="76">
        <f t="shared" si="15"/>
        <v>0</v>
      </c>
      <c r="H88" s="76">
        <f t="shared" si="15"/>
        <v>0</v>
      </c>
      <c r="I88" s="76">
        <f t="shared" si="15"/>
        <v>0</v>
      </c>
      <c r="J88" s="76">
        <f t="shared" si="15"/>
        <v>0</v>
      </c>
      <c r="K88" s="76">
        <f t="shared" si="15"/>
        <v>0</v>
      </c>
      <c r="L88" s="76">
        <f t="shared" si="15"/>
        <v>0</v>
      </c>
      <c r="M88" s="76">
        <f t="shared" si="15"/>
        <v>0</v>
      </c>
      <c r="N88" s="76">
        <f t="shared" si="15"/>
        <v>0</v>
      </c>
      <c r="O88" s="76">
        <f t="shared" si="15"/>
        <v>0</v>
      </c>
      <c r="P88" s="76">
        <f t="shared" si="15"/>
        <v>0</v>
      </c>
      <c r="Q88" s="76">
        <f t="shared" si="15"/>
        <v>0</v>
      </c>
      <c r="R88" s="76">
        <f t="shared" si="15"/>
        <v>0</v>
      </c>
      <c r="S88" s="76">
        <f t="shared" si="15"/>
        <v>0</v>
      </c>
      <c r="T88" s="76">
        <f t="shared" si="15"/>
        <v>0</v>
      </c>
      <c r="U88" s="76">
        <f t="shared" si="15"/>
        <v>0</v>
      </c>
      <c r="V88" s="76">
        <f t="shared" si="15"/>
        <v>0</v>
      </c>
      <c r="W88" s="76">
        <f t="shared" si="15"/>
        <v>0</v>
      </c>
      <c r="X88" s="76">
        <v>0</v>
      </c>
      <c r="Y88" s="76">
        <f t="shared" si="15"/>
        <v>0</v>
      </c>
      <c r="Z88" s="76">
        <f t="shared" si="15"/>
        <v>0</v>
      </c>
      <c r="AA88" s="76">
        <f t="shared" si="15"/>
        <v>0</v>
      </c>
      <c r="AB88" s="76">
        <f t="shared" si="15"/>
        <v>0</v>
      </c>
      <c r="AC88" s="76">
        <f t="shared" si="15"/>
        <v>0</v>
      </c>
      <c r="AD88" s="76">
        <f t="shared" si="15"/>
        <v>0</v>
      </c>
      <c r="AE88" s="76">
        <f t="shared" si="15"/>
        <v>0</v>
      </c>
      <c r="AF88" s="76">
        <f t="shared" si="15"/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91</v>
      </c>
      <c r="B89" s="76">
        <f t="shared" ref="B89:AF89" si="16">IF(B71&lt;0,B71*-1,0)</f>
        <v>0</v>
      </c>
      <c r="C89" s="76">
        <f t="shared" si="16"/>
        <v>0</v>
      </c>
      <c r="D89" s="76">
        <f t="shared" si="16"/>
        <v>0</v>
      </c>
      <c r="E89" s="76">
        <f t="shared" si="16"/>
        <v>0</v>
      </c>
      <c r="F89" s="76">
        <f t="shared" si="16"/>
        <v>0</v>
      </c>
      <c r="G89" s="76">
        <f t="shared" si="16"/>
        <v>0</v>
      </c>
      <c r="H89" s="76">
        <f t="shared" si="16"/>
        <v>0</v>
      </c>
      <c r="I89" s="76">
        <f t="shared" si="16"/>
        <v>0</v>
      </c>
      <c r="J89" s="76">
        <f t="shared" si="16"/>
        <v>0</v>
      </c>
      <c r="K89" s="76">
        <f t="shared" si="16"/>
        <v>0</v>
      </c>
      <c r="L89" s="76">
        <f t="shared" si="16"/>
        <v>0</v>
      </c>
      <c r="M89" s="76">
        <f t="shared" si="16"/>
        <v>0</v>
      </c>
      <c r="N89" s="76">
        <f t="shared" si="16"/>
        <v>0</v>
      </c>
      <c r="O89" s="76">
        <f t="shared" si="16"/>
        <v>0</v>
      </c>
      <c r="P89" s="76">
        <f t="shared" si="16"/>
        <v>0</v>
      </c>
      <c r="Q89" s="76">
        <f t="shared" si="16"/>
        <v>0</v>
      </c>
      <c r="R89" s="76">
        <f t="shared" si="16"/>
        <v>0</v>
      </c>
      <c r="S89" s="76">
        <f t="shared" si="16"/>
        <v>0</v>
      </c>
      <c r="T89" s="76">
        <f t="shared" si="16"/>
        <v>0</v>
      </c>
      <c r="U89" s="76">
        <f t="shared" si="16"/>
        <v>0</v>
      </c>
      <c r="V89" s="76">
        <f t="shared" si="16"/>
        <v>0</v>
      </c>
      <c r="W89" s="76">
        <f t="shared" si="16"/>
        <v>0</v>
      </c>
      <c r="X89" s="76">
        <v>0</v>
      </c>
      <c r="Y89" s="76">
        <f t="shared" si="16"/>
        <v>0</v>
      </c>
      <c r="Z89" s="76">
        <f t="shared" si="16"/>
        <v>0</v>
      </c>
      <c r="AA89" s="76">
        <f t="shared" si="16"/>
        <v>0</v>
      </c>
      <c r="AB89" s="76">
        <f t="shared" si="16"/>
        <v>0</v>
      </c>
      <c r="AC89" s="76">
        <f t="shared" si="16"/>
        <v>0</v>
      </c>
      <c r="AD89" s="76">
        <f t="shared" si="16"/>
        <v>0</v>
      </c>
      <c r="AE89" s="76">
        <f t="shared" si="16"/>
        <v>0</v>
      </c>
      <c r="AF89" s="76">
        <f t="shared" si="16"/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92</v>
      </c>
      <c r="B90" s="76">
        <f t="shared" ref="B90:AF90" si="17">IF(B69&lt;0,B69*-1,0)</f>
        <v>0</v>
      </c>
      <c r="C90" s="76">
        <f t="shared" si="17"/>
        <v>0</v>
      </c>
      <c r="D90" s="76">
        <f t="shared" si="17"/>
        <v>0</v>
      </c>
      <c r="E90" s="76">
        <f t="shared" si="17"/>
        <v>0</v>
      </c>
      <c r="F90" s="76">
        <f t="shared" si="17"/>
        <v>0</v>
      </c>
      <c r="G90" s="76">
        <f t="shared" si="17"/>
        <v>0</v>
      </c>
      <c r="H90" s="76">
        <f t="shared" si="17"/>
        <v>0</v>
      </c>
      <c r="I90" s="76">
        <f t="shared" si="17"/>
        <v>0</v>
      </c>
      <c r="J90" s="76">
        <f t="shared" si="17"/>
        <v>52</v>
      </c>
      <c r="K90" s="76">
        <f t="shared" si="17"/>
        <v>106</v>
      </c>
      <c r="L90" s="76">
        <f t="shared" si="17"/>
        <v>126</v>
      </c>
      <c r="M90" s="76">
        <f t="shared" si="17"/>
        <v>180</v>
      </c>
      <c r="N90" s="76">
        <f t="shared" si="17"/>
        <v>179.8</v>
      </c>
      <c r="O90" s="76">
        <f t="shared" si="17"/>
        <v>2.9</v>
      </c>
      <c r="P90" s="76">
        <f t="shared" si="17"/>
        <v>0</v>
      </c>
      <c r="Q90" s="76">
        <f t="shared" si="17"/>
        <v>0</v>
      </c>
      <c r="R90" s="76">
        <f t="shared" si="17"/>
        <v>0</v>
      </c>
      <c r="S90" s="76">
        <f t="shared" si="17"/>
        <v>0</v>
      </c>
      <c r="T90" s="76">
        <f t="shared" si="17"/>
        <v>0</v>
      </c>
      <c r="U90" s="76">
        <f t="shared" si="17"/>
        <v>0</v>
      </c>
      <c r="V90" s="76">
        <f t="shared" si="17"/>
        <v>0</v>
      </c>
      <c r="W90" s="76">
        <f t="shared" si="17"/>
        <v>0</v>
      </c>
      <c r="X90" s="76">
        <v>157.69999999999999</v>
      </c>
      <c r="Y90" s="76">
        <f t="shared" si="17"/>
        <v>147</v>
      </c>
      <c r="Z90" s="76">
        <f t="shared" si="17"/>
        <v>157</v>
      </c>
      <c r="AA90" s="76">
        <f t="shared" si="17"/>
        <v>156.5</v>
      </c>
      <c r="AB90" s="76">
        <f t="shared" si="17"/>
        <v>152.9</v>
      </c>
      <c r="AC90" s="76">
        <f t="shared" si="17"/>
        <v>151.4</v>
      </c>
      <c r="AD90" s="76">
        <f t="shared" si="17"/>
        <v>148</v>
      </c>
      <c r="AE90" s="76">
        <f t="shared" si="17"/>
        <v>2.4</v>
      </c>
      <c r="AF90" s="76">
        <f t="shared" si="17"/>
        <v>0</v>
      </c>
      <c r="AG90" s="86"/>
      <c r="AH90" s="48">
        <f t="shared" si="9"/>
        <v>180</v>
      </c>
      <c r="AI90" s="49">
        <f t="shared" si="10"/>
        <v>0</v>
      </c>
    </row>
    <row r="91" spans="1:37" x14ac:dyDescent="0.25">
      <c r="A91" s="78" t="s">
        <v>71</v>
      </c>
      <c r="B91" s="76">
        <f t="shared" ref="B91:AF91" si="18">IF(B67&lt;0,B67*-1,0)</f>
        <v>0</v>
      </c>
      <c r="C91" s="76">
        <f t="shared" si="18"/>
        <v>0</v>
      </c>
      <c r="D91" s="76">
        <f t="shared" si="18"/>
        <v>0</v>
      </c>
      <c r="E91" s="76">
        <f t="shared" si="18"/>
        <v>0</v>
      </c>
      <c r="F91" s="76">
        <f t="shared" si="18"/>
        <v>0</v>
      </c>
      <c r="G91" s="76">
        <f t="shared" si="18"/>
        <v>0</v>
      </c>
      <c r="H91" s="76">
        <f t="shared" si="18"/>
        <v>0</v>
      </c>
      <c r="I91" s="76">
        <f t="shared" si="18"/>
        <v>0</v>
      </c>
      <c r="J91" s="76">
        <f t="shared" si="18"/>
        <v>0</v>
      </c>
      <c r="K91" s="76">
        <f t="shared" si="18"/>
        <v>0</v>
      </c>
      <c r="L91" s="76">
        <f t="shared" si="18"/>
        <v>0</v>
      </c>
      <c r="M91" s="76">
        <f t="shared" si="18"/>
        <v>0</v>
      </c>
      <c r="N91" s="76">
        <f t="shared" si="18"/>
        <v>0</v>
      </c>
      <c r="O91" s="76">
        <f t="shared" si="18"/>
        <v>0</v>
      </c>
      <c r="P91" s="76">
        <f t="shared" si="18"/>
        <v>0</v>
      </c>
      <c r="Q91" s="76">
        <f t="shared" si="18"/>
        <v>0</v>
      </c>
      <c r="R91" s="76">
        <f t="shared" si="18"/>
        <v>0</v>
      </c>
      <c r="S91" s="76">
        <f t="shared" si="18"/>
        <v>0</v>
      </c>
      <c r="T91" s="76">
        <f t="shared" si="18"/>
        <v>0</v>
      </c>
      <c r="U91" s="76">
        <f t="shared" si="18"/>
        <v>0</v>
      </c>
      <c r="V91" s="76">
        <f t="shared" si="18"/>
        <v>0</v>
      </c>
      <c r="W91" s="76">
        <f t="shared" si="18"/>
        <v>0</v>
      </c>
      <c r="X91" s="76">
        <v>0</v>
      </c>
      <c r="Y91" s="76">
        <f t="shared" si="18"/>
        <v>0</v>
      </c>
      <c r="Z91" s="76">
        <f t="shared" si="18"/>
        <v>0</v>
      </c>
      <c r="AA91" s="76">
        <f t="shared" si="18"/>
        <v>0</v>
      </c>
      <c r="AB91" s="76">
        <f t="shared" si="18"/>
        <v>0</v>
      </c>
      <c r="AC91" s="76">
        <f t="shared" si="18"/>
        <v>0</v>
      </c>
      <c r="AD91" s="76">
        <f t="shared" si="18"/>
        <v>0</v>
      </c>
      <c r="AE91" s="76">
        <f t="shared" si="18"/>
        <v>0</v>
      </c>
      <c r="AF91" s="76">
        <f t="shared" si="18"/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>
        <v>0</v>
      </c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94</v>
      </c>
      <c r="B93" s="61">
        <f t="shared" ref="B93:AF93" si="19">SUM(B87:B92)</f>
        <v>0</v>
      </c>
      <c r="C93" s="61">
        <f t="shared" si="19"/>
        <v>0</v>
      </c>
      <c r="D93" s="61">
        <f t="shared" si="19"/>
        <v>0</v>
      </c>
      <c r="E93" s="61">
        <f t="shared" si="19"/>
        <v>0</v>
      </c>
      <c r="F93" s="61">
        <f t="shared" si="19"/>
        <v>0</v>
      </c>
      <c r="G93" s="61">
        <f t="shared" si="19"/>
        <v>0</v>
      </c>
      <c r="H93" s="61">
        <f t="shared" si="19"/>
        <v>0</v>
      </c>
      <c r="I93" s="61">
        <f t="shared" si="19"/>
        <v>0</v>
      </c>
      <c r="J93" s="61">
        <f t="shared" si="19"/>
        <v>52</v>
      </c>
      <c r="K93" s="61">
        <f t="shared" si="19"/>
        <v>106</v>
      </c>
      <c r="L93" s="61">
        <f t="shared" si="19"/>
        <v>126</v>
      </c>
      <c r="M93" s="61">
        <f t="shared" si="19"/>
        <v>180</v>
      </c>
      <c r="N93" s="61">
        <f t="shared" si="19"/>
        <v>179.8</v>
      </c>
      <c r="O93" s="61">
        <f t="shared" si="19"/>
        <v>2.9</v>
      </c>
      <c r="P93" s="61">
        <f t="shared" si="19"/>
        <v>0</v>
      </c>
      <c r="Q93" s="61">
        <f t="shared" si="19"/>
        <v>0</v>
      </c>
      <c r="R93" s="61">
        <f t="shared" si="19"/>
        <v>0</v>
      </c>
      <c r="S93" s="61">
        <f t="shared" si="19"/>
        <v>0</v>
      </c>
      <c r="T93" s="61">
        <f t="shared" si="19"/>
        <v>0</v>
      </c>
      <c r="U93" s="61">
        <f t="shared" si="19"/>
        <v>0</v>
      </c>
      <c r="V93" s="61">
        <f t="shared" si="19"/>
        <v>0</v>
      </c>
      <c r="W93" s="61">
        <f t="shared" si="19"/>
        <v>0</v>
      </c>
      <c r="X93" s="61">
        <v>157.69999999999999</v>
      </c>
      <c r="Y93" s="61">
        <f t="shared" si="19"/>
        <v>147</v>
      </c>
      <c r="Z93" s="61">
        <f t="shared" si="19"/>
        <v>157</v>
      </c>
      <c r="AA93" s="61">
        <f t="shared" si="19"/>
        <v>156.5</v>
      </c>
      <c r="AB93" s="61">
        <f t="shared" si="19"/>
        <v>152.9</v>
      </c>
      <c r="AC93" s="61">
        <f t="shared" si="19"/>
        <v>151.4</v>
      </c>
      <c r="AD93" s="61">
        <f t="shared" si="19"/>
        <v>148</v>
      </c>
      <c r="AE93" s="61">
        <f t="shared" si="19"/>
        <v>2.4</v>
      </c>
      <c r="AF93" s="61">
        <f t="shared" si="19"/>
        <v>0</v>
      </c>
      <c r="AG93" s="81"/>
      <c r="AH93" s="48">
        <f t="shared" si="9"/>
        <v>180</v>
      </c>
      <c r="AI93" s="49">
        <f t="shared" si="10"/>
        <v>0</v>
      </c>
      <c r="AK93" s="50"/>
    </row>
    <row r="94" spans="1:37" ht="15.75" thickBot="1" x14ac:dyDescent="0.3">
      <c r="A94" s="74" t="s">
        <v>95</v>
      </c>
      <c r="B94" s="61">
        <f t="shared" ref="B94:AF94" si="20">B78-B93</f>
        <v>0</v>
      </c>
      <c r="C94" s="61">
        <f t="shared" si="20"/>
        <v>38</v>
      </c>
      <c r="D94" s="61">
        <f t="shared" si="20"/>
        <v>28.9</v>
      </c>
      <c r="E94" s="61">
        <f t="shared" si="20"/>
        <v>43</v>
      </c>
      <c r="F94" s="61">
        <f t="shared" si="20"/>
        <v>36</v>
      </c>
      <c r="G94" s="61">
        <f t="shared" si="20"/>
        <v>38</v>
      </c>
      <c r="H94" s="61">
        <f t="shared" si="20"/>
        <v>42</v>
      </c>
      <c r="I94" s="61">
        <f t="shared" si="20"/>
        <v>32</v>
      </c>
      <c r="J94" s="61">
        <f t="shared" si="20"/>
        <v>-52</v>
      </c>
      <c r="K94" s="61">
        <f t="shared" si="20"/>
        <v>-106</v>
      </c>
      <c r="L94" s="61">
        <f t="shared" si="20"/>
        <v>-126</v>
      </c>
      <c r="M94" s="61">
        <f t="shared" si="20"/>
        <v>-141</v>
      </c>
      <c r="N94" s="61">
        <f t="shared" si="20"/>
        <v>-132</v>
      </c>
      <c r="O94" s="61">
        <f t="shared" si="20"/>
        <v>38.200000000000003</v>
      </c>
      <c r="P94" s="61">
        <f t="shared" si="20"/>
        <v>111.4</v>
      </c>
      <c r="Q94" s="61">
        <f t="shared" si="20"/>
        <v>213.3</v>
      </c>
      <c r="R94" s="61">
        <f t="shared" si="20"/>
        <v>198.60000000000002</v>
      </c>
      <c r="S94" s="61">
        <f t="shared" si="20"/>
        <v>213.6</v>
      </c>
      <c r="T94" s="61">
        <f t="shared" si="20"/>
        <v>205.8</v>
      </c>
      <c r="U94" s="61">
        <f t="shared" si="20"/>
        <v>198.1</v>
      </c>
      <c r="V94" s="61">
        <f t="shared" si="20"/>
        <v>42.7</v>
      </c>
      <c r="W94" s="61">
        <f t="shared" si="20"/>
        <v>59.2</v>
      </c>
      <c r="X94" s="61">
        <v>-109.39999999999999</v>
      </c>
      <c r="Y94" s="61">
        <f t="shared" si="20"/>
        <v>-98.7</v>
      </c>
      <c r="Z94" s="61">
        <f t="shared" si="20"/>
        <v>-118.8</v>
      </c>
      <c r="AA94" s="61">
        <f t="shared" si="20"/>
        <v>-120.2</v>
      </c>
      <c r="AB94" s="61">
        <f t="shared" si="20"/>
        <v>-123</v>
      </c>
      <c r="AC94" s="61">
        <f t="shared" si="20"/>
        <v>-120.4</v>
      </c>
      <c r="AD94" s="61">
        <f t="shared" si="20"/>
        <v>-148</v>
      </c>
      <c r="AE94" s="61">
        <f t="shared" si="20"/>
        <v>-2.4</v>
      </c>
      <c r="AF94" s="61">
        <f t="shared" si="20"/>
        <v>51.2</v>
      </c>
      <c r="AG94" s="81"/>
      <c r="AH94" s="48">
        <f t="shared" si="9"/>
        <v>213.6</v>
      </c>
      <c r="AI94" s="49">
        <f t="shared" si="10"/>
        <v>-148</v>
      </c>
    </row>
    <row r="95" spans="1:37" x14ac:dyDescent="0.25">
      <c r="A95" s="88" t="s">
        <v>96</v>
      </c>
      <c r="B95" s="89">
        <v>50.13</v>
      </c>
      <c r="C95" s="89">
        <v>50.015999999999998</v>
      </c>
      <c r="D95" s="89">
        <v>50.018000000000001</v>
      </c>
      <c r="E95" s="89">
        <v>50.045000000000002</v>
      </c>
      <c r="F95" s="89">
        <v>50.081000000000003</v>
      </c>
      <c r="G95" s="89">
        <v>50.042000000000002</v>
      </c>
      <c r="H95" s="89">
        <v>50.082000000000001</v>
      </c>
      <c r="I95" s="89">
        <v>50.036999999999999</v>
      </c>
      <c r="J95" s="89">
        <v>50.034999999999997</v>
      </c>
      <c r="K95" s="89">
        <v>50.034999999999997</v>
      </c>
      <c r="L95" s="89">
        <v>50.003999999999998</v>
      </c>
      <c r="M95" s="89">
        <v>50.037999999999997</v>
      </c>
      <c r="N95" s="89">
        <v>50.197000000000003</v>
      </c>
      <c r="O95" s="89">
        <v>49.838999999999999</v>
      </c>
      <c r="P95" s="89">
        <v>49.945999999999998</v>
      </c>
      <c r="Q95" s="89">
        <v>49.99</v>
      </c>
      <c r="R95" s="89">
        <v>49.628</v>
      </c>
      <c r="S95" s="89">
        <v>50.07</v>
      </c>
      <c r="T95" s="89">
        <v>49.96</v>
      </c>
      <c r="U95" s="89">
        <v>50.02</v>
      </c>
      <c r="V95" s="89">
        <v>49.99</v>
      </c>
      <c r="W95" s="89">
        <v>50.04</v>
      </c>
      <c r="X95" s="89">
        <v>50.03</v>
      </c>
      <c r="Y95" s="89">
        <v>50.09</v>
      </c>
      <c r="Z95" s="89">
        <v>50.1</v>
      </c>
      <c r="AA95" s="89">
        <v>49.86</v>
      </c>
      <c r="AB95" s="89">
        <v>49.892000000000003</v>
      </c>
      <c r="AC95" s="89">
        <v>49.970999999999997</v>
      </c>
      <c r="AD95" s="89">
        <v>50.064</v>
      </c>
      <c r="AE95" s="89">
        <v>50.296999999999997</v>
      </c>
      <c r="AF95" s="89">
        <v>49.98</v>
      </c>
      <c r="AG95" s="90"/>
      <c r="AH95" s="48">
        <f t="shared" si="9"/>
        <v>50.296999999999997</v>
      </c>
      <c r="AI95" s="49">
        <f t="shared" si="10"/>
        <v>49.628</v>
      </c>
    </row>
    <row r="96" spans="1:37" x14ac:dyDescent="0.25">
      <c r="A96" s="91" t="s">
        <v>97</v>
      </c>
      <c r="B96" s="65">
        <v>130.80000000000001</v>
      </c>
      <c r="C96" s="65">
        <v>130.9</v>
      </c>
      <c r="D96" s="65">
        <v>120.7</v>
      </c>
      <c r="E96" s="65">
        <v>130.30000000000001</v>
      </c>
      <c r="F96" s="65">
        <v>129.80000000000001</v>
      </c>
      <c r="G96" s="65">
        <v>128.6</v>
      </c>
      <c r="H96" s="65">
        <v>127.7</v>
      </c>
      <c r="I96" s="65">
        <v>126.6</v>
      </c>
      <c r="J96" s="65">
        <v>123.4</v>
      </c>
      <c r="K96" s="65">
        <v>123.4</v>
      </c>
      <c r="L96" s="65">
        <v>122.9</v>
      </c>
      <c r="M96" s="65">
        <v>121.7</v>
      </c>
      <c r="N96" s="65">
        <v>124.6</v>
      </c>
      <c r="O96" s="65">
        <v>123.9</v>
      </c>
      <c r="P96" s="65">
        <v>124.8</v>
      </c>
      <c r="Q96" s="65">
        <v>125</v>
      </c>
      <c r="R96" s="65">
        <v>124.2</v>
      </c>
      <c r="S96" s="65">
        <v>124.3</v>
      </c>
      <c r="T96" s="65">
        <v>124.9</v>
      </c>
      <c r="U96" s="65">
        <v>124.7</v>
      </c>
      <c r="V96" s="65">
        <v>125.3</v>
      </c>
      <c r="W96" s="65">
        <v>125.7</v>
      </c>
      <c r="X96" s="65">
        <v>128.1</v>
      </c>
      <c r="Y96" s="65">
        <v>128.9</v>
      </c>
      <c r="Z96" s="65">
        <v>128.4</v>
      </c>
      <c r="AA96" s="65">
        <v>127.4</v>
      </c>
      <c r="AB96" s="65">
        <v>127.8</v>
      </c>
      <c r="AC96" s="65">
        <v>128.4</v>
      </c>
      <c r="AD96" s="65">
        <v>128.80000000000001</v>
      </c>
      <c r="AE96" s="65">
        <v>129.69999999999999</v>
      </c>
      <c r="AF96" s="65">
        <v>130.4</v>
      </c>
      <c r="AG96" s="92"/>
      <c r="AH96" s="48">
        <f t="shared" si="9"/>
        <v>130.9</v>
      </c>
      <c r="AI96" s="49">
        <f t="shared" si="10"/>
        <v>120.7</v>
      </c>
    </row>
    <row r="97" spans="1:35" x14ac:dyDescent="0.25">
      <c r="A97" s="91" t="s">
        <v>98</v>
      </c>
      <c r="B97" s="65">
        <v>133.80000000000001</v>
      </c>
      <c r="C97" s="65">
        <v>133.9</v>
      </c>
      <c r="D97" s="65">
        <v>134</v>
      </c>
      <c r="E97" s="65">
        <v>133.6</v>
      </c>
      <c r="F97" s="65">
        <v>133.30000000000001</v>
      </c>
      <c r="G97" s="65">
        <v>132.1</v>
      </c>
      <c r="H97" s="65">
        <v>131.30000000000001</v>
      </c>
      <c r="I97" s="65">
        <v>130.1</v>
      </c>
      <c r="J97" s="65">
        <v>126.9</v>
      </c>
      <c r="K97" s="65">
        <v>126.9</v>
      </c>
      <c r="L97" s="65">
        <v>126.5</v>
      </c>
      <c r="M97" s="65">
        <v>124.9</v>
      </c>
      <c r="N97" s="65">
        <v>127</v>
      </c>
      <c r="O97" s="65">
        <v>126.5</v>
      </c>
      <c r="P97" s="65">
        <v>127.4</v>
      </c>
      <c r="Q97" s="65">
        <v>127.7</v>
      </c>
      <c r="R97" s="65">
        <v>127.1</v>
      </c>
      <c r="S97" s="65">
        <v>127.3</v>
      </c>
      <c r="T97" s="65">
        <v>127.6</v>
      </c>
      <c r="U97" s="65">
        <v>127.6</v>
      </c>
      <c r="V97" s="65">
        <v>128.1</v>
      </c>
      <c r="W97" s="65">
        <v>128.19999999999999</v>
      </c>
      <c r="X97" s="65">
        <v>129.6</v>
      </c>
      <c r="Y97" s="65">
        <v>130.4</v>
      </c>
      <c r="Z97" s="65">
        <v>130.30000000000001</v>
      </c>
      <c r="AA97" s="65">
        <v>129.5</v>
      </c>
      <c r="AB97" s="65">
        <v>129.9</v>
      </c>
      <c r="AC97" s="65">
        <v>130.69999999999999</v>
      </c>
      <c r="AD97" s="65">
        <v>131</v>
      </c>
      <c r="AE97" s="65">
        <v>132.19999999999999</v>
      </c>
      <c r="AF97" s="65">
        <v>133.1</v>
      </c>
      <c r="AG97" s="92"/>
      <c r="AH97" s="48">
        <f t="shared" si="9"/>
        <v>134</v>
      </c>
      <c r="AI97" s="49">
        <f t="shared" si="10"/>
        <v>124.9</v>
      </c>
    </row>
    <row r="98" spans="1:35" x14ac:dyDescent="0.25">
      <c r="A98" s="91" t="s">
        <v>99</v>
      </c>
      <c r="B98" s="65">
        <v>130.4</v>
      </c>
      <c r="C98" s="65">
        <v>128.80000000000001</v>
      </c>
      <c r="D98" s="65">
        <v>134.30000000000001</v>
      </c>
      <c r="E98" s="65">
        <v>131</v>
      </c>
      <c r="F98" s="65">
        <v>130.69999999999999</v>
      </c>
      <c r="G98" s="65">
        <v>131.6</v>
      </c>
      <c r="H98" s="65">
        <v>129.9</v>
      </c>
      <c r="I98" s="65">
        <v>129.30000000000001</v>
      </c>
      <c r="J98" s="65">
        <v>126.3</v>
      </c>
      <c r="K98" s="65">
        <v>126.3</v>
      </c>
      <c r="L98" s="65">
        <v>15.7</v>
      </c>
      <c r="M98" s="65">
        <v>128.5</v>
      </c>
      <c r="N98" s="65">
        <v>128.69999999999999</v>
      </c>
      <c r="O98" s="65">
        <v>128.9</v>
      </c>
      <c r="P98" s="65">
        <v>131.19999999999999</v>
      </c>
      <c r="Q98" s="65">
        <v>132.19999999999999</v>
      </c>
      <c r="R98" s="65">
        <v>129.19999999999999</v>
      </c>
      <c r="S98" s="65">
        <v>131.9</v>
      </c>
      <c r="T98" s="65">
        <v>130.9</v>
      </c>
      <c r="U98" s="65">
        <v>128.6</v>
      </c>
      <c r="V98" s="65">
        <v>129.4</v>
      </c>
      <c r="W98" s="65">
        <v>129.19999999999999</v>
      </c>
      <c r="X98" s="65">
        <v>130.9</v>
      </c>
      <c r="Y98" s="65">
        <v>130.9</v>
      </c>
      <c r="Z98" s="65">
        <v>133.4</v>
      </c>
      <c r="AA98" s="65">
        <v>132.19999999999999</v>
      </c>
      <c r="AB98" s="65">
        <v>132</v>
      </c>
      <c r="AC98" s="65">
        <v>131.1</v>
      </c>
      <c r="AD98" s="65">
        <v>131</v>
      </c>
      <c r="AE98" s="65">
        <v>132.4</v>
      </c>
      <c r="AF98" s="65">
        <v>133.69999999999999</v>
      </c>
      <c r="AG98" s="92"/>
      <c r="AH98" s="48">
        <f t="shared" si="9"/>
        <v>134.30000000000001</v>
      </c>
      <c r="AI98" s="49">
        <f t="shared" si="10"/>
        <v>15.7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101</v>
      </c>
      <c r="B100" s="94">
        <v>135</v>
      </c>
      <c r="C100" s="94">
        <v>132</v>
      </c>
      <c r="D100" s="94">
        <v>133.80000000000001</v>
      </c>
      <c r="E100" s="94">
        <v>134</v>
      </c>
      <c r="F100" s="94">
        <v>133.30000000000001</v>
      </c>
      <c r="G100" s="94">
        <v>133.9</v>
      </c>
      <c r="H100" s="94">
        <v>132.6</v>
      </c>
      <c r="I100" s="94">
        <v>133.6</v>
      </c>
      <c r="J100" s="94">
        <v>134.4</v>
      </c>
      <c r="K100" s="94">
        <v>134.4</v>
      </c>
      <c r="L100" s="94">
        <v>133.19999999999999</v>
      </c>
      <c r="M100" s="94">
        <v>132.80000000000001</v>
      </c>
      <c r="N100" s="94">
        <v>132.9</v>
      </c>
      <c r="O100" s="94">
        <v>135.19999999999999</v>
      </c>
      <c r="P100" s="94">
        <v>135.30000000000001</v>
      </c>
      <c r="Q100" s="94">
        <v>134.30000000000001</v>
      </c>
      <c r="R100" s="94">
        <v>131.9</v>
      </c>
      <c r="S100" s="94">
        <v>130.69999999999999</v>
      </c>
      <c r="T100" s="94">
        <v>132.30000000000001</v>
      </c>
      <c r="U100" s="94">
        <v>132.9</v>
      </c>
      <c r="V100" s="94">
        <v>135.19999999999999</v>
      </c>
      <c r="W100" s="94">
        <v>136</v>
      </c>
      <c r="X100" s="94">
        <v>133.6</v>
      </c>
      <c r="Y100" s="94">
        <v>135.30000000000001</v>
      </c>
      <c r="Z100" s="94">
        <v>133.5</v>
      </c>
      <c r="AA100" s="94">
        <v>132.9</v>
      </c>
      <c r="AB100" s="94">
        <v>132.9</v>
      </c>
      <c r="AC100" s="94">
        <v>132.4</v>
      </c>
      <c r="AD100" s="94">
        <v>132.9</v>
      </c>
      <c r="AE100" s="94">
        <v>134.6</v>
      </c>
      <c r="AF100" s="94">
        <v>132.9</v>
      </c>
      <c r="AG100" s="95"/>
      <c r="AH100" s="48">
        <f t="shared" si="9"/>
        <v>136</v>
      </c>
      <c r="AI100" s="49">
        <f t="shared" si="10"/>
        <v>130.69999999999999</v>
      </c>
    </row>
    <row r="101" spans="1:35" x14ac:dyDescent="0.25">
      <c r="A101" s="91" t="s">
        <v>102</v>
      </c>
      <c r="B101" s="65">
        <v>136</v>
      </c>
      <c r="C101" s="65">
        <v>133.69999999999999</v>
      </c>
      <c r="D101" s="65"/>
      <c r="E101" s="65"/>
      <c r="F101" s="65">
        <v>134.30000000000001</v>
      </c>
      <c r="G101" s="65">
        <v>134.5</v>
      </c>
      <c r="H101" s="65">
        <v>133.1</v>
      </c>
      <c r="I101" s="65">
        <v>132</v>
      </c>
      <c r="J101" s="65">
        <v>133.80000000000001</v>
      </c>
      <c r="K101" s="65">
        <v>133.80000000000001</v>
      </c>
      <c r="L101" s="65">
        <v>129.80000000000001</v>
      </c>
      <c r="M101" s="65">
        <v>124.1</v>
      </c>
      <c r="N101" s="65">
        <v>131.19999999999999</v>
      </c>
      <c r="O101" s="65">
        <v>131.69999999999999</v>
      </c>
      <c r="P101" s="65">
        <v>130.9</v>
      </c>
      <c r="Q101" s="65">
        <v>133</v>
      </c>
      <c r="R101" s="65">
        <v>128.30000000000001</v>
      </c>
      <c r="S101" s="65">
        <v>133</v>
      </c>
      <c r="T101" s="65">
        <v>132.5</v>
      </c>
      <c r="U101" s="65">
        <v>132.1</v>
      </c>
      <c r="V101" s="65">
        <v>132.30000000000001</v>
      </c>
      <c r="W101" s="65">
        <v>130</v>
      </c>
      <c r="X101" s="65">
        <v>132</v>
      </c>
      <c r="Y101" s="65">
        <v>134.19999999999999</v>
      </c>
      <c r="Z101" s="65">
        <v>131</v>
      </c>
      <c r="AA101" s="65">
        <v>130.80000000000001</v>
      </c>
      <c r="AB101" s="65">
        <v>132.6</v>
      </c>
      <c r="AC101" s="65">
        <v>131.19999999999999</v>
      </c>
      <c r="AD101" s="65">
        <v>131.6</v>
      </c>
      <c r="AE101" s="65">
        <v>134.5</v>
      </c>
      <c r="AF101" s="65">
        <v>133.19999999999999</v>
      </c>
      <c r="AG101" s="92"/>
      <c r="AH101" s="48">
        <f t="shared" si="9"/>
        <v>136</v>
      </c>
      <c r="AI101" s="49">
        <f t="shared" si="10"/>
        <v>124.1</v>
      </c>
    </row>
    <row r="102" spans="1:35" ht="15.75" thickBot="1" x14ac:dyDescent="0.3">
      <c r="A102" s="91" t="s">
        <v>104</v>
      </c>
      <c r="B102" s="96">
        <v>67.8</v>
      </c>
      <c r="C102" s="96">
        <v>67.2</v>
      </c>
      <c r="D102" s="96">
        <v>67.099999999999994</v>
      </c>
      <c r="E102" s="96">
        <v>67</v>
      </c>
      <c r="F102" s="96">
        <v>66.7</v>
      </c>
      <c r="G102" s="96">
        <v>66.3</v>
      </c>
      <c r="H102" s="96">
        <v>65.8</v>
      </c>
      <c r="I102" s="96">
        <v>65.099999999999994</v>
      </c>
      <c r="J102" s="96">
        <v>63.7</v>
      </c>
      <c r="K102" s="96">
        <v>63.7</v>
      </c>
      <c r="L102" s="96">
        <v>63.2</v>
      </c>
      <c r="M102" s="96">
        <v>62.5</v>
      </c>
      <c r="N102" s="96">
        <v>63.6</v>
      </c>
      <c r="O102" s="96">
        <v>63.3</v>
      </c>
      <c r="P102" s="96">
        <v>63.7</v>
      </c>
      <c r="Q102" s="96">
        <v>63.7</v>
      </c>
      <c r="R102" s="96">
        <v>63.5</v>
      </c>
      <c r="S102" s="96">
        <v>63.7</v>
      </c>
      <c r="T102" s="96">
        <v>63.9</v>
      </c>
      <c r="U102" s="96">
        <v>63.8</v>
      </c>
      <c r="V102" s="96">
        <v>64.8</v>
      </c>
      <c r="W102" s="96">
        <v>64.3</v>
      </c>
      <c r="X102" s="96">
        <v>65.099999999999994</v>
      </c>
      <c r="Y102" s="96">
        <v>65.7</v>
      </c>
      <c r="Z102" s="96">
        <v>65.900000000000006</v>
      </c>
      <c r="AA102" s="96">
        <v>65.400000000000006</v>
      </c>
      <c r="AB102" s="96">
        <v>65.7</v>
      </c>
      <c r="AC102" s="96">
        <v>65.900000000000006</v>
      </c>
      <c r="AD102" s="96">
        <v>66.099999999999994</v>
      </c>
      <c r="AE102" s="96">
        <v>66.5</v>
      </c>
      <c r="AF102" s="96">
        <v>66.8</v>
      </c>
      <c r="AG102" s="97"/>
      <c r="AH102" s="48">
        <f t="shared" si="9"/>
        <v>67.8</v>
      </c>
      <c r="AI102" s="49">
        <f t="shared" si="10"/>
        <v>62.5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248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105</v>
      </c>
      <c r="B104" s="100">
        <f t="shared" ref="B104:AF104" si="21">SUM(B16,B22,B25:B26,B52,B54:B55,B57,B59,B105:B109,B131,B137,B143,B152,B154,B166,B173,B176:B177,B184,B186,B188,B192:B194,B196:B198,B203,B209:B210,B212:B214,B222,B227)</f>
        <v>97.300000000000026</v>
      </c>
      <c r="C104" s="100">
        <f t="shared" si="21"/>
        <v>91.430000000000021</v>
      </c>
      <c r="D104" s="100">
        <f t="shared" si="21"/>
        <v>76.34</v>
      </c>
      <c r="E104" s="100">
        <f t="shared" si="21"/>
        <v>68.84</v>
      </c>
      <c r="F104" s="100">
        <f t="shared" si="21"/>
        <v>71.940000000000012</v>
      </c>
      <c r="G104" s="100">
        <f t="shared" si="21"/>
        <v>92.740000000000009</v>
      </c>
      <c r="H104" s="100">
        <f t="shared" si="21"/>
        <v>118.74000000000002</v>
      </c>
      <c r="I104" s="100">
        <f t="shared" si="21"/>
        <v>148.84</v>
      </c>
      <c r="J104" s="100">
        <f t="shared" si="21"/>
        <v>219.84</v>
      </c>
      <c r="K104" s="100">
        <f t="shared" si="21"/>
        <v>264.83999999999997</v>
      </c>
      <c r="L104" s="100">
        <f t="shared" si="21"/>
        <v>307.94</v>
      </c>
      <c r="M104" s="100">
        <f t="shared" si="21"/>
        <v>291.04000000000002</v>
      </c>
      <c r="N104" s="100">
        <f t="shared" si="21"/>
        <v>274.34000000000003</v>
      </c>
      <c r="O104" s="100">
        <f t="shared" si="21"/>
        <v>273.94</v>
      </c>
      <c r="P104" s="100">
        <f t="shared" si="21"/>
        <v>248.74</v>
      </c>
      <c r="Q104" s="100">
        <f t="shared" si="21"/>
        <v>233.1</v>
      </c>
      <c r="R104" s="100">
        <f t="shared" si="21"/>
        <v>217.80000000000004</v>
      </c>
      <c r="S104" s="100">
        <f t="shared" si="21"/>
        <v>224.20000000000002</v>
      </c>
      <c r="T104" s="100">
        <f t="shared" si="21"/>
        <v>219.79999999999998</v>
      </c>
      <c r="U104" s="100">
        <f t="shared" si="21"/>
        <v>236.70000000000002</v>
      </c>
      <c r="V104" s="100">
        <f t="shared" si="21"/>
        <v>268.59999999999997</v>
      </c>
      <c r="W104" s="100">
        <f t="shared" si="21"/>
        <v>300.00000000000006</v>
      </c>
      <c r="X104" s="100">
        <v>378.89708333333334</v>
      </c>
      <c r="Y104" s="100">
        <f t="shared" si="21"/>
        <v>294.5</v>
      </c>
      <c r="Z104" s="100">
        <f t="shared" si="21"/>
        <v>283.10000000000002</v>
      </c>
      <c r="AA104" s="100">
        <f t="shared" si="21"/>
        <v>291.10000000000002</v>
      </c>
      <c r="AB104" s="100">
        <f t="shared" si="21"/>
        <v>277.8</v>
      </c>
      <c r="AC104" s="100">
        <f t="shared" si="21"/>
        <v>259.50000000000006</v>
      </c>
      <c r="AD104" s="100">
        <f t="shared" si="21"/>
        <v>240.20000000000005</v>
      </c>
      <c r="AE104" s="100">
        <f t="shared" si="21"/>
        <v>178.8</v>
      </c>
      <c r="AF104" s="100">
        <f t="shared" si="21"/>
        <v>145.19999999999999</v>
      </c>
      <c r="AG104" s="101"/>
      <c r="AH104" s="48">
        <f t="shared" si="9"/>
        <v>378.89708333333334</v>
      </c>
      <c r="AI104" s="49">
        <f t="shared" si="10"/>
        <v>68.84</v>
      </c>
    </row>
    <row r="105" spans="1:35" x14ac:dyDescent="0.25">
      <c r="A105" s="88" t="s">
        <v>106</v>
      </c>
      <c r="B105" s="102">
        <v>19.3</v>
      </c>
      <c r="C105" s="102">
        <v>7.5</v>
      </c>
      <c r="D105" s="102">
        <v>9</v>
      </c>
      <c r="E105" s="102">
        <v>8</v>
      </c>
      <c r="F105" s="102">
        <v>13.3</v>
      </c>
      <c r="G105" s="102">
        <v>21</v>
      </c>
      <c r="H105" s="102">
        <v>20</v>
      </c>
      <c r="I105" s="102">
        <v>20</v>
      </c>
      <c r="J105" s="102">
        <v>35</v>
      </c>
      <c r="K105" s="102">
        <v>50</v>
      </c>
      <c r="L105" s="102">
        <v>43.3</v>
      </c>
      <c r="M105" s="102">
        <v>55.2</v>
      </c>
      <c r="N105" s="102">
        <v>55.9</v>
      </c>
      <c r="O105" s="102">
        <v>57.4</v>
      </c>
      <c r="P105" s="102">
        <v>58.6</v>
      </c>
      <c r="Q105" s="102">
        <v>34.5</v>
      </c>
      <c r="R105" s="102">
        <v>28</v>
      </c>
      <c r="S105" s="102">
        <v>26.1</v>
      </c>
      <c r="T105" s="102">
        <v>33.799999999999997</v>
      </c>
      <c r="U105" s="102">
        <v>39.700000000000003</v>
      </c>
      <c r="V105" s="102">
        <v>52.7</v>
      </c>
      <c r="W105" s="102">
        <v>58.2</v>
      </c>
      <c r="X105" s="102">
        <v>50.1</v>
      </c>
      <c r="Y105" s="102">
        <v>54.7</v>
      </c>
      <c r="Z105" s="102">
        <v>60.1</v>
      </c>
      <c r="AA105" s="102">
        <v>64.099999999999994</v>
      </c>
      <c r="AB105" s="102">
        <v>65.900000000000006</v>
      </c>
      <c r="AC105" s="102">
        <v>61.4</v>
      </c>
      <c r="AD105" s="102">
        <v>56</v>
      </c>
      <c r="AE105" s="102">
        <v>48.8</v>
      </c>
      <c r="AF105" s="102">
        <v>21.1</v>
      </c>
      <c r="AG105" s="103">
        <v>75</v>
      </c>
      <c r="AH105" s="48">
        <f t="shared" si="9"/>
        <v>65.900000000000006</v>
      </c>
      <c r="AI105" s="49">
        <f t="shared" si="10"/>
        <v>7.5</v>
      </c>
    </row>
    <row r="106" spans="1:35" x14ac:dyDescent="0.25">
      <c r="A106" s="91" t="s">
        <v>107</v>
      </c>
      <c r="B106" s="104">
        <v>29.9</v>
      </c>
      <c r="C106" s="104">
        <v>17.3</v>
      </c>
      <c r="D106" s="104">
        <v>16.3</v>
      </c>
      <c r="E106" s="104">
        <v>13</v>
      </c>
      <c r="F106" s="104">
        <v>24</v>
      </c>
      <c r="G106" s="104">
        <v>35</v>
      </c>
      <c r="H106" s="104">
        <v>32.200000000000003</v>
      </c>
      <c r="I106" s="104">
        <v>31</v>
      </c>
      <c r="J106" s="104">
        <v>60</v>
      </c>
      <c r="K106" s="104">
        <v>75</v>
      </c>
      <c r="L106" s="104">
        <v>66</v>
      </c>
      <c r="M106" s="104">
        <v>80.2</v>
      </c>
      <c r="N106" s="104">
        <v>81.099999999999994</v>
      </c>
      <c r="O106" s="104">
        <v>84.3</v>
      </c>
      <c r="P106" s="104">
        <v>86.1</v>
      </c>
      <c r="Q106" s="104">
        <v>52.9</v>
      </c>
      <c r="R106" s="104">
        <v>43</v>
      </c>
      <c r="S106" s="104">
        <v>38.4</v>
      </c>
      <c r="T106" s="104">
        <v>52.5</v>
      </c>
      <c r="U106" s="104">
        <v>60.9</v>
      </c>
      <c r="V106" s="104">
        <v>73.2</v>
      </c>
      <c r="W106" s="104">
        <v>80.099999999999994</v>
      </c>
      <c r="X106" s="104">
        <v>69.400000000000006</v>
      </c>
      <c r="Y106" s="104">
        <v>75.7</v>
      </c>
      <c r="Z106" s="104">
        <v>82.9</v>
      </c>
      <c r="AA106" s="104">
        <v>88.3</v>
      </c>
      <c r="AB106" s="104">
        <v>92</v>
      </c>
      <c r="AC106" s="104">
        <v>85.4</v>
      </c>
      <c r="AD106" s="104">
        <v>78.400000000000006</v>
      </c>
      <c r="AE106" s="104">
        <v>70.7</v>
      </c>
      <c r="AF106" s="104">
        <v>33.799999999999997</v>
      </c>
      <c r="AG106" s="103">
        <v>240</v>
      </c>
      <c r="AH106" s="48">
        <f t="shared" si="9"/>
        <v>92</v>
      </c>
      <c r="AI106" s="49">
        <f t="shared" si="10"/>
        <v>13</v>
      </c>
    </row>
    <row r="107" spans="1:35" x14ac:dyDescent="0.25">
      <c r="A107" s="91" t="s">
        <v>108</v>
      </c>
      <c r="B107" s="104">
        <v>-77.8</v>
      </c>
      <c r="C107" s="104">
        <v>-75.3</v>
      </c>
      <c r="D107" s="104">
        <v>-78.099999999999994</v>
      </c>
      <c r="E107" s="104">
        <v>-75</v>
      </c>
      <c r="F107" s="104">
        <v>-88</v>
      </c>
      <c r="G107" s="104">
        <v>-88</v>
      </c>
      <c r="H107" s="104">
        <v>-60</v>
      </c>
      <c r="I107" s="104">
        <v>-33</v>
      </c>
      <c r="J107" s="104">
        <v>-25</v>
      </c>
      <c r="K107" s="104">
        <v>-18</v>
      </c>
      <c r="L107" s="104">
        <v>-52</v>
      </c>
      <c r="M107" s="104">
        <v>-17</v>
      </c>
      <c r="N107" s="104">
        <v>-26.3</v>
      </c>
      <c r="O107" s="104">
        <v>-33</v>
      </c>
      <c r="P107" s="104">
        <v>-60.9</v>
      </c>
      <c r="Q107" s="104">
        <f>-9.3-10</f>
        <v>-19.3</v>
      </c>
      <c r="R107" s="104">
        <v>-18.899999999999999</v>
      </c>
      <c r="S107" s="104">
        <f>-2.8-3</f>
        <v>-5.8</v>
      </c>
      <c r="T107" s="104">
        <f>-18.1-13.8</f>
        <v>-31.900000000000002</v>
      </c>
      <c r="U107" s="104">
        <f>-12.4-13.3</f>
        <v>-25.700000000000003</v>
      </c>
      <c r="V107" s="104">
        <f>-10.2-10.8</f>
        <v>-21</v>
      </c>
      <c r="W107" s="104">
        <f>-4.9-5.4</f>
        <v>-10.3</v>
      </c>
      <c r="X107" s="104">
        <v>-24.5</v>
      </c>
      <c r="Y107" s="104">
        <f>-34.8-4.2</f>
        <v>-39</v>
      </c>
      <c r="Z107" s="104">
        <f>-32.4-9.6</f>
        <v>-42</v>
      </c>
      <c r="AA107" s="104">
        <f>-22-10.2</f>
        <v>-32.200000000000003</v>
      </c>
      <c r="AB107" s="104">
        <v>-42.5</v>
      </c>
      <c r="AC107" s="104">
        <v>-45.5</v>
      </c>
      <c r="AD107" s="104">
        <v>-47</v>
      </c>
      <c r="AE107" s="104">
        <v>-88</v>
      </c>
      <c r="AF107" s="104">
        <v>-51</v>
      </c>
      <c r="AG107" s="103">
        <v>240</v>
      </c>
      <c r="AH107" s="48">
        <f t="shared" si="9"/>
        <v>-5.8</v>
      </c>
      <c r="AI107" s="49">
        <f t="shared" si="10"/>
        <v>-88</v>
      </c>
    </row>
    <row r="108" spans="1:35" x14ac:dyDescent="0.25">
      <c r="A108" s="91" t="s">
        <v>109</v>
      </c>
      <c r="B108" s="104">
        <v>-3.5</v>
      </c>
      <c r="C108" s="104">
        <v>-3.1</v>
      </c>
      <c r="D108" s="104">
        <v>-7</v>
      </c>
      <c r="E108" s="104">
        <v>-8</v>
      </c>
      <c r="F108" s="104">
        <v>-8.1999999999999993</v>
      </c>
      <c r="G108" s="104">
        <v>-6.1</v>
      </c>
      <c r="H108" s="104">
        <v>-4.3</v>
      </c>
      <c r="I108" s="104">
        <v>0</v>
      </c>
      <c r="J108" s="104">
        <v>2</v>
      </c>
      <c r="K108" s="104">
        <v>10</v>
      </c>
      <c r="L108" s="104">
        <v>5.8</v>
      </c>
      <c r="M108" s="104">
        <v>21.8</v>
      </c>
      <c r="N108" s="104">
        <v>11.8</v>
      </c>
      <c r="O108" s="104">
        <v>12.4</v>
      </c>
      <c r="P108" s="104">
        <v>11.1</v>
      </c>
      <c r="Q108" s="104">
        <v>12.7</v>
      </c>
      <c r="R108" s="104">
        <v>13.3</v>
      </c>
      <c r="S108" s="104">
        <v>13.3</v>
      </c>
      <c r="T108" s="104">
        <v>13.2</v>
      </c>
      <c r="U108" s="104">
        <v>11.6</v>
      </c>
      <c r="V108" s="104">
        <v>15.7</v>
      </c>
      <c r="W108" s="104">
        <v>42.1</v>
      </c>
      <c r="X108" s="104">
        <v>61.8</v>
      </c>
      <c r="Y108" s="104">
        <v>60.3</v>
      </c>
      <c r="Z108" s="104">
        <v>39</v>
      </c>
      <c r="AA108" s="104">
        <v>27.8</v>
      </c>
      <c r="AB108" s="104">
        <v>19.3</v>
      </c>
      <c r="AC108" s="104">
        <v>15.1</v>
      </c>
      <c r="AD108" s="104">
        <v>10</v>
      </c>
      <c r="AE108" s="104">
        <v>4.5</v>
      </c>
      <c r="AF108" s="104">
        <v>3.2</v>
      </c>
      <c r="AG108" s="103">
        <v>60</v>
      </c>
      <c r="AH108" s="48">
        <f t="shared" si="9"/>
        <v>61.8</v>
      </c>
      <c r="AI108" s="49">
        <f t="shared" si="10"/>
        <v>-8.1999999999999993</v>
      </c>
    </row>
    <row r="109" spans="1:35" x14ac:dyDescent="0.25">
      <c r="A109" s="105" t="s">
        <v>110</v>
      </c>
      <c r="B109" s="106">
        <v>0</v>
      </c>
      <c r="C109" s="106">
        <v>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6">
        <v>0</v>
      </c>
      <c r="K109" s="106">
        <v>0</v>
      </c>
      <c r="L109" s="106">
        <v>97</v>
      </c>
      <c r="M109" s="106">
        <v>0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0</v>
      </c>
      <c r="Y109" s="106">
        <v>0</v>
      </c>
      <c r="Z109" s="106">
        <v>0</v>
      </c>
      <c r="AA109" s="106">
        <v>0</v>
      </c>
      <c r="AB109" s="106">
        <v>0</v>
      </c>
      <c r="AC109" s="106">
        <v>0</v>
      </c>
      <c r="AD109" s="106">
        <v>0</v>
      </c>
      <c r="AE109" s="106">
        <v>0</v>
      </c>
      <c r="AF109" s="106">
        <v>0</v>
      </c>
      <c r="AG109" s="107">
        <v>120</v>
      </c>
      <c r="AH109" s="48">
        <f t="shared" si="9"/>
        <v>97</v>
      </c>
      <c r="AI109" s="49">
        <f t="shared" si="10"/>
        <v>0</v>
      </c>
    </row>
    <row r="110" spans="1:35" x14ac:dyDescent="0.25">
      <c r="A110" s="105" t="s">
        <v>111</v>
      </c>
      <c r="B110" s="106">
        <v>33.299999999999997</v>
      </c>
      <c r="C110" s="106">
        <v>37.1</v>
      </c>
      <c r="D110" s="106">
        <v>41.6</v>
      </c>
      <c r="E110" s="106">
        <v>45</v>
      </c>
      <c r="F110" s="106">
        <v>36</v>
      </c>
      <c r="G110" s="106">
        <v>34</v>
      </c>
      <c r="H110" s="106">
        <v>51</v>
      </c>
      <c r="I110" s="106">
        <v>75</v>
      </c>
      <c r="J110" s="106">
        <v>72</v>
      </c>
      <c r="K110" s="106">
        <v>75</v>
      </c>
      <c r="L110" s="106">
        <v>65</v>
      </c>
      <c r="M110" s="106">
        <v>82.3</v>
      </c>
      <c r="N110" s="106">
        <v>72.5</v>
      </c>
      <c r="O110" s="106">
        <v>62.6</v>
      </c>
      <c r="P110" s="106">
        <v>43.9</v>
      </c>
      <c r="Q110" s="106">
        <v>92.8</v>
      </c>
      <c r="R110" s="106">
        <v>91.7</v>
      </c>
      <c r="S110" s="106">
        <v>94.1</v>
      </c>
      <c r="T110" s="106">
        <v>80.5</v>
      </c>
      <c r="U110" s="106">
        <v>73.400000000000006</v>
      </c>
      <c r="V110" s="106">
        <v>55.2</v>
      </c>
      <c r="W110" s="106">
        <v>58.9</v>
      </c>
      <c r="X110" s="106">
        <v>51.9</v>
      </c>
      <c r="Y110" s="106">
        <v>37.6</v>
      </c>
      <c r="Z110" s="106">
        <v>32.1</v>
      </c>
      <c r="AA110" s="106">
        <v>36.9</v>
      </c>
      <c r="AB110" s="106">
        <v>23.5</v>
      </c>
      <c r="AC110" s="106">
        <v>16.5</v>
      </c>
      <c r="AD110" s="106">
        <v>24.8</v>
      </c>
      <c r="AE110" s="106">
        <v>0</v>
      </c>
      <c r="AF110" s="106">
        <v>55.3</v>
      </c>
      <c r="AG110" s="107"/>
      <c r="AH110" s="48">
        <f t="shared" si="9"/>
        <v>94.1</v>
      </c>
      <c r="AI110" s="49">
        <f t="shared" si="10"/>
        <v>0</v>
      </c>
    </row>
    <row r="111" spans="1:35" x14ac:dyDescent="0.25">
      <c r="A111" s="105" t="s">
        <v>112</v>
      </c>
      <c r="B111" s="106">
        <v>25.9</v>
      </c>
      <c r="C111" s="106"/>
      <c r="D111" s="106">
        <v>47</v>
      </c>
      <c r="E111" s="106">
        <v>48</v>
      </c>
      <c r="F111" s="106">
        <v>38</v>
      </c>
      <c r="G111" s="106">
        <v>28</v>
      </c>
      <c r="H111" s="106">
        <v>36</v>
      </c>
      <c r="I111" s="106">
        <v>28</v>
      </c>
      <c r="J111" s="106">
        <v>20</v>
      </c>
      <c r="K111" s="106">
        <v>12</v>
      </c>
      <c r="L111" s="106">
        <v>17</v>
      </c>
      <c r="M111" s="106">
        <v>3.5</v>
      </c>
      <c r="N111" s="106">
        <v>-4.7</v>
      </c>
      <c r="O111" s="106">
        <v>-6.7</v>
      </c>
      <c r="P111" s="106">
        <v>20</v>
      </c>
      <c r="Q111" s="106">
        <v>20.9</v>
      </c>
      <c r="R111" s="106">
        <v>14.7</v>
      </c>
      <c r="S111" s="106">
        <v>15.2</v>
      </c>
      <c r="T111" s="106">
        <v>14.8</v>
      </c>
      <c r="U111" s="106">
        <v>20.9</v>
      </c>
      <c r="V111" s="106">
        <v>-6.7</v>
      </c>
      <c r="W111" s="106">
        <v>-7.8</v>
      </c>
      <c r="X111" s="106">
        <v>14.3</v>
      </c>
      <c r="Y111" s="106">
        <v>2.7</v>
      </c>
      <c r="Z111" s="106">
        <v>-8.6999999999999993</v>
      </c>
      <c r="AA111" s="106">
        <v>-15</v>
      </c>
      <c r="AB111" s="106">
        <v>-19.899999999999999</v>
      </c>
      <c r="AC111" s="106">
        <v>-19.8</v>
      </c>
      <c r="AD111" s="106">
        <v>-4.8</v>
      </c>
      <c r="AE111" s="106">
        <v>3.9</v>
      </c>
      <c r="AF111" s="106">
        <v>30.2</v>
      </c>
      <c r="AG111" s="108"/>
      <c r="AH111" s="48">
        <f t="shared" si="9"/>
        <v>48</v>
      </c>
      <c r="AI111" s="49">
        <f t="shared" si="10"/>
        <v>-19.899999999999999</v>
      </c>
    </row>
    <row r="112" spans="1:35" x14ac:dyDescent="0.25">
      <c r="A112" s="109" t="s">
        <v>113</v>
      </c>
      <c r="B112" s="94">
        <v>39.200000000000003</v>
      </c>
      <c r="C112" s="94">
        <v>40.6</v>
      </c>
      <c r="D112" s="94">
        <v>43.1</v>
      </c>
      <c r="E112" s="94">
        <v>44</v>
      </c>
      <c r="F112" s="94">
        <v>44</v>
      </c>
      <c r="G112" s="94">
        <v>42</v>
      </c>
      <c r="H112" s="94">
        <v>39</v>
      </c>
      <c r="I112" s="94">
        <v>34</v>
      </c>
      <c r="J112" s="94">
        <v>28</v>
      </c>
      <c r="K112" s="94">
        <v>23</v>
      </c>
      <c r="L112" s="94">
        <v>19</v>
      </c>
      <c r="M112" s="94">
        <v>13.3</v>
      </c>
      <c r="N112" s="94">
        <v>18</v>
      </c>
      <c r="O112" s="94">
        <v>23</v>
      </c>
      <c r="P112" s="94">
        <v>25.6</v>
      </c>
      <c r="Q112" s="94">
        <v>30.8</v>
      </c>
      <c r="R112" s="94">
        <v>34.700000000000003</v>
      </c>
      <c r="S112" s="94">
        <v>29.9</v>
      </c>
      <c r="T112" s="94">
        <v>28</v>
      </c>
      <c r="U112" s="94">
        <v>25.4</v>
      </c>
      <c r="V112" s="94">
        <v>28.3</v>
      </c>
      <c r="W112" s="94">
        <v>0</v>
      </c>
      <c r="X112" s="94">
        <v>75.5</v>
      </c>
      <c r="Y112" s="94">
        <v>10.4</v>
      </c>
      <c r="Z112" s="94">
        <v>17.7</v>
      </c>
      <c r="AA112" s="94">
        <v>20.399999999999999</v>
      </c>
      <c r="AB112" s="94">
        <v>24.4</v>
      </c>
      <c r="AC112" s="94">
        <v>29</v>
      </c>
      <c r="AD112" s="94">
        <v>31.9</v>
      </c>
      <c r="AE112" s="94">
        <v>34.700000000000003</v>
      </c>
      <c r="AF112" s="94">
        <v>35.5</v>
      </c>
      <c r="AG112" s="108"/>
      <c r="AH112" s="48">
        <f t="shared" si="9"/>
        <v>75.5</v>
      </c>
      <c r="AI112" s="49">
        <f t="shared" si="10"/>
        <v>0</v>
      </c>
    </row>
    <row r="113" spans="1:37" ht="15.75" thickBot="1" x14ac:dyDescent="0.3">
      <c r="A113" s="109" t="s">
        <v>114</v>
      </c>
      <c r="B113" s="94">
        <v>52.8</v>
      </c>
      <c r="C113" s="94">
        <v>35.6</v>
      </c>
      <c r="D113" s="94"/>
      <c r="E113" s="94"/>
      <c r="F113" s="94"/>
      <c r="G113" s="94"/>
      <c r="H113" s="94"/>
      <c r="I113" s="94"/>
      <c r="J113" s="94"/>
      <c r="K113" s="94"/>
      <c r="L113" s="94"/>
      <c r="M113" s="94">
        <v>24</v>
      </c>
      <c r="N113" s="94">
        <v>26.9</v>
      </c>
      <c r="O113" s="94">
        <v>34.1</v>
      </c>
      <c r="P113" s="94">
        <v>53.9</v>
      </c>
      <c r="Q113" s="94">
        <v>12.7</v>
      </c>
      <c r="R113" s="94">
        <v>12.2</v>
      </c>
      <c r="S113" s="94">
        <v>6.2</v>
      </c>
      <c r="T113" s="94">
        <v>22.8</v>
      </c>
      <c r="U113" s="94">
        <v>18.8</v>
      </c>
      <c r="V113" s="94">
        <v>28.5</v>
      </c>
      <c r="W113" s="94">
        <v>24.4</v>
      </c>
      <c r="X113" s="94">
        <v>0</v>
      </c>
      <c r="Y113" s="94">
        <v>37.5</v>
      </c>
      <c r="Z113" s="94">
        <v>40.9</v>
      </c>
      <c r="AA113" s="94">
        <v>33.1</v>
      </c>
      <c r="AB113" s="94">
        <v>44.1</v>
      </c>
      <c r="AC113" s="94">
        <v>43.8</v>
      </c>
      <c r="AD113" s="94">
        <v>42.9</v>
      </c>
      <c r="AE113" s="94">
        <v>68.3</v>
      </c>
      <c r="AF113" s="94">
        <v>33.4</v>
      </c>
      <c r="AG113" s="108"/>
      <c r="AH113" s="48">
        <f t="shared" si="9"/>
        <v>68.3</v>
      </c>
      <c r="AI113" s="49">
        <f t="shared" si="10"/>
        <v>0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2">SUM(B115:B219)</f>
        <v>0</v>
      </c>
      <c r="C220" s="125">
        <f t="shared" si="22"/>
        <v>0</v>
      </c>
      <c r="D220" s="125">
        <f t="shared" si="22"/>
        <v>0</v>
      </c>
      <c r="E220" s="125">
        <f t="shared" si="22"/>
        <v>0</v>
      </c>
      <c r="F220" s="125">
        <f t="shared" si="22"/>
        <v>0</v>
      </c>
      <c r="G220" s="125">
        <f t="shared" si="22"/>
        <v>0</v>
      </c>
      <c r="H220" s="125">
        <f t="shared" si="22"/>
        <v>0</v>
      </c>
      <c r="I220" s="125">
        <f t="shared" si="22"/>
        <v>0</v>
      </c>
      <c r="J220" s="125">
        <f t="shared" si="22"/>
        <v>0</v>
      </c>
      <c r="K220" s="125">
        <f t="shared" si="22"/>
        <v>0</v>
      </c>
      <c r="L220" s="125">
        <f t="shared" si="22"/>
        <v>0</v>
      </c>
      <c r="M220" s="125">
        <f t="shared" si="22"/>
        <v>0</v>
      </c>
      <c r="N220" s="125">
        <f t="shared" si="22"/>
        <v>0</v>
      </c>
      <c r="O220" s="125">
        <f t="shared" si="22"/>
        <v>0</v>
      </c>
      <c r="P220" s="125">
        <f t="shared" si="22"/>
        <v>0</v>
      </c>
      <c r="Q220" s="125">
        <f t="shared" si="22"/>
        <v>0</v>
      </c>
      <c r="R220" s="125">
        <f t="shared" si="22"/>
        <v>0</v>
      </c>
      <c r="S220" s="125">
        <f t="shared" si="22"/>
        <v>0</v>
      </c>
      <c r="T220" s="125">
        <f t="shared" si="22"/>
        <v>0</v>
      </c>
      <c r="U220" s="125">
        <f t="shared" si="22"/>
        <v>0</v>
      </c>
      <c r="V220" s="125">
        <f t="shared" si="22"/>
        <v>0</v>
      </c>
      <c r="W220" s="125">
        <f t="shared" si="22"/>
        <v>0</v>
      </c>
      <c r="X220" s="125">
        <f t="shared" si="22"/>
        <v>0</v>
      </c>
      <c r="Y220" s="125">
        <f t="shared" si="22"/>
        <v>0</v>
      </c>
      <c r="Z220" s="125">
        <f t="shared" si="22"/>
        <v>0</v>
      </c>
      <c r="AA220" s="125">
        <f t="shared" si="22"/>
        <v>0</v>
      </c>
      <c r="AB220" s="125">
        <f t="shared" si="22"/>
        <v>0</v>
      </c>
      <c r="AC220" s="125">
        <f t="shared" si="22"/>
        <v>0</v>
      </c>
      <c r="AD220" s="125">
        <f t="shared" si="22"/>
        <v>0</v>
      </c>
      <c r="AE220" s="125">
        <f t="shared" si="22"/>
        <v>0</v>
      </c>
      <c r="AF220" s="126">
        <f t="shared" si="22"/>
        <v>0</v>
      </c>
      <c r="AG220" s="127">
        <f t="shared" si="22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3">AF222</f>
        <v>0</v>
      </c>
      <c r="C222" s="129">
        <v>0.3</v>
      </c>
      <c r="D222" s="129">
        <f t="shared" ref="D222:P227" si="24">C222</f>
        <v>0.3</v>
      </c>
      <c r="E222" s="129">
        <f t="shared" si="24"/>
        <v>0.3</v>
      </c>
      <c r="F222" s="129">
        <f t="shared" si="24"/>
        <v>0.3</v>
      </c>
      <c r="G222" s="129">
        <f t="shared" si="24"/>
        <v>0.3</v>
      </c>
      <c r="H222" s="129">
        <f t="shared" si="24"/>
        <v>0.3</v>
      </c>
      <c r="I222" s="129">
        <f t="shared" si="24"/>
        <v>0.3</v>
      </c>
      <c r="J222" s="129">
        <f t="shared" si="24"/>
        <v>0.3</v>
      </c>
      <c r="K222" s="129">
        <f t="shared" si="24"/>
        <v>0.3</v>
      </c>
      <c r="L222" s="129">
        <f t="shared" si="24"/>
        <v>0.3</v>
      </c>
      <c r="M222" s="129">
        <f t="shared" si="24"/>
        <v>0.3</v>
      </c>
      <c r="N222" s="129">
        <f t="shared" si="24"/>
        <v>0.3</v>
      </c>
      <c r="O222" s="129">
        <f t="shared" si="24"/>
        <v>0.3</v>
      </c>
      <c r="P222" s="129">
        <f t="shared" si="24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3"/>
        <v>0</v>
      </c>
      <c r="C223" s="117">
        <v>0.4</v>
      </c>
      <c r="D223" s="117">
        <f t="shared" si="24"/>
        <v>0.4</v>
      </c>
      <c r="E223" s="117">
        <f t="shared" si="24"/>
        <v>0.4</v>
      </c>
      <c r="F223" s="117">
        <f t="shared" si="24"/>
        <v>0.4</v>
      </c>
      <c r="G223" s="117">
        <f t="shared" si="24"/>
        <v>0.4</v>
      </c>
      <c r="H223" s="117">
        <f t="shared" si="24"/>
        <v>0.4</v>
      </c>
      <c r="I223" s="117">
        <f t="shared" si="24"/>
        <v>0.4</v>
      </c>
      <c r="J223" s="117">
        <f t="shared" si="24"/>
        <v>0.4</v>
      </c>
      <c r="K223" s="117">
        <f t="shared" si="24"/>
        <v>0.4</v>
      </c>
      <c r="L223" s="117">
        <f t="shared" si="24"/>
        <v>0.4</v>
      </c>
      <c r="M223" s="117">
        <f t="shared" si="24"/>
        <v>0.4</v>
      </c>
      <c r="N223" s="117">
        <f t="shared" si="24"/>
        <v>0.4</v>
      </c>
      <c r="O223" s="117">
        <f t="shared" si="24"/>
        <v>0.4</v>
      </c>
      <c r="P223" s="117">
        <f t="shared" si="24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3"/>
        <v>0</v>
      </c>
      <c r="C224" s="117">
        <v>1.5</v>
      </c>
      <c r="D224" s="117">
        <f t="shared" si="24"/>
        <v>1.5</v>
      </c>
      <c r="E224" s="117">
        <f t="shared" si="24"/>
        <v>1.5</v>
      </c>
      <c r="F224" s="117">
        <f t="shared" si="24"/>
        <v>1.5</v>
      </c>
      <c r="G224" s="117">
        <f t="shared" si="24"/>
        <v>1.5</v>
      </c>
      <c r="H224" s="117">
        <f t="shared" si="24"/>
        <v>1.5</v>
      </c>
      <c r="I224" s="117">
        <f t="shared" si="24"/>
        <v>1.5</v>
      </c>
      <c r="J224" s="117">
        <f t="shared" si="24"/>
        <v>1.5</v>
      </c>
      <c r="K224" s="117">
        <f t="shared" si="24"/>
        <v>1.5</v>
      </c>
      <c r="L224" s="117">
        <f t="shared" si="24"/>
        <v>1.5</v>
      </c>
      <c r="M224" s="117">
        <f t="shared" si="24"/>
        <v>1.5</v>
      </c>
      <c r="N224" s="117">
        <f t="shared" si="24"/>
        <v>1.5</v>
      </c>
      <c r="O224" s="117">
        <f t="shared" si="24"/>
        <v>1.5</v>
      </c>
      <c r="P224" s="117">
        <f t="shared" si="24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3"/>
        <v>0</v>
      </c>
      <c r="C225" s="117">
        <v>0.3</v>
      </c>
      <c r="D225" s="117">
        <f t="shared" si="24"/>
        <v>0.3</v>
      </c>
      <c r="E225" s="117">
        <f t="shared" si="24"/>
        <v>0.3</v>
      </c>
      <c r="F225" s="117">
        <f t="shared" si="24"/>
        <v>0.3</v>
      </c>
      <c r="G225" s="117">
        <f t="shared" si="24"/>
        <v>0.3</v>
      </c>
      <c r="H225" s="117">
        <f t="shared" si="24"/>
        <v>0.3</v>
      </c>
      <c r="I225" s="117">
        <f t="shared" si="24"/>
        <v>0.3</v>
      </c>
      <c r="J225" s="117">
        <f t="shared" si="24"/>
        <v>0.3</v>
      </c>
      <c r="K225" s="117">
        <f t="shared" si="24"/>
        <v>0.3</v>
      </c>
      <c r="L225" s="117">
        <f t="shared" si="24"/>
        <v>0.3</v>
      </c>
      <c r="M225" s="117">
        <f t="shared" si="24"/>
        <v>0.3</v>
      </c>
      <c r="N225" s="117">
        <f t="shared" si="24"/>
        <v>0.3</v>
      </c>
      <c r="O225" s="117">
        <f t="shared" si="24"/>
        <v>0.3</v>
      </c>
      <c r="P225" s="117">
        <f t="shared" si="24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3"/>
        <v>0</v>
      </c>
      <c r="C226" s="117">
        <v>0.4</v>
      </c>
      <c r="D226" s="117">
        <f t="shared" si="24"/>
        <v>0.4</v>
      </c>
      <c r="E226" s="117">
        <f t="shared" si="24"/>
        <v>0.4</v>
      </c>
      <c r="F226" s="117">
        <f t="shared" si="24"/>
        <v>0.4</v>
      </c>
      <c r="G226" s="117">
        <f t="shared" si="24"/>
        <v>0.4</v>
      </c>
      <c r="H226" s="117">
        <f t="shared" si="24"/>
        <v>0.4</v>
      </c>
      <c r="I226" s="117">
        <f t="shared" si="24"/>
        <v>0.4</v>
      </c>
      <c r="J226" s="117">
        <f t="shared" si="24"/>
        <v>0.4</v>
      </c>
      <c r="K226" s="117">
        <f t="shared" si="24"/>
        <v>0.4</v>
      </c>
      <c r="L226" s="117">
        <f t="shared" si="24"/>
        <v>0.4</v>
      </c>
      <c r="M226" s="117">
        <f t="shared" si="24"/>
        <v>0.4</v>
      </c>
      <c r="N226" s="117">
        <f t="shared" si="24"/>
        <v>0.4</v>
      </c>
      <c r="O226" s="117">
        <f t="shared" si="24"/>
        <v>0.4</v>
      </c>
      <c r="P226" s="117">
        <f t="shared" si="24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3"/>
        <v>0</v>
      </c>
      <c r="C227" s="121">
        <v>0.64</v>
      </c>
      <c r="D227" s="121">
        <f t="shared" si="24"/>
        <v>0.64</v>
      </c>
      <c r="E227" s="121">
        <f t="shared" si="24"/>
        <v>0.64</v>
      </c>
      <c r="F227" s="121">
        <f t="shared" si="24"/>
        <v>0.64</v>
      </c>
      <c r="G227" s="121">
        <f t="shared" si="24"/>
        <v>0.64</v>
      </c>
      <c r="H227" s="121">
        <f t="shared" si="24"/>
        <v>0.64</v>
      </c>
      <c r="I227" s="121">
        <f t="shared" si="24"/>
        <v>0.64</v>
      </c>
      <c r="J227" s="121">
        <f t="shared" si="24"/>
        <v>0.64</v>
      </c>
      <c r="K227" s="121">
        <f t="shared" si="24"/>
        <v>0.64</v>
      </c>
      <c r="L227" s="121">
        <f t="shared" si="24"/>
        <v>0.64</v>
      </c>
      <c r="M227" s="121">
        <f t="shared" si="24"/>
        <v>0.64</v>
      </c>
      <c r="N227" s="121">
        <f t="shared" si="24"/>
        <v>0.64</v>
      </c>
      <c r="O227" s="121">
        <f t="shared" si="24"/>
        <v>0.64</v>
      </c>
      <c r="P227" s="121">
        <f t="shared" si="24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5">SUM(B222:B227)</f>
        <v>0</v>
      </c>
      <c r="C228" s="125">
        <f t="shared" si="25"/>
        <v>3.54</v>
      </c>
      <c r="D228" s="125">
        <f t="shared" si="25"/>
        <v>3.54</v>
      </c>
      <c r="E228" s="125">
        <f t="shared" si="25"/>
        <v>3.54</v>
      </c>
      <c r="F228" s="125">
        <f t="shared" si="25"/>
        <v>3.54</v>
      </c>
      <c r="G228" s="125">
        <f t="shared" si="25"/>
        <v>3.54</v>
      </c>
      <c r="H228" s="125">
        <f t="shared" si="25"/>
        <v>3.54</v>
      </c>
      <c r="I228" s="125">
        <f t="shared" si="25"/>
        <v>3.54</v>
      </c>
      <c r="J228" s="125">
        <f t="shared" si="25"/>
        <v>3.54</v>
      </c>
      <c r="K228" s="125">
        <f t="shared" si="25"/>
        <v>3.54</v>
      </c>
      <c r="L228" s="125">
        <f t="shared" si="25"/>
        <v>3.54</v>
      </c>
      <c r="M228" s="125">
        <f t="shared" si="25"/>
        <v>3.54</v>
      </c>
      <c r="N228" s="125">
        <f t="shared" si="25"/>
        <v>3.54</v>
      </c>
      <c r="O228" s="125">
        <f t="shared" si="25"/>
        <v>3.54</v>
      </c>
      <c r="P228" s="125">
        <f t="shared" si="25"/>
        <v>3.54</v>
      </c>
      <c r="Q228" s="125">
        <f t="shared" si="25"/>
        <v>0</v>
      </c>
      <c r="R228" s="125">
        <f t="shared" si="25"/>
        <v>0</v>
      </c>
      <c r="S228" s="125">
        <f t="shared" si="25"/>
        <v>0</v>
      </c>
      <c r="T228" s="125">
        <f t="shared" si="25"/>
        <v>0</v>
      </c>
      <c r="U228" s="125">
        <f t="shared" si="25"/>
        <v>0</v>
      </c>
      <c r="V228" s="125">
        <f t="shared" si="25"/>
        <v>0</v>
      </c>
      <c r="W228" s="125">
        <f t="shared" si="25"/>
        <v>0</v>
      </c>
      <c r="X228" s="125">
        <f t="shared" si="25"/>
        <v>0</v>
      </c>
      <c r="Y228" s="125">
        <f t="shared" si="25"/>
        <v>0</v>
      </c>
      <c r="Z228" s="125">
        <f t="shared" si="25"/>
        <v>0</v>
      </c>
      <c r="AA228" s="125">
        <f t="shared" si="25"/>
        <v>0</v>
      </c>
      <c r="AB228" s="125">
        <f t="shared" si="25"/>
        <v>0</v>
      </c>
      <c r="AC228" s="125">
        <f t="shared" si="25"/>
        <v>0</v>
      </c>
      <c r="AD228" s="125">
        <f t="shared" si="25"/>
        <v>0</v>
      </c>
      <c r="AE228" s="125">
        <f t="shared" si="25"/>
        <v>0</v>
      </c>
      <c r="AF228" s="125">
        <f t="shared" si="25"/>
        <v>0</v>
      </c>
      <c r="AG228" s="134">
        <f t="shared" si="25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1631.3400000000004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2079/08/23)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26">B85</f>
        <v>940.44</v>
      </c>
      <c r="U242" s="159">
        <f t="shared" si="26"/>
        <v>939.13</v>
      </c>
      <c r="V242" s="159">
        <f t="shared" si="26"/>
        <v>889.54000000000008</v>
      </c>
      <c r="W242" s="159">
        <f t="shared" si="26"/>
        <v>922.34000000000015</v>
      </c>
      <c r="X242" s="159">
        <f t="shared" si="26"/>
        <v>938.6400000000001</v>
      </c>
      <c r="Y242" s="159">
        <f t="shared" si="26"/>
        <v>989.6400000000001</v>
      </c>
      <c r="Z242" s="159">
        <f t="shared" si="26"/>
        <v>1054.3400000000001</v>
      </c>
      <c r="AA242" s="159">
        <f t="shared" si="26"/>
        <v>1124.7400000000002</v>
      </c>
      <c r="AB242" s="159">
        <f t="shared" si="26"/>
        <v>1266.94</v>
      </c>
      <c r="AC242" s="159">
        <f t="shared" si="26"/>
        <v>1396.0400000000002</v>
      </c>
      <c r="AD242" s="159">
        <f t="shared" si="26"/>
        <v>1510.94</v>
      </c>
      <c r="AE242" s="159">
        <f t="shared" si="26"/>
        <v>1631.3400000000004</v>
      </c>
      <c r="AF242" s="159">
        <f t="shared" si="26"/>
        <v>1543.5400000000002</v>
      </c>
      <c r="AG242" s="159">
        <f t="shared" si="26"/>
        <v>1342.74</v>
      </c>
      <c r="AH242" s="159">
        <f t="shared" si="26"/>
        <v>1268.9400000000003</v>
      </c>
      <c r="AI242" s="159">
        <f t="shared" si="26"/>
        <v>1203.54</v>
      </c>
      <c r="AJ242" s="159">
        <f t="shared" si="26"/>
        <v>1161.04</v>
      </c>
      <c r="AK242" s="159">
        <f t="shared" si="26"/>
        <v>1168.3400000000001</v>
      </c>
      <c r="AL242" s="159">
        <f t="shared" si="26"/>
        <v>1178.04</v>
      </c>
      <c r="AM242" s="159">
        <f t="shared" si="26"/>
        <v>1201.74</v>
      </c>
      <c r="AN242" s="159">
        <f t="shared" si="26"/>
        <v>1114.24</v>
      </c>
      <c r="AO242" s="159">
        <f t="shared" si="26"/>
        <v>1500.14</v>
      </c>
      <c r="AP242" s="159">
        <f t="shared" si="26"/>
        <v>1623.5400000000002</v>
      </c>
      <c r="AQ242" s="159">
        <f t="shared" si="26"/>
        <v>1577.74</v>
      </c>
      <c r="AR242" s="159">
        <f t="shared" si="26"/>
        <v>1504.5400000000002</v>
      </c>
      <c r="AS242" s="159">
        <f t="shared" si="26"/>
        <v>1453.24</v>
      </c>
      <c r="AT242" s="159">
        <f t="shared" si="26"/>
        <v>1387.0400000000002</v>
      </c>
      <c r="AU242" s="159">
        <f t="shared" si="26"/>
        <v>1312.64</v>
      </c>
      <c r="AV242" s="159">
        <f t="shared" si="26"/>
        <v>1260.24</v>
      </c>
      <c r="AW242" s="159">
        <f t="shared" si="26"/>
        <v>1038.04</v>
      </c>
      <c r="AX242" s="159">
        <f t="shared" si="26"/>
        <v>963.44000000000017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27">C227</f>
        <v>0.64</v>
      </c>
      <c r="C263" s="162">
        <f t="shared" si="27"/>
        <v>0.64</v>
      </c>
      <c r="D263" s="162">
        <f t="shared" si="27"/>
        <v>0.64</v>
      </c>
      <c r="E263" s="162">
        <f t="shared" si="27"/>
        <v>0.64</v>
      </c>
      <c r="F263" s="162">
        <f t="shared" si="27"/>
        <v>0.64</v>
      </c>
      <c r="G263" s="162">
        <f t="shared" si="27"/>
        <v>0.64</v>
      </c>
      <c r="H263" s="162">
        <f t="shared" si="27"/>
        <v>0.64</v>
      </c>
      <c r="I263" s="162">
        <f t="shared" si="27"/>
        <v>0.64</v>
      </c>
      <c r="J263" s="162">
        <f t="shared" si="27"/>
        <v>0.64</v>
      </c>
      <c r="K263" s="162">
        <f t="shared" si="27"/>
        <v>0.64</v>
      </c>
      <c r="L263" s="162">
        <f t="shared" si="27"/>
        <v>0.64</v>
      </c>
      <c r="M263" s="162">
        <f t="shared" si="27"/>
        <v>0.64</v>
      </c>
      <c r="N263" s="162">
        <f t="shared" si="27"/>
        <v>0.64</v>
      </c>
      <c r="O263" s="162">
        <f t="shared" si="27"/>
        <v>0.64</v>
      </c>
      <c r="P263" s="162">
        <f t="shared" si="27"/>
        <v>0</v>
      </c>
      <c r="Q263" s="162">
        <f t="shared" si="27"/>
        <v>0</v>
      </c>
      <c r="R263" s="162">
        <f t="shared" si="27"/>
        <v>0</v>
      </c>
      <c r="S263" s="162">
        <f t="shared" si="27"/>
        <v>0</v>
      </c>
      <c r="T263" s="162">
        <f t="shared" si="27"/>
        <v>0</v>
      </c>
      <c r="U263" s="162">
        <f t="shared" si="27"/>
        <v>0</v>
      </c>
      <c r="V263" s="162">
        <f t="shared" si="27"/>
        <v>0</v>
      </c>
      <c r="W263" s="162">
        <f t="shared" si="27"/>
        <v>0</v>
      </c>
      <c r="X263" s="162">
        <f t="shared" si="27"/>
        <v>0</v>
      </c>
      <c r="Y263" s="162">
        <f t="shared" si="27"/>
        <v>0</v>
      </c>
      <c r="Z263" s="162">
        <f t="shared" si="27"/>
        <v>0</v>
      </c>
      <c r="AA263" s="162">
        <f t="shared" si="27"/>
        <v>0</v>
      </c>
      <c r="AB263" s="162">
        <f t="shared" si="27"/>
        <v>0</v>
      </c>
      <c r="AC263" s="162">
        <f t="shared" si="27"/>
        <v>0</v>
      </c>
      <c r="AD263" s="162">
        <f t="shared" si="27"/>
        <v>0</v>
      </c>
      <c r="AE263" s="162">
        <f t="shared" si="27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8">IF(B231&lt;100,"",B231-520)</f>
        <v/>
      </c>
      <c r="C264" s="163" t="str">
        <f t="shared" si="28"/>
        <v/>
      </c>
      <c r="D264" s="163" t="str">
        <f t="shared" si="28"/>
        <v/>
      </c>
      <c r="E264" s="163" t="str">
        <f t="shared" si="28"/>
        <v/>
      </c>
      <c r="F264" s="163" t="str">
        <f t="shared" si="28"/>
        <v/>
      </c>
      <c r="G264" s="163" t="str">
        <f t="shared" si="28"/>
        <v/>
      </c>
      <c r="H264" s="163" t="str">
        <f t="shared" si="28"/>
        <v/>
      </c>
      <c r="I264" s="163" t="str">
        <f t="shared" si="28"/>
        <v/>
      </c>
      <c r="J264" s="163" t="str">
        <f t="shared" si="28"/>
        <v/>
      </c>
      <c r="K264" s="163" t="str">
        <f t="shared" si="28"/>
        <v/>
      </c>
      <c r="L264" s="163" t="str">
        <f t="shared" si="28"/>
        <v/>
      </c>
      <c r="M264" s="163" t="str">
        <f t="shared" si="28"/>
        <v/>
      </c>
      <c r="N264" s="163" t="str">
        <f t="shared" si="28"/>
        <v/>
      </c>
      <c r="O264" s="163" t="str">
        <f t="shared" si="28"/>
        <v/>
      </c>
      <c r="P264" s="163" t="str">
        <f t="shared" si="28"/>
        <v/>
      </c>
      <c r="Q264" s="163" t="str">
        <f t="shared" si="28"/>
        <v/>
      </c>
      <c r="R264" s="163" t="str">
        <f t="shared" si="28"/>
        <v/>
      </c>
      <c r="S264" s="163" t="str">
        <f t="shared" si="28"/>
        <v/>
      </c>
      <c r="T264" s="163" t="str">
        <f t="shared" si="28"/>
        <v/>
      </c>
      <c r="U264" s="163" t="str">
        <f t="shared" si="28"/>
        <v/>
      </c>
      <c r="V264" s="163" t="str">
        <f t="shared" si="28"/>
        <v/>
      </c>
      <c r="W264" s="163" t="str">
        <f t="shared" si="28"/>
        <v/>
      </c>
      <c r="X264" s="163" t="str">
        <f t="shared" si="28"/>
        <v/>
      </c>
      <c r="Y264" s="163" t="str">
        <f t="shared" si="28"/>
        <v/>
      </c>
      <c r="Z264" s="163" t="str">
        <f t="shared" si="28"/>
        <v/>
      </c>
      <c r="AA264" s="163" t="str">
        <f t="shared" si="28"/>
        <v/>
      </c>
      <c r="AB264" s="163" t="str">
        <f t="shared" si="28"/>
        <v/>
      </c>
      <c r="AC264" s="163" t="str">
        <f t="shared" si="28"/>
        <v/>
      </c>
      <c r="AD264" s="163" t="str">
        <f t="shared" si="28"/>
        <v/>
      </c>
      <c r="AE264" s="163" t="str">
        <f t="shared" si="28"/>
        <v/>
      </c>
      <c r="AF264" s="163" t="str">
        <f t="shared" si="28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9">IF(B232&lt;100,"",B232-620)</f>
        <v/>
      </c>
      <c r="C265" s="163" t="str">
        <f t="shared" si="29"/>
        <v/>
      </c>
      <c r="D265" s="163" t="str">
        <f t="shared" si="29"/>
        <v/>
      </c>
      <c r="E265" s="163" t="str">
        <f t="shared" si="29"/>
        <v/>
      </c>
      <c r="F265" s="163" t="str">
        <f t="shared" si="29"/>
        <v/>
      </c>
      <c r="G265" s="163" t="str">
        <f t="shared" si="29"/>
        <v/>
      </c>
      <c r="H265" s="163" t="str">
        <f t="shared" si="29"/>
        <v/>
      </c>
      <c r="I265" s="163" t="str">
        <f t="shared" si="29"/>
        <v/>
      </c>
      <c r="J265" s="163" t="str">
        <f t="shared" si="29"/>
        <v/>
      </c>
      <c r="K265" s="163" t="str">
        <f t="shared" si="29"/>
        <v/>
      </c>
      <c r="L265" s="163" t="str">
        <f t="shared" si="29"/>
        <v/>
      </c>
      <c r="M265" s="163" t="str">
        <f t="shared" si="29"/>
        <v/>
      </c>
      <c r="N265" s="163" t="str">
        <f t="shared" si="29"/>
        <v/>
      </c>
      <c r="O265" s="163" t="str">
        <f t="shared" si="29"/>
        <v/>
      </c>
      <c r="P265" s="163" t="str">
        <f t="shared" si="29"/>
        <v/>
      </c>
      <c r="Q265" s="163" t="str">
        <f t="shared" si="29"/>
        <v/>
      </c>
      <c r="R265" s="163" t="str">
        <f t="shared" si="29"/>
        <v/>
      </c>
      <c r="S265" s="163" t="str">
        <f t="shared" si="29"/>
        <v/>
      </c>
      <c r="T265" s="163" t="str">
        <f t="shared" si="29"/>
        <v/>
      </c>
      <c r="U265" s="163" t="str">
        <f t="shared" si="29"/>
        <v/>
      </c>
      <c r="V265" s="163" t="str">
        <f t="shared" si="29"/>
        <v/>
      </c>
      <c r="W265" s="163" t="str">
        <f t="shared" si="29"/>
        <v/>
      </c>
      <c r="X265" s="163" t="str">
        <f t="shared" si="29"/>
        <v/>
      </c>
      <c r="Y265" s="163" t="str">
        <f t="shared" si="29"/>
        <v/>
      </c>
      <c r="Z265" s="163" t="str">
        <f t="shared" si="29"/>
        <v/>
      </c>
      <c r="AA265" s="163" t="str">
        <f t="shared" si="29"/>
        <v/>
      </c>
      <c r="AB265" s="163" t="str">
        <f t="shared" si="29"/>
        <v/>
      </c>
      <c r="AC265" s="163" t="str">
        <f t="shared" si="29"/>
        <v/>
      </c>
      <c r="AD265" s="163" t="str">
        <f t="shared" si="29"/>
        <v/>
      </c>
      <c r="AE265" s="163" t="str">
        <f t="shared" si="29"/>
        <v/>
      </c>
      <c r="AF265" s="163" t="str">
        <f t="shared" si="29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0">IF(B233&lt;100,"",B233-330)</f>
        <v/>
      </c>
      <c r="C266" s="163" t="str">
        <f t="shared" si="30"/>
        <v/>
      </c>
      <c r="D266" s="163" t="str">
        <f t="shared" si="30"/>
        <v/>
      </c>
      <c r="E266" s="163" t="str">
        <f t="shared" si="30"/>
        <v/>
      </c>
      <c r="F266" s="163" t="str">
        <f t="shared" si="30"/>
        <v/>
      </c>
      <c r="G266" s="163" t="str">
        <f t="shared" si="30"/>
        <v/>
      </c>
      <c r="H266" s="163" t="str">
        <f t="shared" si="30"/>
        <v/>
      </c>
      <c r="I266" s="163" t="str">
        <f t="shared" si="30"/>
        <v/>
      </c>
      <c r="J266" s="163" t="str">
        <f t="shared" si="30"/>
        <v/>
      </c>
      <c r="K266" s="163" t="str">
        <f t="shared" si="30"/>
        <v/>
      </c>
      <c r="L266" s="163" t="str">
        <f t="shared" si="30"/>
        <v/>
      </c>
      <c r="M266" s="163" t="str">
        <f t="shared" si="30"/>
        <v/>
      </c>
      <c r="N266" s="163" t="str">
        <f t="shared" si="30"/>
        <v/>
      </c>
      <c r="O266" s="163" t="str">
        <f t="shared" si="30"/>
        <v/>
      </c>
      <c r="P266" s="163" t="str">
        <f t="shared" si="30"/>
        <v/>
      </c>
      <c r="Q266" s="163" t="str">
        <f t="shared" si="30"/>
        <v/>
      </c>
      <c r="R266" s="163" t="str">
        <f t="shared" si="30"/>
        <v/>
      </c>
      <c r="S266" s="163" t="str">
        <f t="shared" si="30"/>
        <v/>
      </c>
      <c r="T266" s="163" t="str">
        <f t="shared" si="30"/>
        <v/>
      </c>
      <c r="U266" s="163" t="str">
        <f t="shared" si="30"/>
        <v/>
      </c>
      <c r="V266" s="163" t="str">
        <f t="shared" si="30"/>
        <v/>
      </c>
      <c r="W266" s="163" t="str">
        <f t="shared" si="30"/>
        <v/>
      </c>
      <c r="X266" s="163" t="str">
        <f t="shared" si="30"/>
        <v/>
      </c>
      <c r="Y266" s="163" t="str">
        <f t="shared" si="30"/>
        <v/>
      </c>
      <c r="Z266" s="163" t="str">
        <f t="shared" si="30"/>
        <v/>
      </c>
      <c r="AA266" s="163" t="str">
        <f t="shared" si="30"/>
        <v/>
      </c>
      <c r="AB266" s="163" t="str">
        <f t="shared" si="30"/>
        <v/>
      </c>
      <c r="AC266" s="163" t="str">
        <f t="shared" si="30"/>
        <v/>
      </c>
      <c r="AD266" s="163" t="str">
        <f t="shared" si="30"/>
        <v/>
      </c>
      <c r="AE266" s="163" t="str">
        <f t="shared" si="30"/>
        <v/>
      </c>
      <c r="AF266" s="163" t="str">
        <f t="shared" si="30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1">IF(B234&lt;100,"",B234-1500)</f>
        <v/>
      </c>
      <c r="C267" s="163" t="str">
        <f t="shared" si="31"/>
        <v/>
      </c>
      <c r="D267" s="163" t="str">
        <f t="shared" si="31"/>
        <v/>
      </c>
      <c r="E267" s="163" t="str">
        <f t="shared" si="31"/>
        <v/>
      </c>
      <c r="F267" s="163" t="str">
        <f t="shared" si="31"/>
        <v/>
      </c>
      <c r="G267" s="163" t="str">
        <f t="shared" si="31"/>
        <v/>
      </c>
      <c r="H267" s="163" t="str">
        <f t="shared" si="31"/>
        <v/>
      </c>
      <c r="I267" s="163" t="str">
        <f t="shared" si="31"/>
        <v/>
      </c>
      <c r="J267" s="163" t="str">
        <f t="shared" si="31"/>
        <v/>
      </c>
      <c r="K267" s="163" t="str">
        <f t="shared" si="31"/>
        <v/>
      </c>
      <c r="L267" s="163" t="str">
        <f t="shared" si="31"/>
        <v/>
      </c>
      <c r="M267" s="163" t="str">
        <f t="shared" si="31"/>
        <v/>
      </c>
      <c r="N267" s="163" t="str">
        <f t="shared" si="31"/>
        <v/>
      </c>
      <c r="O267" s="163" t="str">
        <f t="shared" si="31"/>
        <v/>
      </c>
      <c r="P267" s="163" t="str">
        <f t="shared" si="31"/>
        <v/>
      </c>
      <c r="Q267" s="163" t="str">
        <f t="shared" si="31"/>
        <v/>
      </c>
      <c r="R267" s="163" t="str">
        <f t="shared" si="31"/>
        <v/>
      </c>
      <c r="S267" s="163" t="str">
        <f t="shared" si="31"/>
        <v/>
      </c>
      <c r="T267" s="163" t="str">
        <f t="shared" si="31"/>
        <v/>
      </c>
      <c r="U267" s="163" t="str">
        <f t="shared" si="31"/>
        <v/>
      </c>
      <c r="V267" s="163" t="str">
        <f t="shared" si="31"/>
        <v/>
      </c>
      <c r="W267" s="163" t="str">
        <f t="shared" si="31"/>
        <v/>
      </c>
      <c r="X267" s="163" t="str">
        <f t="shared" si="31"/>
        <v/>
      </c>
      <c r="Y267" s="163" t="str">
        <f t="shared" si="31"/>
        <v/>
      </c>
      <c r="Z267" s="163" t="str">
        <f t="shared" si="31"/>
        <v/>
      </c>
      <c r="AA267" s="163" t="str">
        <f t="shared" si="31"/>
        <v/>
      </c>
      <c r="AB267" s="163" t="str">
        <f t="shared" si="31"/>
        <v/>
      </c>
      <c r="AC267" s="163" t="str">
        <f t="shared" si="31"/>
        <v/>
      </c>
      <c r="AD267" s="163" t="str">
        <f t="shared" si="31"/>
        <v/>
      </c>
      <c r="AE267" s="163" t="str">
        <f t="shared" si="31"/>
        <v/>
      </c>
      <c r="AF267" s="163" t="str">
        <f t="shared" si="31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105:AF105 C107:AF112 X11:AF11 B17:AF18 B15:AF15 B22:AF26">
    <cfRule type="expression" dxfId="3408" priority="239">
      <formula>B$9&gt;=20/24</formula>
    </cfRule>
    <cfRule type="expression" dxfId="3407" priority="240">
      <formula>AND(B$9&gt;=14/24,B$9&lt;20/24)</formula>
    </cfRule>
    <cfRule type="expression" dxfId="3406" priority="241">
      <formula>AND(B$9&gt;=8/24,B$9&lt;14/24)</formula>
    </cfRule>
    <cfRule type="expression" dxfId="3405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U43:AF43">
    <cfRule type="expression" dxfId="3404" priority="234">
      <formula>U$9&gt;=20/24</formula>
    </cfRule>
    <cfRule type="expression" dxfId="3403" priority="235">
      <formula>AND(U$9&gt;=14/24,U$9&lt;20/24)</formula>
    </cfRule>
    <cfRule type="expression" dxfId="3402" priority="236">
      <formula>AND(U$9&gt;=8/24,U$9&lt;14/24)</formula>
    </cfRule>
    <cfRule type="expression" dxfId="3401" priority="237">
      <formula>U$9&lt;8/24</formula>
    </cfRule>
  </conditionalFormatting>
  <conditionalFormatting sqref="AG61 B12:W18 U43:AF43 X11:AF18 B20:AF20 B22:AF26 B41:AF41">
    <cfRule type="expression" dxfId="3400" priority="233">
      <formula>B11&gt;$AG11</formula>
    </cfRule>
  </conditionalFormatting>
  <conditionalFormatting sqref="A95:A105 A55:A82 A91:A93 A198:A228 A42:A53 A114:A185 A38:A39 A87:A89 A84:A85 A107:A109 A35:A36 A17:A18 A11:A15 A20:A33">
    <cfRule type="expression" dxfId="3399" priority="232">
      <formula>$AH11=0</formula>
    </cfRule>
  </conditionalFormatting>
  <conditionalFormatting sqref="A110">
    <cfRule type="expression" dxfId="3398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397" priority="229">
      <formula>$AH41=0</formula>
    </cfRule>
  </conditionalFormatting>
  <conditionalFormatting sqref="A94">
    <cfRule type="expression" dxfId="3396" priority="228">
      <formula>$AH94=0</formula>
    </cfRule>
  </conditionalFormatting>
  <conditionalFormatting sqref="A16">
    <cfRule type="expression" dxfId="3395" priority="227">
      <formula>$AH16=0</formula>
    </cfRule>
  </conditionalFormatting>
  <conditionalFormatting sqref="A192:A197">
    <cfRule type="expression" dxfId="3394" priority="226">
      <formula>$AH192=0</formula>
    </cfRule>
  </conditionalFormatting>
  <conditionalFormatting sqref="A186:A191">
    <cfRule type="expression" dxfId="3393" priority="225">
      <formula>$AH186=0</formula>
    </cfRule>
  </conditionalFormatting>
  <conditionalFormatting sqref="A54">
    <cfRule type="expression" dxfId="3392" priority="224">
      <formula>$AH54=0</formula>
    </cfRule>
  </conditionalFormatting>
  <conditionalFormatting sqref="A90">
    <cfRule type="expression" dxfId="3391" priority="223">
      <formula>$AH90=0</formula>
    </cfRule>
  </conditionalFormatting>
  <conditionalFormatting sqref="C95:AF95">
    <cfRule type="expression" dxfId="3390" priority="219">
      <formula>C$9&gt;=20/24</formula>
    </cfRule>
    <cfRule type="expression" dxfId="3389" priority="220">
      <formula>AND(C$9&gt;=14/24,C$9&lt;20/24)</formula>
    </cfRule>
    <cfRule type="expression" dxfId="3388" priority="221">
      <formula>AND(C$9&gt;=8/24,C$9&lt;14/24)</formula>
    </cfRule>
    <cfRule type="expression" dxfId="3387" priority="222">
      <formula>C$9&lt;8/24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86" priority="245">
      <formula>C$9&gt;=20/24</formula>
    </cfRule>
    <cfRule type="expression" dxfId="3385" priority="246">
      <formula>AND(C$9&gt;=14/24,C$9&lt;20/24)</formula>
    </cfRule>
    <cfRule type="expression" dxfId="3384" priority="247">
      <formula>AND(C$9&gt;=8/24,C$9&lt;14/24)</formula>
    </cfRule>
    <cfRule type="expression" dxfId="3383" priority="248">
      <formula>C$9&lt;8/24</formula>
    </cfRule>
  </conditionalFormatting>
  <conditionalFormatting sqref="A229">
    <cfRule type="expression" dxfId="3382" priority="249">
      <formula>$AH229=0</formula>
    </cfRule>
  </conditionalFormatting>
  <conditionalFormatting sqref="AG241">
    <cfRule type="expression" dxfId="3381" priority="250">
      <formula>B$9&gt;=20/24</formula>
    </cfRule>
    <cfRule type="expression" dxfId="3380" priority="251">
      <formula>AND(B$9&gt;=14/24,B$9&lt;20/24)</formula>
    </cfRule>
    <cfRule type="expression" dxfId="3379" priority="252">
      <formula>AND(B$9&gt;=8/24,B$9&lt;14/24)</formula>
    </cfRule>
    <cfRule type="expression" dxfId="3378" priority="253">
      <formula>B$9&lt;8/24</formula>
    </cfRule>
  </conditionalFormatting>
  <conditionalFormatting sqref="S8">
    <cfRule type="expression" dxfId="3377" priority="214">
      <formula>U$9&gt;=20/24</formula>
    </cfRule>
    <cfRule type="expression" dxfId="3376" priority="215">
      <formula>AND(U$9&gt;=14/24,U$9&lt;20/24)</formula>
    </cfRule>
    <cfRule type="expression" dxfId="3375" priority="216">
      <formula>AND(U$9&gt;=8/24,U$9&lt;14/24)</formula>
    </cfRule>
    <cfRule type="expression" dxfId="3374" priority="217">
      <formula>U$9&lt;8/24</formula>
    </cfRule>
  </conditionalFormatting>
  <conditionalFormatting sqref="AB8">
    <cfRule type="expression" dxfId="3373" priority="210">
      <formula>AD$9&gt;=20/24</formula>
    </cfRule>
    <cfRule type="expression" dxfId="3372" priority="211">
      <formula>AND(AD$9&gt;=14/24,AD$9&lt;20/24)</formula>
    </cfRule>
    <cfRule type="expression" dxfId="3371" priority="212">
      <formula>AND(AD$9&gt;=8/24,AD$9&lt;14/24)</formula>
    </cfRule>
    <cfRule type="expression" dxfId="3370" priority="213">
      <formula>AD$9&lt;8/24</formula>
    </cfRule>
  </conditionalFormatting>
  <conditionalFormatting sqref="AH241:AX241">
    <cfRule type="expression" dxfId="3369" priority="254">
      <formula>AG$9&gt;=20/24</formula>
    </cfRule>
    <cfRule type="expression" dxfId="3368" priority="255">
      <formula>AND(AG$9&gt;=14/24,AG$9&lt;20/24)</formula>
    </cfRule>
    <cfRule type="expression" dxfId="3367" priority="256">
      <formula>AND(AG$9&gt;=8/24,AG$9&lt;14/24)</formula>
    </cfRule>
    <cfRule type="expression" dxfId="3366" priority="257">
      <formula>AG$9&lt;8/24</formula>
    </cfRule>
  </conditionalFormatting>
  <conditionalFormatting sqref="T241">
    <cfRule type="expression" dxfId="3365" priority="258">
      <formula>AX$9&gt;=20/24</formula>
    </cfRule>
    <cfRule type="expression" dxfId="3364" priority="259">
      <formula>AND(AX$9&gt;=14/24,AX$9&lt;20/24)</formula>
    </cfRule>
    <cfRule type="expression" dxfId="3363" priority="260">
      <formula>AND(AX$9&gt;=8/24,AX$9&lt;14/24)</formula>
    </cfRule>
    <cfRule type="expression" dxfId="3362" priority="261">
      <formula>AX$9&lt;8/24</formula>
    </cfRule>
  </conditionalFormatting>
  <conditionalFormatting sqref="A111:A112">
    <cfRule type="expression" dxfId="3361" priority="209">
      <formula>$AH111=0</formula>
    </cfRule>
  </conditionalFormatting>
  <conditionalFormatting sqref="E50:O51 V50:W51 E67:AF67 AB50:AF51">
    <cfRule type="expression" dxfId="3360" priority="205">
      <formula>E$9&gt;=20/24</formula>
    </cfRule>
    <cfRule type="expression" dxfId="3359" priority="206">
      <formula>AND(E$9&gt;=14/24,E$9&lt;20/24)</formula>
    </cfRule>
    <cfRule type="expression" dxfId="3358" priority="207">
      <formula>AND(E$9&gt;=8/24,E$9&lt;14/24)</formula>
    </cfRule>
    <cfRule type="expression" dxfId="3357" priority="208">
      <formula>E$9&lt;8/24</formula>
    </cfRule>
  </conditionalFormatting>
  <conditionalFormatting sqref="E49:O49 V49:W49 AB49:AF49">
    <cfRule type="expression" dxfId="3356" priority="201">
      <formula>E$9&gt;=20/24</formula>
    </cfRule>
    <cfRule type="expression" dxfId="3355" priority="202">
      <formula>AND(E$9&gt;=14/24,E$9&lt;20/24)</formula>
    </cfRule>
    <cfRule type="expression" dxfId="3354" priority="203">
      <formula>AND(E$9&gt;=8/24,E$9&lt;14/24)</formula>
    </cfRule>
    <cfRule type="expression" dxfId="3353" priority="204">
      <formula>E$9&lt;8/24</formula>
    </cfRule>
  </conditionalFormatting>
  <conditionalFormatting sqref="E49:O51 V49:W51 AB49:AF51">
    <cfRule type="expression" dxfId="3352" priority="200">
      <formula>E49&gt;$AG49</formula>
    </cfRule>
  </conditionalFormatting>
  <conditionalFormatting sqref="C92:AF92 D96:AF102 L43:T43 E68:U69 V68:AF77 T63:AF65 C79:AF82 X28:AF31 X33:AF33 X12:AF14 X20:AF20 X35:AF38">
    <cfRule type="expression" dxfId="3351" priority="196">
      <formula>C$9&gt;=20/24</formula>
    </cfRule>
    <cfRule type="expression" dxfId="3350" priority="197">
      <formula>AND(C$9&gt;=14/24,C$9&lt;20/24)</formula>
    </cfRule>
    <cfRule type="expression" dxfId="3349" priority="198">
      <formula>AND(C$9&gt;=8/24,C$9&lt;14/24)</formula>
    </cfRule>
    <cfRule type="expression" dxfId="3348" priority="199">
      <formula>C$9&lt;8/24</formula>
    </cfRule>
  </conditionalFormatting>
  <conditionalFormatting sqref="X39:AF39">
    <cfRule type="expression" dxfId="3347" priority="192">
      <formula>X$9&gt;=20/24</formula>
    </cfRule>
    <cfRule type="expression" dxfId="3346" priority="193">
      <formula>AND(X$9&gt;=14/24,X$9&lt;20/24)</formula>
    </cfRule>
    <cfRule type="expression" dxfId="3345" priority="194">
      <formula>AND(X$9&gt;=8/24,X$9&lt;14/24)</formula>
    </cfRule>
    <cfRule type="expression" dxfId="3344" priority="195">
      <formula>X$9&lt;8/24</formula>
    </cfRule>
  </conditionalFormatting>
  <conditionalFormatting sqref="C61:AF61 E52:O52 L43:T43 T63:AF65 AB52:AF53 X28:AF33 X35:AF39">
    <cfRule type="expression" dxfId="3343" priority="191">
      <formula>C28&gt;$AG28</formula>
    </cfRule>
  </conditionalFormatting>
  <conditionalFormatting sqref="X41:AF41">
    <cfRule type="expression" dxfId="3342" priority="187">
      <formula>X$9&gt;=20/24</formula>
    </cfRule>
    <cfRule type="expression" dxfId="3341" priority="188">
      <formula>AND(X$9&gt;=14/24,X$9&lt;20/24)</formula>
    </cfRule>
    <cfRule type="expression" dxfId="3340" priority="189">
      <formula>AND(X$9&gt;=8/24,X$9&lt;14/24)</formula>
    </cfRule>
    <cfRule type="expression" dxfId="3339" priority="190">
      <formula>X$9&lt;8/24</formula>
    </cfRule>
  </conditionalFormatting>
  <conditionalFormatting sqref="X16:AF16">
    <cfRule type="expression" dxfId="3338" priority="183">
      <formula>X$9&gt;=20/24</formula>
    </cfRule>
    <cfRule type="expression" dxfId="3337" priority="184">
      <formula>AND(X$9&gt;=14/24,X$9&lt;20/24)</formula>
    </cfRule>
    <cfRule type="expression" dxfId="3336" priority="185">
      <formula>AND(X$9&gt;=8/24,X$9&lt;14/24)</formula>
    </cfRule>
    <cfRule type="expression" dxfId="3335" priority="186">
      <formula>X$9&lt;8/24</formula>
    </cfRule>
  </conditionalFormatting>
  <conditionalFormatting sqref="X40:AF40">
    <cfRule type="expression" dxfId="3334" priority="179">
      <formula>X$9&gt;=20/24</formula>
    </cfRule>
    <cfRule type="expression" dxfId="3333" priority="180">
      <formula>AND(X$9&gt;=14/24,X$9&lt;20/24)</formula>
    </cfRule>
    <cfRule type="expression" dxfId="3332" priority="181">
      <formula>AND(X$9&gt;=8/24,X$9&lt;14/24)</formula>
    </cfRule>
    <cfRule type="expression" dxfId="3331" priority="182">
      <formula>X$9&lt;8/24</formula>
    </cfRule>
  </conditionalFormatting>
  <conditionalFormatting sqref="X40:AF40">
    <cfRule type="expression" dxfId="3330" priority="178">
      <formula>X40&gt;$AG40</formula>
    </cfRule>
  </conditionalFormatting>
  <conditionalFormatting sqref="V52:AA53 AB54:AF60">
    <cfRule type="expression" dxfId="3329" priority="174">
      <formula>V$9&gt;=20/24</formula>
    </cfRule>
    <cfRule type="expression" dxfId="3328" priority="175">
      <formula>AND(V$9&gt;=14/24,V$9&lt;20/24)</formula>
    </cfRule>
    <cfRule type="expression" dxfId="3327" priority="176">
      <formula>AND(V$9&gt;=8/24,V$9&lt;14/24)</formula>
    </cfRule>
    <cfRule type="expression" dxfId="3326" priority="177">
      <formula>V$9&lt;8/24</formula>
    </cfRule>
  </conditionalFormatting>
  <conditionalFormatting sqref="V52:AA53 AB54:AF60">
    <cfRule type="expression" dxfId="3325" priority="173">
      <formula>V52&gt;$AG52</formula>
    </cfRule>
  </conditionalFormatting>
  <conditionalFormatting sqref="R54:R55 P49:R53 S49:U55 V54:AA55">
    <cfRule type="expression" dxfId="3324" priority="169">
      <formula>P$9&gt;=20/24</formula>
    </cfRule>
    <cfRule type="expression" dxfId="3323" priority="170">
      <formula>AND(P$9&gt;=14/24,P$9&lt;20/24)</formula>
    </cfRule>
    <cfRule type="expression" dxfId="3322" priority="171">
      <formula>AND(P$9&gt;=8/24,P$9&lt;14/24)</formula>
    </cfRule>
    <cfRule type="expression" dxfId="3321" priority="172">
      <formula>P$9&lt;8/24</formula>
    </cfRule>
  </conditionalFormatting>
  <conditionalFormatting sqref="R54:R55 P49:R53 S49:U55 V54:AA55">
    <cfRule type="expression" dxfId="3320" priority="168">
      <formula>P49&gt;$AG49</formula>
    </cfRule>
  </conditionalFormatting>
  <conditionalFormatting sqref="X32:AF32">
    <cfRule type="expression" dxfId="3319" priority="164">
      <formula>X$9&gt;=20/24</formula>
    </cfRule>
    <cfRule type="expression" dxfId="3318" priority="165">
      <formula>AND(X$9&gt;=14/24,X$9&lt;20/24)</formula>
    </cfRule>
    <cfRule type="expression" dxfId="3317" priority="166">
      <formula>AND(X$9&gt;=8/24,X$9&lt;14/24)</formula>
    </cfRule>
    <cfRule type="expression" dxfId="3316" priority="167">
      <formula>X$9&lt;8/24</formula>
    </cfRule>
  </conditionalFormatting>
  <conditionalFormatting sqref="C35:W35 X21:AF21 X27:AF27">
    <cfRule type="expression" dxfId="3315" priority="160">
      <formula>C$9&gt;=20/24</formula>
    </cfRule>
    <cfRule type="expression" dxfId="3314" priority="161">
      <formula>AND(C$9&gt;=14/24,C$9&lt;20/24)</formula>
    </cfRule>
    <cfRule type="expression" dxfId="3313" priority="162">
      <formula>AND(C$9&gt;=8/24,C$9&lt;14/24)</formula>
    </cfRule>
    <cfRule type="expression" dxfId="3312" priority="163">
      <formula>C$9&lt;8/24</formula>
    </cfRule>
  </conditionalFormatting>
  <conditionalFormatting sqref="C35:W35 X21:AF21 X27:AF27">
    <cfRule type="expression" dxfId="3311" priority="159">
      <formula>C21&gt;$AG21</formula>
    </cfRule>
  </conditionalFormatting>
  <conditionalFormatting sqref="D49">
    <cfRule type="expression" dxfId="3310" priority="155">
      <formula>D$9&gt;=20/24</formula>
    </cfRule>
    <cfRule type="expression" dxfId="3309" priority="156">
      <formula>AND(D$9&gt;=14/24,D$9&lt;20/24)</formula>
    </cfRule>
    <cfRule type="expression" dxfId="3308" priority="157">
      <formula>AND(D$9&gt;=8/24,D$9&lt;14/24)</formula>
    </cfRule>
    <cfRule type="expression" dxfId="3307" priority="158">
      <formula>D$9&lt;8/24</formula>
    </cfRule>
  </conditionalFormatting>
  <conditionalFormatting sqref="D49">
    <cfRule type="expression" dxfId="3306" priority="154">
      <formula>D49&gt;$AG49</formula>
    </cfRule>
  </conditionalFormatting>
  <conditionalFormatting sqref="X50:AA51">
    <cfRule type="expression" dxfId="3305" priority="150">
      <formula>X$9&gt;=20/24</formula>
    </cfRule>
    <cfRule type="expression" dxfId="3304" priority="151">
      <formula>AND(X$9&gt;=14/24,X$9&lt;20/24)</formula>
    </cfRule>
    <cfRule type="expression" dxfId="3303" priority="152">
      <formula>AND(X$9&gt;=8/24,X$9&lt;14/24)</formula>
    </cfRule>
    <cfRule type="expression" dxfId="3302" priority="153">
      <formula>X$9&lt;8/24</formula>
    </cfRule>
  </conditionalFormatting>
  <conditionalFormatting sqref="X49:AA49">
    <cfRule type="expression" dxfId="3301" priority="146">
      <formula>X$9&gt;=20/24</formula>
    </cfRule>
    <cfRule type="expression" dxfId="3300" priority="147">
      <formula>AND(X$9&gt;=14/24,X$9&lt;20/24)</formula>
    </cfRule>
    <cfRule type="expression" dxfId="3299" priority="148">
      <formula>AND(X$9&gt;=8/24,X$9&lt;14/24)</formula>
    </cfRule>
    <cfRule type="expression" dxfId="3298" priority="149">
      <formula>X$9&lt;8/24</formula>
    </cfRule>
  </conditionalFormatting>
  <conditionalFormatting sqref="X49:AA51">
    <cfRule type="expression" dxfId="3297" priority="145">
      <formula>X49&gt;$AG49</formula>
    </cfRule>
  </conditionalFormatting>
  <conditionalFormatting sqref="B105 B84:AF84 B93:AF93 B107:B112 B11:W11">
    <cfRule type="expression" dxfId="3296" priority="141">
      <formula>B$9&gt;=20/24</formula>
    </cfRule>
    <cfRule type="expression" dxfId="3295" priority="142">
      <formula>AND(B$9&gt;=14/24,B$9&lt;20/24)</formula>
    </cfRule>
    <cfRule type="expression" dxfId="3294" priority="143">
      <formula>AND(B$9&gt;=8/24,B$9&lt;14/24)</formula>
    </cfRule>
    <cfRule type="expression" dxfId="3293" priority="144">
      <formula>B$9&lt;8/24</formula>
    </cfRule>
  </conditionalFormatting>
  <conditionalFormatting sqref="B43:K43">
    <cfRule type="expression" dxfId="3292" priority="137">
      <formula>B$9&gt;=20/24</formula>
    </cfRule>
    <cfRule type="expression" dxfId="3291" priority="138">
      <formula>AND(B$9&gt;=14/24,B$9&lt;20/24)</formula>
    </cfRule>
    <cfRule type="expression" dxfId="3290" priority="139">
      <formula>AND(B$9&gt;=8/24,B$9&lt;14/24)</formula>
    </cfRule>
    <cfRule type="expression" dxfId="3289" priority="140">
      <formula>B$9&lt;8/24</formula>
    </cfRule>
  </conditionalFormatting>
  <conditionalFormatting sqref="B43:K43 B11:W11">
    <cfRule type="expression" dxfId="3288" priority="136">
      <formula>B11&gt;$AG11</formula>
    </cfRule>
  </conditionalFormatting>
  <conditionalFormatting sqref="B95">
    <cfRule type="expression" dxfId="3287" priority="132">
      <formula>B$9&gt;=20/24</formula>
    </cfRule>
    <cfRule type="expression" dxfId="3286" priority="133">
      <formula>AND(B$9&gt;=14/24,B$9&lt;20/24)</formula>
    </cfRule>
    <cfRule type="expression" dxfId="3285" priority="134">
      <formula>AND(B$9&gt;=8/24,B$9&lt;14/24)</formula>
    </cfRule>
    <cfRule type="expression" dxfId="3284" priority="135">
      <formula>B$9&lt;8/24</formula>
    </cfRule>
  </conditionalFormatting>
  <conditionalFormatting sqref="B50:D51 B67:D67 B42:AF42">
    <cfRule type="expression" dxfId="3283" priority="128">
      <formula>B$9&gt;=20/24</formula>
    </cfRule>
    <cfRule type="expression" dxfId="3282" priority="129">
      <formula>AND(B$9&gt;=14/24,B$9&lt;20/24)</formula>
    </cfRule>
    <cfRule type="expression" dxfId="3281" priority="130">
      <formula>AND(B$9&gt;=8/24,B$9&lt;14/24)</formula>
    </cfRule>
    <cfRule type="expression" dxfId="3280" priority="131">
      <formula>B$9&lt;8/24</formula>
    </cfRule>
  </conditionalFormatting>
  <conditionalFormatting sqref="B49:C49">
    <cfRule type="expression" dxfId="3279" priority="124">
      <formula>B$9&gt;=20/24</formula>
    </cfRule>
    <cfRule type="expression" dxfId="3278" priority="125">
      <formula>AND(B$9&gt;=14/24,B$9&lt;20/24)</formula>
    </cfRule>
    <cfRule type="expression" dxfId="3277" priority="126">
      <formula>AND(B$9&gt;=8/24,B$9&lt;14/24)</formula>
    </cfRule>
    <cfRule type="expression" dxfId="3276" priority="127">
      <formula>B$9&lt;8/24</formula>
    </cfRule>
  </conditionalFormatting>
  <conditionalFormatting sqref="B49:C51 D50:D51 B42:AF42">
    <cfRule type="expression" dxfId="3275" priority="123">
      <formula>B42&gt;$AG42</formula>
    </cfRule>
  </conditionalFormatting>
  <conditionalFormatting sqref="B63:B66 B79:B83 B85:AF85 B92 C83:AG83 B94:AF94 B96:C102 B68:D77 B35:B38 C63:S65 E70:U77 B12:W14 B20:W20 B28:W31 B33:W33 C36:W38 C66:AG66">
    <cfRule type="expression" dxfId="3274" priority="119">
      <formula>B$9&gt;=20/24</formula>
    </cfRule>
    <cfRule type="expression" dxfId="3273" priority="120">
      <formula>AND(B$9&gt;=14/24,B$9&lt;20/24)</formula>
    </cfRule>
    <cfRule type="expression" dxfId="3272" priority="121">
      <formula>AND(B$9&gt;=8/24,B$9&lt;14/24)</formula>
    </cfRule>
    <cfRule type="expression" dxfId="3271" priority="122">
      <formula>B$9&lt;8/24</formula>
    </cfRule>
  </conditionalFormatting>
  <conditionalFormatting sqref="B39:W39">
    <cfRule type="expression" dxfId="3270" priority="115">
      <formula>B$9&gt;=20/24</formula>
    </cfRule>
    <cfRule type="expression" dxfId="3269" priority="116">
      <formula>AND(B$9&gt;=14/24,B$9&lt;20/24)</formula>
    </cfRule>
    <cfRule type="expression" dxfId="3268" priority="117">
      <formula>AND(B$9&gt;=8/24,B$9&lt;14/24)</formula>
    </cfRule>
    <cfRule type="expression" dxfId="3267" priority="118">
      <formula>B$9&lt;8/24</formula>
    </cfRule>
  </conditionalFormatting>
  <conditionalFormatting sqref="B61:B66 C62:AG62 B52:D53 B35:B39 E53:O53 C63:S65 B28:W33 C36:W39 B44:AG44 C66:AG66">
    <cfRule type="expression" dxfId="3266" priority="114">
      <formula>B28&gt;$AG28</formula>
    </cfRule>
  </conditionalFormatting>
  <conditionalFormatting sqref="B41:AF41">
    <cfRule type="expression" dxfId="3265" priority="110">
      <formula>B$9&gt;=20/24</formula>
    </cfRule>
    <cfRule type="expression" dxfId="3264" priority="111">
      <formula>AND(B$9&gt;=14/24,B$9&lt;20/24)</formula>
    </cfRule>
    <cfRule type="expression" dxfId="3263" priority="112">
      <formula>AND(B$9&gt;=8/24,B$9&lt;14/24)</formula>
    </cfRule>
    <cfRule type="expression" dxfId="3262" priority="113">
      <formula>B$9&lt;8/24</formula>
    </cfRule>
  </conditionalFormatting>
  <conditionalFormatting sqref="B16:W16">
    <cfRule type="expression" dxfId="3261" priority="106">
      <formula>B$9&gt;=20/24</formula>
    </cfRule>
    <cfRule type="expression" dxfId="3260" priority="107">
      <formula>AND(B$9&gt;=14/24,B$9&lt;20/24)</formula>
    </cfRule>
    <cfRule type="expression" dxfId="3259" priority="108">
      <formula>AND(B$9&gt;=8/24,B$9&lt;14/24)</formula>
    </cfRule>
    <cfRule type="expression" dxfId="3258" priority="109">
      <formula>B$9&lt;8/24</formula>
    </cfRule>
  </conditionalFormatting>
  <conditionalFormatting sqref="B40:W40">
    <cfRule type="expression" dxfId="3257" priority="102">
      <formula>B$9&gt;=20/24</formula>
    </cfRule>
    <cfRule type="expression" dxfId="3256" priority="103">
      <formula>AND(B$9&gt;=14/24,B$9&lt;20/24)</formula>
    </cfRule>
    <cfRule type="expression" dxfId="3255" priority="104">
      <formula>AND(B$9&gt;=8/24,B$9&lt;14/24)</formula>
    </cfRule>
    <cfRule type="expression" dxfId="3254" priority="105">
      <formula>B$9&lt;8/24</formula>
    </cfRule>
  </conditionalFormatting>
  <conditionalFormatting sqref="B40:W40">
    <cfRule type="expression" dxfId="3253" priority="101">
      <formula>B40&gt;$AG40</formula>
    </cfRule>
  </conditionalFormatting>
  <conditionalFormatting sqref="B54:Q60 R56:U60">
    <cfRule type="expression" dxfId="3252" priority="97">
      <formula>B$9&gt;=20/24</formula>
    </cfRule>
    <cfRule type="expression" dxfId="3251" priority="98">
      <formula>AND(B$9&gt;=14/24,B$9&lt;20/24)</formula>
    </cfRule>
    <cfRule type="expression" dxfId="3250" priority="99">
      <formula>AND(B$9&gt;=8/24,B$9&lt;14/24)</formula>
    </cfRule>
    <cfRule type="expression" dxfId="3249" priority="100">
      <formula>B$9&lt;8/24</formula>
    </cfRule>
  </conditionalFormatting>
  <conditionalFormatting sqref="B54:Q60 R56:U60">
    <cfRule type="expression" dxfId="3248" priority="96">
      <formula>B54&gt;$AG54</formula>
    </cfRule>
  </conditionalFormatting>
  <conditionalFormatting sqref="B32:W32">
    <cfRule type="expression" dxfId="3247" priority="92">
      <formula>B$9&gt;=20/24</formula>
    </cfRule>
    <cfRule type="expression" dxfId="3246" priority="93">
      <formula>AND(B$9&gt;=14/24,B$9&lt;20/24)</formula>
    </cfRule>
    <cfRule type="expression" dxfId="3245" priority="94">
      <formula>AND(B$9&gt;=8/24,B$9&lt;14/24)</formula>
    </cfRule>
    <cfRule type="expression" dxfId="3244" priority="95">
      <formula>B$9&lt;8/24</formula>
    </cfRule>
  </conditionalFormatting>
  <conditionalFormatting sqref="B21:W21 B27:W27">
    <cfRule type="expression" dxfId="3243" priority="88">
      <formula>B$9&gt;=20/24</formula>
    </cfRule>
    <cfRule type="expression" dxfId="3242" priority="89">
      <formula>AND(B$9&gt;=14/24,B$9&lt;20/24)</formula>
    </cfRule>
    <cfRule type="expression" dxfId="3241" priority="90">
      <formula>AND(B$9&gt;=8/24,B$9&lt;14/24)</formula>
    </cfRule>
    <cfRule type="expression" dxfId="3240" priority="91">
      <formula>B$9&lt;8/24</formula>
    </cfRule>
  </conditionalFormatting>
  <conditionalFormatting sqref="B21:W21 B27:W27">
    <cfRule type="expression" dxfId="3239" priority="87">
      <formula>B21&gt;$AG21</formula>
    </cfRule>
  </conditionalFormatting>
  <conditionalFormatting sqref="A40">
    <cfRule type="expression" dxfId="3238" priority="86">
      <formula>$AH40=0</formula>
    </cfRule>
  </conditionalFormatting>
  <conditionalFormatting sqref="B78:AF78">
    <cfRule type="expression" dxfId="3237" priority="82">
      <formula>B$9&gt;=20/24</formula>
    </cfRule>
    <cfRule type="expression" dxfId="3236" priority="83">
      <formula>AND(B$9&gt;=14/24,B$9&lt;20/24)</formula>
    </cfRule>
    <cfRule type="expression" dxfId="3235" priority="84">
      <formula>AND(B$9&gt;=8/24,B$9&lt;14/24)</formula>
    </cfRule>
    <cfRule type="expression" dxfId="3234" priority="85">
      <formula>B$9&lt;8/24</formula>
    </cfRule>
  </conditionalFormatting>
  <conditionalFormatting sqref="B87:AF91">
    <cfRule type="expression" dxfId="3233" priority="78">
      <formula>B$9&gt;=20/24</formula>
    </cfRule>
    <cfRule type="expression" dxfId="3232" priority="79">
      <formula>AND(B$9&gt;=14/24,B$9&lt;20/24)</formula>
    </cfRule>
    <cfRule type="expression" dxfId="3231" priority="80">
      <formula>AND(B$9&gt;=8/24,B$9&lt;14/24)</formula>
    </cfRule>
    <cfRule type="expression" dxfId="3230" priority="81">
      <formula>B$9&lt;8/24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3229" priority="74">
      <formula>C$9&gt;=20/24</formula>
    </cfRule>
    <cfRule type="expression" dxfId="3228" priority="75">
      <formula>AND(C$9&gt;=14/24,C$9&lt;20/24)</formula>
    </cfRule>
    <cfRule type="expression" dxfId="3227" priority="76">
      <formula>AND(C$9&gt;=8/24,C$9&lt;14/24)</formula>
    </cfRule>
    <cfRule type="expression" dxfId="3226" priority="77">
      <formula>C$9&lt;8/24</formula>
    </cfRule>
  </conditionalFormatting>
  <conditionalFormatting sqref="C45:AF47">
    <cfRule type="expression" dxfId="3225" priority="73">
      <formula>C45&gt;$AG45</formula>
    </cfRule>
  </conditionalFormatting>
  <conditionalFormatting sqref="B45:B48 C48:AG48">
    <cfRule type="expression" dxfId="3224" priority="69">
      <formula>B$9&gt;=20/24</formula>
    </cfRule>
    <cfRule type="expression" dxfId="3223" priority="70">
      <formula>AND(B$9&gt;=14/24,B$9&lt;20/24)</formula>
    </cfRule>
    <cfRule type="expression" dxfId="3222" priority="71">
      <formula>AND(B$9&gt;=8/24,B$9&lt;14/24)</formula>
    </cfRule>
    <cfRule type="expression" dxfId="3221" priority="72">
      <formula>B$9&lt;8/24</formula>
    </cfRule>
  </conditionalFormatting>
  <conditionalFormatting sqref="B45:B48 C48:AG48">
    <cfRule type="expression" dxfId="3220" priority="68">
      <formula>B45&gt;$AG45</formula>
    </cfRule>
  </conditionalFormatting>
  <conditionalFormatting sqref="C103:AF103">
    <cfRule type="expression" dxfId="3219" priority="64">
      <formula>C$9&gt;=20/24</formula>
    </cfRule>
    <cfRule type="expression" dxfId="3218" priority="65">
      <formula>AND(C$9&gt;=14/24,C$9&lt;20/24)</formula>
    </cfRule>
    <cfRule type="expression" dxfId="3217" priority="66">
      <formula>AND(C$9&gt;=8/24,C$9&lt;14/24)</formula>
    </cfRule>
    <cfRule type="expression" dxfId="3216" priority="67">
      <formula>C$9&lt;8/24</formula>
    </cfRule>
  </conditionalFormatting>
  <conditionalFormatting sqref="B103">
    <cfRule type="expression" dxfId="3215" priority="60">
      <formula>B$9&gt;=20/24</formula>
    </cfRule>
    <cfRule type="expression" dxfId="3214" priority="61">
      <formula>AND(B$9&gt;=14/24,B$9&lt;20/24)</formula>
    </cfRule>
    <cfRule type="expression" dxfId="3213" priority="62">
      <formula>AND(B$9&gt;=8/24,B$9&lt;14/24)</formula>
    </cfRule>
    <cfRule type="expression" dxfId="3212" priority="63">
      <formula>B$9&lt;8/24</formula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211" priority="54">
      <formula>$AH37=0</formula>
    </cfRule>
  </conditionalFormatting>
  <conditionalFormatting sqref="A86">
    <cfRule type="expression" dxfId="3210" priority="52">
      <formula>$AH86=0</formula>
    </cfRule>
  </conditionalFormatting>
  <conditionalFormatting sqref="A83">
    <cfRule type="expression" dxfId="3209" priority="53">
      <formula>$AH83=0</formula>
    </cfRule>
  </conditionalFormatting>
  <conditionalFormatting sqref="A113">
    <cfRule type="expression" dxfId="3208" priority="43">
      <formula>$AH113=0</formula>
    </cfRule>
  </conditionalFormatting>
  <conditionalFormatting sqref="C106:AF106">
    <cfRule type="expression" dxfId="3207" priority="39">
      <formula>C$9&gt;=20/24</formula>
    </cfRule>
    <cfRule type="expression" dxfId="3206" priority="40">
      <formula>AND(C$9&gt;=14/24,C$9&lt;20/24)</formula>
    </cfRule>
    <cfRule type="expression" dxfId="3205" priority="41">
      <formula>AND(C$9&gt;=8/24,C$9&lt;14/24)</formula>
    </cfRule>
    <cfRule type="expression" dxfId="3204" priority="42">
      <formula>C$9&lt;8/24</formula>
    </cfRule>
  </conditionalFormatting>
  <conditionalFormatting sqref="A106">
    <cfRule type="expression" dxfId="3203" priority="38">
      <formula>$AH106=0</formula>
    </cfRule>
  </conditionalFormatting>
  <conditionalFormatting sqref="B106">
    <cfRule type="expression" dxfId="3202" priority="34">
      <formula>B$9&gt;=20/24</formula>
    </cfRule>
    <cfRule type="expression" dxfId="3201" priority="35">
      <formula>AND(B$9&gt;=14/24,B$9&lt;20/24)</formula>
    </cfRule>
    <cfRule type="expression" dxfId="3200" priority="36">
      <formula>AND(B$9&gt;=8/24,B$9&lt;14/24)</formula>
    </cfRule>
    <cfRule type="expression" dxfId="3199" priority="37">
      <formula>B$9&lt;8/24</formula>
    </cfRule>
  </conditionalFormatting>
  <conditionalFormatting sqref="V56:AA60">
    <cfRule type="expression" dxfId="3198" priority="30">
      <formula>V$9&gt;=20/24</formula>
    </cfRule>
    <cfRule type="expression" dxfId="3197" priority="31">
      <formula>AND(V$9&gt;=14/24,V$9&lt;20/24)</formula>
    </cfRule>
    <cfRule type="expression" dxfId="3196" priority="32">
      <formula>AND(V$9&gt;=8/24,V$9&lt;14/24)</formula>
    </cfRule>
    <cfRule type="expression" dxfId="3195" priority="33">
      <formula>V$9&lt;8/24</formula>
    </cfRule>
  </conditionalFormatting>
  <conditionalFormatting sqref="V56:AA60">
    <cfRule type="expression" dxfId="3194" priority="29">
      <formula>V56&gt;$AG56</formula>
    </cfRule>
  </conditionalFormatting>
  <conditionalFormatting sqref="B19:AF19">
    <cfRule type="expression" dxfId="3193" priority="27">
      <formula>B19&gt;$AG19</formula>
    </cfRule>
  </conditionalFormatting>
  <conditionalFormatting sqref="A19">
    <cfRule type="expression" dxfId="3192" priority="26">
      <formula>$AH19=0</formula>
    </cfRule>
  </conditionalFormatting>
  <conditionalFormatting sqref="X19:AF19">
    <cfRule type="expression" dxfId="3191" priority="22">
      <formula>X$9&gt;=20/24</formula>
    </cfRule>
    <cfRule type="expression" dxfId="3190" priority="23">
      <formula>AND(X$9&gt;=14/24,X$9&lt;20/24)</formula>
    </cfRule>
    <cfRule type="expression" dxfId="3189" priority="24">
      <formula>AND(X$9&gt;=8/24,X$9&lt;14/24)</formula>
    </cfRule>
    <cfRule type="expression" dxfId="3188" priority="25">
      <formula>X$9&lt;8/24</formula>
    </cfRule>
  </conditionalFormatting>
  <conditionalFormatting sqref="B19:W19">
    <cfRule type="expression" dxfId="3187" priority="18">
      <formula>B$9&gt;=20/24</formula>
    </cfRule>
    <cfRule type="expression" dxfId="3186" priority="19">
      <formula>AND(B$9&gt;=14/24,B$9&lt;20/24)</formula>
    </cfRule>
    <cfRule type="expression" dxfId="3185" priority="20">
      <formula>AND(B$9&gt;=8/24,B$9&lt;14/24)</formula>
    </cfRule>
    <cfRule type="expression" dxfId="3184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183" priority="16">
      <formula>$AH34=0</formula>
    </cfRule>
  </conditionalFormatting>
  <conditionalFormatting sqref="X34:AF34">
    <cfRule type="expression" dxfId="3182" priority="12">
      <formula>X$9&gt;=20/24</formula>
    </cfRule>
    <cfRule type="expression" dxfId="3181" priority="13">
      <formula>AND(X$9&gt;=14/24,X$9&lt;20/24)</formula>
    </cfRule>
    <cfRule type="expression" dxfId="3180" priority="14">
      <formula>AND(X$9&gt;=8/24,X$9&lt;14/24)</formula>
    </cfRule>
    <cfRule type="expression" dxfId="3179" priority="15">
      <formula>X$9&lt;8/24</formula>
    </cfRule>
  </conditionalFormatting>
  <conditionalFormatting sqref="X34:AF34">
    <cfRule type="expression" dxfId="3178" priority="11">
      <formula>X34&gt;$AG34</formula>
    </cfRule>
  </conditionalFormatting>
  <conditionalFormatting sqref="C34:W34">
    <cfRule type="expression" dxfId="3177" priority="7">
      <formula>C$9&gt;=20/24</formula>
    </cfRule>
    <cfRule type="expression" dxfId="3176" priority="8">
      <formula>AND(C$9&gt;=14/24,C$9&lt;20/24)</formula>
    </cfRule>
    <cfRule type="expression" dxfId="3175" priority="9">
      <formula>AND(C$9&gt;=8/24,C$9&lt;14/24)</formula>
    </cfRule>
    <cfRule type="expression" dxfId="3174" priority="10">
      <formula>C$9&lt;8/24</formula>
    </cfRule>
  </conditionalFormatting>
  <conditionalFormatting sqref="C34:W34">
    <cfRule type="expression" dxfId="3173" priority="6">
      <formula>C34&gt;$AG34</formula>
    </cfRule>
  </conditionalFormatting>
  <conditionalFormatting sqref="B34">
    <cfRule type="expression" dxfId="3172" priority="2">
      <formula>B$9&gt;=20/24</formula>
    </cfRule>
    <cfRule type="expression" dxfId="3171" priority="3">
      <formula>AND(B$9&gt;=14/24,B$9&lt;20/24)</formula>
    </cfRule>
    <cfRule type="expression" dxfId="3170" priority="4">
      <formula>AND(B$9&gt;=8/24,B$9&lt;14/24)</formula>
    </cfRule>
    <cfRule type="expression" dxfId="3169" priority="5">
      <formula>B$9&lt;8/24</formula>
    </cfRule>
  </conditionalFormatting>
  <conditionalFormatting sqref="B34">
    <cfRule type="expression" dxfId="3168" priority="1">
      <formula>B34&gt;$AG34</formula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E7B094B9-BE80-4A81-9DCD-FE57BDFC314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DCFABEC4-6AC0-4BA5-AC1D-33957CFC64B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63284534-3428-4A85-8BE0-331140EEE6C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521239E7-E898-4DFA-B7C9-85CBB6CD92A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8" id="{35C18A4F-64A2-4242-BB35-DEB261CF5F7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2D525E8C-2B6C-4B23-BFEE-7D51DE79C09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37F84289-FC47-49BD-9546-27A74389C6A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C8BD9D8F-A47E-4B75-B57F-BF6B2EF9F28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44" id="{7B8623A3-6A9A-46A8-806D-3F2F22C73FA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3C0C76AA-35A7-4972-BC23-C50DB8B6313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AFA51A97-9F2C-4531-970B-1F2B35DEAE1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744BFD86-0363-442F-8BF3-AF2D2FC12D4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274"/>
  <sheetViews>
    <sheetView zoomScale="90" zoomScaleNormal="90" workbookViewId="0">
      <pane xSplit="1" ySplit="10" topLeftCell="D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49" sqref="AE4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2079/08/24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16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1.1000000000000001</v>
      </c>
      <c r="H5" s="30">
        <f t="shared" si="0"/>
        <v>0</v>
      </c>
      <c r="I5" s="30">
        <f t="shared" si="0"/>
        <v>22.1</v>
      </c>
      <c r="J5" s="30">
        <f t="shared" si="0"/>
        <v>24.1</v>
      </c>
      <c r="K5" s="30">
        <f t="shared" si="0"/>
        <v>15</v>
      </c>
      <c r="L5" s="30">
        <f t="shared" si="0"/>
        <v>20.6</v>
      </c>
      <c r="M5" s="30">
        <f t="shared" si="0"/>
        <v>19.2</v>
      </c>
      <c r="N5" s="30">
        <f t="shared" si="0"/>
        <v>15</v>
      </c>
      <c r="O5" s="30">
        <f t="shared" si="0"/>
        <v>13</v>
      </c>
      <c r="P5" s="30">
        <f t="shared" si="0"/>
        <v>13</v>
      </c>
      <c r="Q5" s="30">
        <f t="shared" si="0"/>
        <v>18.399999999999999</v>
      </c>
      <c r="R5" s="30">
        <f t="shared" si="0"/>
        <v>20.2</v>
      </c>
      <c r="S5" s="30">
        <f t="shared" si="0"/>
        <v>121.7</v>
      </c>
      <c r="T5" s="30">
        <f t="shared" si="0"/>
        <v>112</v>
      </c>
      <c r="U5" s="30">
        <f t="shared" si="0"/>
        <v>17</v>
      </c>
      <c r="V5" s="30">
        <f t="shared" si="0"/>
        <v>26.6</v>
      </c>
      <c r="W5" s="30">
        <f t="shared" si="0"/>
        <v>17</v>
      </c>
      <c r="X5" s="30">
        <f t="shared" si="0"/>
        <v>17.2</v>
      </c>
      <c r="Y5" s="30">
        <f t="shared" si="0"/>
        <v>15.3</v>
      </c>
      <c r="Z5" s="30">
        <f t="shared" si="0"/>
        <v>14.1</v>
      </c>
      <c r="AA5" s="30">
        <f t="shared" si="0"/>
        <v>11.1</v>
      </c>
      <c r="AB5" s="30">
        <f t="shared" si="0"/>
        <v>7.6</v>
      </c>
      <c r="AC5" s="30">
        <f t="shared" si="0"/>
        <v>15.5</v>
      </c>
      <c r="AD5" s="30">
        <f t="shared" si="0"/>
        <v>12</v>
      </c>
      <c r="AE5" s="30">
        <f t="shared" si="0"/>
        <v>9</v>
      </c>
      <c r="AF5" s="30">
        <f>B78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1496MW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Load=942</v>
      </c>
      <c r="B7" s="35">
        <f t="shared" ref="B7:AF7" si="1">B85</f>
        <v>978.94</v>
      </c>
      <c r="C7" s="35">
        <f t="shared" si="1"/>
        <v>980.44</v>
      </c>
      <c r="D7" s="35">
        <f t="shared" si="1"/>
        <v>962.04000000000008</v>
      </c>
      <c r="E7" s="35">
        <f t="shared" si="1"/>
        <v>942.14</v>
      </c>
      <c r="F7" s="35">
        <f t="shared" si="1"/>
        <v>945.24</v>
      </c>
      <c r="G7" s="35">
        <f t="shared" si="1"/>
        <v>1005.8400000000001</v>
      </c>
      <c r="H7" s="35">
        <f t="shared" si="1"/>
        <v>1048.3400000000001</v>
      </c>
      <c r="I7" s="35">
        <f t="shared" si="1"/>
        <v>1101.54</v>
      </c>
      <c r="J7" s="35">
        <f t="shared" si="1"/>
        <v>1261.24</v>
      </c>
      <c r="K7" s="35">
        <f t="shared" si="1"/>
        <v>1425.9399999999998</v>
      </c>
      <c r="L7" s="35">
        <f t="shared" si="1"/>
        <v>1452.8400000000001</v>
      </c>
      <c r="M7" s="35">
        <f t="shared" si="1"/>
        <v>1495.7399999999998</v>
      </c>
      <c r="N7" s="35">
        <f t="shared" si="1"/>
        <v>1496.34</v>
      </c>
      <c r="O7" s="35">
        <f t="shared" si="1"/>
        <v>1264.1400000000001</v>
      </c>
      <c r="P7" s="35">
        <f t="shared" si="1"/>
        <v>1303.6400000000001</v>
      </c>
      <c r="Q7" s="35">
        <f t="shared" si="1"/>
        <v>1168.94</v>
      </c>
      <c r="R7" s="35">
        <f t="shared" si="1"/>
        <v>1186.5400000000002</v>
      </c>
      <c r="S7" s="35">
        <f t="shared" si="1"/>
        <v>1146.5400000000002</v>
      </c>
      <c r="T7" s="35">
        <f t="shared" si="1"/>
        <v>1062.74</v>
      </c>
      <c r="U7" s="35">
        <f t="shared" si="1"/>
        <v>1046.04</v>
      </c>
      <c r="V7" s="35">
        <f t="shared" si="1"/>
        <v>1181.24</v>
      </c>
      <c r="W7" s="35">
        <f t="shared" si="1"/>
        <v>1546.8400000000001</v>
      </c>
      <c r="X7" s="35">
        <f t="shared" si="1"/>
        <v>1567.94</v>
      </c>
      <c r="Y7" s="35">
        <f t="shared" si="1"/>
        <v>1515.14</v>
      </c>
      <c r="Z7" s="35">
        <f t="shared" si="1"/>
        <v>1491.74</v>
      </c>
      <c r="AA7" s="35">
        <f t="shared" si="1"/>
        <v>1437.2399999999998</v>
      </c>
      <c r="AB7" s="35">
        <f t="shared" si="1"/>
        <v>1360.9399999999998</v>
      </c>
      <c r="AC7" s="35">
        <f t="shared" si="1"/>
        <v>1324.84</v>
      </c>
      <c r="AD7" s="35">
        <f t="shared" si="1"/>
        <v>1271.1400000000001</v>
      </c>
      <c r="AE7" s="35">
        <f t="shared" si="1"/>
        <v>1038.8400000000001</v>
      </c>
      <c r="AF7" s="35">
        <f t="shared" si="1"/>
        <v>954.34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27.6</v>
      </c>
      <c r="C11" s="45">
        <v>27.6</v>
      </c>
      <c r="D11" s="45">
        <v>27.6</v>
      </c>
      <c r="E11" s="45">
        <v>27.6</v>
      </c>
      <c r="F11" s="45">
        <v>27.6</v>
      </c>
      <c r="G11" s="45">
        <v>27.6</v>
      </c>
      <c r="H11" s="45">
        <v>27.6</v>
      </c>
      <c r="I11" s="45">
        <v>27.6</v>
      </c>
      <c r="J11" s="45">
        <v>27.6</v>
      </c>
      <c r="K11" s="45">
        <v>27.6</v>
      </c>
      <c r="L11" s="45">
        <v>27.6</v>
      </c>
      <c r="M11" s="45">
        <v>28.1</v>
      </c>
      <c r="N11" s="45">
        <v>28.1</v>
      </c>
      <c r="O11" s="45">
        <v>28.1</v>
      </c>
      <c r="P11" s="45">
        <v>28.1</v>
      </c>
      <c r="Q11" s="45">
        <v>28.1</v>
      </c>
      <c r="R11" s="45">
        <v>28.1</v>
      </c>
      <c r="S11" s="45">
        <v>28.1</v>
      </c>
      <c r="T11" s="45">
        <v>28.1</v>
      </c>
      <c r="U11" s="46">
        <v>23.4</v>
      </c>
      <c r="V11" s="46">
        <v>23.4</v>
      </c>
      <c r="W11" s="46">
        <v>23.4</v>
      </c>
      <c r="X11" s="46">
        <v>23.4</v>
      </c>
      <c r="Y11" s="46">
        <v>23.4</v>
      </c>
      <c r="Z11" s="46">
        <v>23.4</v>
      </c>
      <c r="AA11" s="46">
        <v>23.4</v>
      </c>
      <c r="AB11" s="46">
        <v>23.4</v>
      </c>
      <c r="AC11" s="46">
        <v>23.4</v>
      </c>
      <c r="AD11" s="46">
        <v>29.9</v>
      </c>
      <c r="AE11" s="46">
        <v>29.9</v>
      </c>
      <c r="AF11" s="46">
        <v>29.9</v>
      </c>
      <c r="AG11" s="47">
        <v>52.4</v>
      </c>
      <c r="AH11" s="48">
        <f>MAX(B11:AF11)</f>
        <v>29.9</v>
      </c>
      <c r="AI11" s="49">
        <f>MIN(B11:AF11)</f>
        <v>23.4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50.3</v>
      </c>
      <c r="F12" s="45">
        <v>50.3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50.4</v>
      </c>
      <c r="N12" s="45">
        <v>50.4</v>
      </c>
      <c r="O12" s="45">
        <v>50.4</v>
      </c>
      <c r="P12" s="45">
        <v>50.4</v>
      </c>
      <c r="Q12" s="45">
        <v>50.4</v>
      </c>
      <c r="R12" s="45">
        <v>50.1</v>
      </c>
      <c r="S12" s="45">
        <v>50.1</v>
      </c>
      <c r="T12" s="45">
        <v>50.1</v>
      </c>
      <c r="U12" s="45">
        <v>50.1</v>
      </c>
      <c r="V12" s="45">
        <v>50.1</v>
      </c>
      <c r="W12" s="45">
        <v>50.1</v>
      </c>
      <c r="X12" s="45">
        <v>50.1</v>
      </c>
      <c r="Y12" s="45">
        <v>50.1</v>
      </c>
      <c r="Z12" s="45">
        <v>50.1</v>
      </c>
      <c r="AA12" s="45">
        <v>50.1</v>
      </c>
      <c r="AB12" s="45">
        <v>50.6</v>
      </c>
      <c r="AC12" s="45">
        <v>50.6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9" si="2">MAX(B12:AF12)</f>
        <v>50.6</v>
      </c>
      <c r="AI12" s="49">
        <f t="shared" ref="AI12:AI79" si="3">MIN(B12:AF12)</f>
        <v>50.1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28</v>
      </c>
      <c r="C13" s="45">
        <v>28</v>
      </c>
      <c r="D13" s="45">
        <v>28</v>
      </c>
      <c r="E13" s="45">
        <v>28</v>
      </c>
      <c r="F13" s="45">
        <v>28</v>
      </c>
      <c r="G13" s="45">
        <v>28</v>
      </c>
      <c r="H13" s="45">
        <v>28</v>
      </c>
      <c r="I13" s="45">
        <v>28</v>
      </c>
      <c r="J13" s="45">
        <v>28</v>
      </c>
      <c r="K13" s="45">
        <v>28</v>
      </c>
      <c r="L13" s="45">
        <v>28</v>
      </c>
      <c r="M13" s="45">
        <v>24.6</v>
      </c>
      <c r="N13" s="45">
        <v>24.6</v>
      </c>
      <c r="O13" s="45">
        <v>24.6</v>
      </c>
      <c r="P13" s="45">
        <v>24.6</v>
      </c>
      <c r="Q13" s="45">
        <v>24.6</v>
      </c>
      <c r="R13" s="45">
        <v>24.6</v>
      </c>
      <c r="S13" s="45">
        <v>24.6</v>
      </c>
      <c r="T13" s="45">
        <v>24.6</v>
      </c>
      <c r="U13" s="45">
        <v>25.3</v>
      </c>
      <c r="V13" s="45">
        <v>25.3</v>
      </c>
      <c r="W13" s="45">
        <v>25.3</v>
      </c>
      <c r="X13" s="45">
        <v>25.3</v>
      </c>
      <c r="Y13" s="45">
        <v>25.3</v>
      </c>
      <c r="Z13" s="45">
        <v>25.3</v>
      </c>
      <c r="AA13" s="45">
        <v>25.3</v>
      </c>
      <c r="AB13" s="45">
        <v>26.9</v>
      </c>
      <c r="AC13" s="45">
        <v>26.9</v>
      </c>
      <c r="AD13" s="45">
        <v>26.9</v>
      </c>
      <c r="AE13" s="45">
        <v>26.9</v>
      </c>
      <c r="AF13" s="45">
        <v>26.9</v>
      </c>
      <c r="AG13" s="51">
        <v>45</v>
      </c>
      <c r="AH13" s="48">
        <f t="shared" si="2"/>
        <v>28</v>
      </c>
      <c r="AI13" s="49">
        <f t="shared" si="3"/>
        <v>24.6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22</v>
      </c>
      <c r="C15" s="45">
        <v>22</v>
      </c>
      <c r="D15" s="45">
        <v>22</v>
      </c>
      <c r="E15" s="45">
        <v>22</v>
      </c>
      <c r="F15" s="45">
        <v>22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22</v>
      </c>
      <c r="M15" s="45">
        <v>22</v>
      </c>
      <c r="N15" s="45">
        <v>22</v>
      </c>
      <c r="O15" s="45">
        <v>22</v>
      </c>
      <c r="P15" s="45">
        <v>22</v>
      </c>
      <c r="Q15" s="45">
        <v>22</v>
      </c>
      <c r="R15" s="45">
        <v>22</v>
      </c>
      <c r="S15" s="45">
        <v>22</v>
      </c>
      <c r="T15" s="45">
        <v>22</v>
      </c>
      <c r="U15" s="45">
        <v>22</v>
      </c>
      <c r="V15" s="45">
        <v>22</v>
      </c>
      <c r="W15" s="45">
        <v>22</v>
      </c>
      <c r="X15" s="45">
        <v>22</v>
      </c>
      <c r="Y15" s="45">
        <v>22</v>
      </c>
      <c r="Z15" s="45">
        <v>22</v>
      </c>
      <c r="AA15" s="45">
        <v>22</v>
      </c>
      <c r="AB15" s="45">
        <v>22</v>
      </c>
      <c r="AC15" s="45">
        <v>22</v>
      </c>
      <c r="AD15" s="45">
        <v>22</v>
      </c>
      <c r="AE15" s="45">
        <v>22</v>
      </c>
      <c r="AF15" s="45">
        <v>22</v>
      </c>
      <c r="AG15" s="51">
        <v>36</v>
      </c>
      <c r="AH15" s="48">
        <f t="shared" si="2"/>
        <v>22</v>
      </c>
      <c r="AI15" s="49">
        <f t="shared" si="3"/>
        <v>22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16.899999999999999</v>
      </c>
      <c r="C16" s="45">
        <v>16.899999999999999</v>
      </c>
      <c r="D16" s="45">
        <v>16.899999999999999</v>
      </c>
      <c r="E16" s="45">
        <v>16.899999999999999</v>
      </c>
      <c r="F16" s="45">
        <v>0</v>
      </c>
      <c r="G16" s="45">
        <v>0</v>
      </c>
      <c r="H16" s="45">
        <v>0</v>
      </c>
      <c r="I16" s="45">
        <v>0</v>
      </c>
      <c r="J16" s="45">
        <v>17.600000000000001</v>
      </c>
      <c r="K16" s="45">
        <v>17.600000000000001</v>
      </c>
      <c r="L16" s="45">
        <v>17.600000000000001</v>
      </c>
      <c r="M16" s="45">
        <v>17.600000000000001</v>
      </c>
      <c r="N16" s="45">
        <v>17.600000000000001</v>
      </c>
      <c r="O16" s="45">
        <v>17.600000000000001</v>
      </c>
      <c r="P16" s="45">
        <v>17.600000000000001</v>
      </c>
      <c r="Q16" s="45">
        <v>17.600000000000001</v>
      </c>
      <c r="R16" s="45">
        <v>12.4</v>
      </c>
      <c r="S16" s="45">
        <v>12.4</v>
      </c>
      <c r="T16" s="45">
        <v>12.4</v>
      </c>
      <c r="U16" s="45">
        <v>13.7</v>
      </c>
      <c r="V16" s="45">
        <v>13.7</v>
      </c>
      <c r="W16" s="45">
        <v>13.7</v>
      </c>
      <c r="X16" s="45">
        <v>13.7</v>
      </c>
      <c r="Y16" s="45">
        <v>13.7</v>
      </c>
      <c r="Z16" s="45">
        <v>13.7</v>
      </c>
      <c r="AA16" s="45">
        <v>13.7</v>
      </c>
      <c r="AB16" s="45">
        <v>13.7</v>
      </c>
      <c r="AC16" s="45">
        <v>13.7</v>
      </c>
      <c r="AD16" s="45">
        <v>13.7</v>
      </c>
      <c r="AE16" s="45">
        <v>13.7</v>
      </c>
      <c r="AF16" s="45">
        <v>13.7</v>
      </c>
      <c r="AG16" s="52">
        <v>30</v>
      </c>
      <c r="AH16" s="48">
        <f t="shared" si="2"/>
        <v>17.600000000000001</v>
      </c>
      <c r="AI16" s="49">
        <f t="shared" si="3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13.3</v>
      </c>
      <c r="C17" s="45">
        <v>13.3</v>
      </c>
      <c r="D17" s="45">
        <v>13.3</v>
      </c>
      <c r="E17" s="45">
        <v>13.3</v>
      </c>
      <c r="F17" s="45">
        <v>13.3</v>
      </c>
      <c r="G17" s="45">
        <v>13.3</v>
      </c>
      <c r="H17" s="45">
        <v>13.3</v>
      </c>
      <c r="I17" s="45">
        <v>13.3</v>
      </c>
      <c r="J17" s="45">
        <v>13.3</v>
      </c>
      <c r="K17" s="45">
        <v>13.3</v>
      </c>
      <c r="L17" s="45">
        <v>13.3</v>
      </c>
      <c r="M17" s="45">
        <v>13.3</v>
      </c>
      <c r="N17" s="45">
        <v>13.3</v>
      </c>
      <c r="O17" s="45">
        <v>13.3</v>
      </c>
      <c r="P17" s="45">
        <v>13.3</v>
      </c>
      <c r="Q17" s="45">
        <v>13.3</v>
      </c>
      <c r="R17" s="45">
        <v>13.3</v>
      </c>
      <c r="S17" s="45">
        <v>13.3</v>
      </c>
      <c r="T17" s="45">
        <v>13.3</v>
      </c>
      <c r="U17" s="45">
        <v>13.3</v>
      </c>
      <c r="V17" s="45">
        <v>13.3</v>
      </c>
      <c r="W17" s="45">
        <v>13.3</v>
      </c>
      <c r="X17" s="45">
        <v>13.3</v>
      </c>
      <c r="Y17" s="45">
        <v>13.3</v>
      </c>
      <c r="Z17" s="45">
        <v>13.3</v>
      </c>
      <c r="AA17" s="45">
        <v>13.3</v>
      </c>
      <c r="AB17" s="45">
        <v>13.3</v>
      </c>
      <c r="AC17" s="45">
        <v>13.3</v>
      </c>
      <c r="AD17" s="45">
        <v>13.3</v>
      </c>
      <c r="AE17" s="45">
        <v>13.3</v>
      </c>
      <c r="AF17" s="45">
        <v>13.3</v>
      </c>
      <c r="AG17" s="51">
        <v>24.2</v>
      </c>
      <c r="AH17" s="48">
        <f t="shared" si="2"/>
        <v>13.3</v>
      </c>
      <c r="AI17" s="49">
        <f t="shared" si="3"/>
        <v>13.3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14</v>
      </c>
      <c r="C18" s="45">
        <v>14</v>
      </c>
      <c r="D18" s="45">
        <v>14</v>
      </c>
      <c r="E18" s="45">
        <v>14</v>
      </c>
      <c r="F18" s="45">
        <v>14</v>
      </c>
      <c r="G18" s="45">
        <v>14</v>
      </c>
      <c r="H18" s="45">
        <v>14</v>
      </c>
      <c r="I18" s="45">
        <v>14</v>
      </c>
      <c r="J18" s="45">
        <v>14</v>
      </c>
      <c r="K18" s="45">
        <v>14</v>
      </c>
      <c r="L18" s="45">
        <v>14</v>
      </c>
      <c r="M18" s="45">
        <v>14</v>
      </c>
      <c r="N18" s="45">
        <v>14</v>
      </c>
      <c r="O18" s="45">
        <v>14</v>
      </c>
      <c r="P18" s="45">
        <v>14</v>
      </c>
      <c r="Q18" s="45">
        <v>14</v>
      </c>
      <c r="R18" s="45">
        <v>14</v>
      </c>
      <c r="S18" s="45">
        <v>14</v>
      </c>
      <c r="T18" s="45">
        <v>14</v>
      </c>
      <c r="U18" s="45">
        <v>14</v>
      </c>
      <c r="V18" s="45">
        <v>14</v>
      </c>
      <c r="W18" s="45">
        <v>14</v>
      </c>
      <c r="X18" s="45">
        <v>14</v>
      </c>
      <c r="Y18" s="45">
        <v>14</v>
      </c>
      <c r="Z18" s="45">
        <v>14</v>
      </c>
      <c r="AA18" s="45">
        <v>14</v>
      </c>
      <c r="AB18" s="45">
        <v>14</v>
      </c>
      <c r="AC18" s="45">
        <v>14</v>
      </c>
      <c r="AD18" s="45">
        <v>14</v>
      </c>
      <c r="AE18" s="45">
        <v>14</v>
      </c>
      <c r="AF18" s="45">
        <v>14</v>
      </c>
      <c r="AG18" s="51">
        <v>28</v>
      </c>
      <c r="AH18" s="48">
        <f t="shared" si="2"/>
        <v>14</v>
      </c>
      <c r="AI18" s="49">
        <f t="shared" si="3"/>
        <v>14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15</v>
      </c>
      <c r="C19" s="45">
        <v>15</v>
      </c>
      <c r="D19" s="45">
        <v>15</v>
      </c>
      <c r="E19" s="45">
        <v>15</v>
      </c>
      <c r="F19" s="45">
        <v>0</v>
      </c>
      <c r="G19" s="45">
        <v>0</v>
      </c>
      <c r="H19" s="45">
        <v>0</v>
      </c>
      <c r="I19" s="45">
        <v>0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15</v>
      </c>
      <c r="AI19" s="49">
        <f t="shared" si="3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</v>
      </c>
      <c r="C20" s="45">
        <v>14</v>
      </c>
      <c r="D20" s="45">
        <v>14</v>
      </c>
      <c r="E20" s="45">
        <v>14</v>
      </c>
      <c r="F20" s="45">
        <v>14</v>
      </c>
      <c r="G20" s="45">
        <v>14</v>
      </c>
      <c r="H20" s="45">
        <v>14</v>
      </c>
      <c r="I20" s="45">
        <v>14</v>
      </c>
      <c r="J20" s="45">
        <v>14</v>
      </c>
      <c r="K20" s="45">
        <v>14</v>
      </c>
      <c r="L20" s="45">
        <v>14</v>
      </c>
      <c r="M20" s="45">
        <v>14</v>
      </c>
      <c r="N20" s="45">
        <v>14</v>
      </c>
      <c r="O20" s="45">
        <v>14</v>
      </c>
      <c r="P20" s="45">
        <v>14</v>
      </c>
      <c r="Q20" s="45">
        <v>14</v>
      </c>
      <c r="R20" s="45">
        <v>14</v>
      </c>
      <c r="S20" s="45">
        <v>14</v>
      </c>
      <c r="T20" s="45">
        <v>14</v>
      </c>
      <c r="U20" s="45">
        <v>14</v>
      </c>
      <c r="V20" s="45">
        <v>14</v>
      </c>
      <c r="W20" s="45">
        <v>14</v>
      </c>
      <c r="X20" s="45">
        <v>14</v>
      </c>
      <c r="Y20" s="45">
        <v>14</v>
      </c>
      <c r="Z20" s="45">
        <v>14</v>
      </c>
      <c r="AA20" s="45">
        <v>14</v>
      </c>
      <c r="AB20" s="45">
        <v>14</v>
      </c>
      <c r="AC20" s="45">
        <v>14</v>
      </c>
      <c r="AD20" s="45">
        <v>14</v>
      </c>
      <c r="AE20" s="45">
        <v>14</v>
      </c>
      <c r="AF20" s="45">
        <v>14</v>
      </c>
      <c r="AG20" s="51">
        <v>25</v>
      </c>
      <c r="AH20" s="48">
        <f t="shared" si="2"/>
        <v>14</v>
      </c>
      <c r="AI20" s="49">
        <f t="shared" si="3"/>
        <v>14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12</v>
      </c>
      <c r="C22" s="45">
        <v>12</v>
      </c>
      <c r="D22" s="45">
        <v>12</v>
      </c>
      <c r="E22" s="45">
        <v>12</v>
      </c>
      <c r="F22" s="45">
        <v>12</v>
      </c>
      <c r="G22" s="45">
        <v>12</v>
      </c>
      <c r="H22" s="45">
        <v>12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>
        <v>12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51">
        <v>25</v>
      </c>
      <c r="AH22" s="48">
        <f t="shared" si="2"/>
        <v>12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13.9</v>
      </c>
      <c r="C23" s="45">
        <v>13.9</v>
      </c>
      <c r="D23" s="45">
        <v>13.9</v>
      </c>
      <c r="E23" s="45">
        <v>13.9</v>
      </c>
      <c r="F23" s="45">
        <v>0</v>
      </c>
      <c r="G23" s="45">
        <v>0</v>
      </c>
      <c r="H23" s="45">
        <v>0</v>
      </c>
      <c r="I23" s="45">
        <v>0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1">
        <v>25</v>
      </c>
      <c r="AH23" s="48">
        <f t="shared" si="2"/>
        <v>13.9</v>
      </c>
      <c r="AI23" s="49">
        <f t="shared" si="3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12.9</v>
      </c>
      <c r="C24" s="45">
        <v>12.9</v>
      </c>
      <c r="D24" s="45">
        <v>12.9</v>
      </c>
      <c r="E24" s="45">
        <v>12.9</v>
      </c>
      <c r="F24" s="45">
        <v>12.9</v>
      </c>
      <c r="G24" s="45">
        <v>12.9</v>
      </c>
      <c r="H24" s="45">
        <v>12.9</v>
      </c>
      <c r="I24" s="45">
        <v>12.9</v>
      </c>
      <c r="J24" s="45">
        <v>12.9</v>
      </c>
      <c r="K24" s="45">
        <v>12.9</v>
      </c>
      <c r="L24" s="45">
        <v>12.9</v>
      </c>
      <c r="M24" s="45">
        <v>12.9</v>
      </c>
      <c r="N24" s="45">
        <v>12.9</v>
      </c>
      <c r="O24" s="45">
        <v>12.9</v>
      </c>
      <c r="P24" s="45">
        <v>12.9</v>
      </c>
      <c r="Q24" s="45">
        <v>12.9</v>
      </c>
      <c r="R24" s="45">
        <v>10.199999999999999</v>
      </c>
      <c r="S24" s="45">
        <v>10.199999999999999</v>
      </c>
      <c r="T24" s="45">
        <v>10.199999999999999</v>
      </c>
      <c r="U24" s="45">
        <v>10.199999999999999</v>
      </c>
      <c r="V24" s="45">
        <v>10.199999999999999</v>
      </c>
      <c r="W24" s="45">
        <v>10.199999999999999</v>
      </c>
      <c r="X24" s="45">
        <v>10.199999999999999</v>
      </c>
      <c r="Y24" s="45">
        <v>10.199999999999999</v>
      </c>
      <c r="Z24" s="45">
        <v>10.199999999999999</v>
      </c>
      <c r="AA24" s="45">
        <v>10.199999999999999</v>
      </c>
      <c r="AB24" s="45">
        <v>10.199999999999999</v>
      </c>
      <c r="AC24" s="45">
        <v>10.199999999999999</v>
      </c>
      <c r="AD24" s="45">
        <v>10.199999999999999</v>
      </c>
      <c r="AE24" s="45">
        <v>10.199999999999999</v>
      </c>
      <c r="AF24" s="45">
        <v>10.199999999999999</v>
      </c>
      <c r="AG24" s="51">
        <v>23.5</v>
      </c>
      <c r="AH24" s="48">
        <f t="shared" si="2"/>
        <v>12.9</v>
      </c>
      <c r="AI24" s="49">
        <f t="shared" si="3"/>
        <v>10.199999999999999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51">
        <v>22.2</v>
      </c>
      <c r="AH25" s="48">
        <f t="shared" si="2"/>
        <v>7.5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10</v>
      </c>
      <c r="AE28" s="45">
        <v>10</v>
      </c>
      <c r="AF28" s="45">
        <v>10</v>
      </c>
      <c r="AG28" s="51">
        <v>22</v>
      </c>
      <c r="AH28" s="48">
        <f t="shared" si="2"/>
        <v>10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0</v>
      </c>
      <c r="G29" s="45">
        <v>0</v>
      </c>
      <c r="H29" s="45">
        <v>0</v>
      </c>
      <c r="I29" s="45">
        <v>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8</v>
      </c>
      <c r="C30" s="45">
        <v>8</v>
      </c>
      <c r="D30" s="45">
        <v>8</v>
      </c>
      <c r="E30" s="45">
        <v>8</v>
      </c>
      <c r="F30" s="45">
        <v>0</v>
      </c>
      <c r="G30" s="45">
        <v>0</v>
      </c>
      <c r="H30" s="45">
        <v>0</v>
      </c>
      <c r="I30" s="45">
        <v>0</v>
      </c>
      <c r="J30" s="45">
        <v>8</v>
      </c>
      <c r="K30" s="45">
        <v>8</v>
      </c>
      <c r="L30" s="45">
        <v>8</v>
      </c>
      <c r="M30" s="45">
        <v>8</v>
      </c>
      <c r="N30" s="45">
        <v>8</v>
      </c>
      <c r="O30" s="45">
        <v>8</v>
      </c>
      <c r="P30" s="45">
        <v>8</v>
      </c>
      <c r="Q30" s="45">
        <v>0</v>
      </c>
      <c r="R30" s="45">
        <v>0</v>
      </c>
      <c r="S30" s="45">
        <v>0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8</v>
      </c>
      <c r="AI30" s="49">
        <f t="shared" si="3"/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6</v>
      </c>
      <c r="C34" s="45">
        <v>6</v>
      </c>
      <c r="D34" s="45">
        <v>6</v>
      </c>
      <c r="E34" s="45">
        <v>6</v>
      </c>
      <c r="F34" s="45">
        <v>0</v>
      </c>
      <c r="G34" s="45">
        <v>0</v>
      </c>
      <c r="H34" s="45">
        <v>0</v>
      </c>
      <c r="I34" s="45">
        <v>0</v>
      </c>
      <c r="J34" s="45">
        <v>6</v>
      </c>
      <c r="K34" s="45">
        <v>6</v>
      </c>
      <c r="L34" s="45">
        <v>6</v>
      </c>
      <c r="M34" s="45">
        <v>6</v>
      </c>
      <c r="N34" s="45">
        <v>6</v>
      </c>
      <c r="O34" s="45">
        <v>6</v>
      </c>
      <c r="P34" s="45">
        <v>6</v>
      </c>
      <c r="Q34" s="45">
        <v>6</v>
      </c>
      <c r="R34" s="45">
        <v>6</v>
      </c>
      <c r="S34" s="45">
        <v>6</v>
      </c>
      <c r="T34" s="45">
        <v>6</v>
      </c>
      <c r="U34" s="45">
        <v>6</v>
      </c>
      <c r="V34" s="45">
        <v>6</v>
      </c>
      <c r="W34" s="45">
        <v>6</v>
      </c>
      <c r="X34" s="45">
        <v>6</v>
      </c>
      <c r="Y34" s="45">
        <v>6</v>
      </c>
      <c r="Z34" s="45">
        <v>6</v>
      </c>
      <c r="AA34" s="45">
        <v>6</v>
      </c>
      <c r="AB34" s="45">
        <v>6</v>
      </c>
      <c r="AC34" s="45">
        <v>6</v>
      </c>
      <c r="AD34" s="45">
        <v>6</v>
      </c>
      <c r="AE34" s="45">
        <v>6</v>
      </c>
      <c r="AF34" s="45">
        <v>6</v>
      </c>
      <c r="AG34" s="51">
        <v>12</v>
      </c>
      <c r="AH34" s="48">
        <f t="shared" si="2"/>
        <v>6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220</v>
      </c>
      <c r="C42" s="57">
        <v>220</v>
      </c>
      <c r="D42" s="57">
        <v>220</v>
      </c>
      <c r="E42" s="57">
        <v>220</v>
      </c>
      <c r="F42" s="57">
        <v>220</v>
      </c>
      <c r="G42" s="57">
        <v>220</v>
      </c>
      <c r="H42" s="57">
        <v>220</v>
      </c>
      <c r="I42" s="57">
        <v>220</v>
      </c>
      <c r="J42" s="57">
        <v>220</v>
      </c>
      <c r="K42" s="57">
        <v>220</v>
      </c>
      <c r="L42" s="57">
        <v>220</v>
      </c>
      <c r="M42" s="57">
        <v>220</v>
      </c>
      <c r="N42" s="57">
        <v>220</v>
      </c>
      <c r="O42" s="57">
        <v>220</v>
      </c>
      <c r="P42" s="57">
        <v>220</v>
      </c>
      <c r="Q42" s="57">
        <v>220</v>
      </c>
      <c r="R42" s="57">
        <v>220</v>
      </c>
      <c r="S42" s="57">
        <v>220</v>
      </c>
      <c r="T42" s="57">
        <v>220</v>
      </c>
      <c r="U42" s="57">
        <v>220</v>
      </c>
      <c r="V42" s="57">
        <v>220</v>
      </c>
      <c r="W42" s="57">
        <v>220</v>
      </c>
      <c r="X42" s="57">
        <v>220</v>
      </c>
      <c r="Y42" s="57">
        <v>220</v>
      </c>
      <c r="Z42" s="57">
        <v>220</v>
      </c>
      <c r="AA42" s="57">
        <v>220</v>
      </c>
      <c r="AB42" s="57">
        <v>220</v>
      </c>
      <c r="AC42" s="57">
        <v>220</v>
      </c>
      <c r="AD42" s="57">
        <v>220</v>
      </c>
      <c r="AE42" s="57">
        <v>220</v>
      </c>
      <c r="AF42" s="57">
        <v>220</v>
      </c>
      <c r="AG42" s="55">
        <v>85</v>
      </c>
      <c r="AH42" s="48">
        <f t="shared" si="2"/>
        <v>220</v>
      </c>
      <c r="AI42" s="49">
        <f t="shared" si="3"/>
        <v>220</v>
      </c>
      <c r="AK42" s="50"/>
    </row>
    <row r="43" spans="1:88" ht="15.75" thickBot="1" x14ac:dyDescent="0.3">
      <c r="A43" s="58" t="s">
        <v>47</v>
      </c>
      <c r="B43" s="59">
        <f>33.4+36.8</f>
        <v>70.199999999999989</v>
      </c>
      <c r="C43" s="59">
        <f>33.4+36.8</f>
        <v>70.199999999999989</v>
      </c>
      <c r="D43" s="59">
        <f t="shared" ref="D43:G43" si="4">33.4+36.8</f>
        <v>70.199999999999989</v>
      </c>
      <c r="E43" s="59">
        <f t="shared" si="4"/>
        <v>70.199999999999989</v>
      </c>
      <c r="F43" s="59">
        <v>71</v>
      </c>
      <c r="G43" s="59">
        <f t="shared" si="4"/>
        <v>70.199999999999989</v>
      </c>
      <c r="H43" s="59">
        <f>31.6+38.8</f>
        <v>70.400000000000006</v>
      </c>
      <c r="I43" s="59">
        <f>32.2+35.9</f>
        <v>68.099999999999994</v>
      </c>
      <c r="J43" s="59">
        <f>32.1+36</f>
        <v>68.099999999999994</v>
      </c>
      <c r="K43" s="59">
        <f>31.8+36.1</f>
        <v>67.900000000000006</v>
      </c>
      <c r="L43" s="57">
        <f>31.9+36.5</f>
        <v>68.400000000000006</v>
      </c>
      <c r="M43" s="57">
        <f>31.9+36.5</f>
        <v>68.400000000000006</v>
      </c>
      <c r="N43" s="57">
        <f>30.4+37.1</f>
        <v>67.5</v>
      </c>
      <c r="O43" s="57">
        <f t="shared" ref="O43:Q43" si="5">30.4+37.1</f>
        <v>67.5</v>
      </c>
      <c r="P43" s="57">
        <f t="shared" si="5"/>
        <v>67.5</v>
      </c>
      <c r="Q43" s="57">
        <f t="shared" si="5"/>
        <v>67.5</v>
      </c>
      <c r="R43" s="57">
        <f>33.8+37.5</f>
        <v>71.3</v>
      </c>
      <c r="S43" s="59">
        <f>33+35.5</f>
        <v>68.5</v>
      </c>
      <c r="T43" s="59">
        <f>32.9+35</f>
        <v>67.900000000000006</v>
      </c>
      <c r="U43" s="59">
        <v>69.900000000000006</v>
      </c>
      <c r="V43" s="59">
        <f>31.7+36.3</f>
        <v>68</v>
      </c>
      <c r="W43" s="59">
        <f>31+35.8</f>
        <v>66.8</v>
      </c>
      <c r="X43" s="59">
        <f>31+35.8</f>
        <v>66.8</v>
      </c>
      <c r="Y43" s="59">
        <f>31+35.8</f>
        <v>66.8</v>
      </c>
      <c r="Z43" s="59">
        <f>30.9+35.5</f>
        <v>66.400000000000006</v>
      </c>
      <c r="AA43" s="59">
        <f>30.9+33.2</f>
        <v>64.099999999999994</v>
      </c>
      <c r="AB43" s="59">
        <f>30.9+33.2</f>
        <v>64.099999999999994</v>
      </c>
      <c r="AC43" s="59">
        <f>30.9+33.2</f>
        <v>64.099999999999994</v>
      </c>
      <c r="AD43" s="59">
        <v>66</v>
      </c>
      <c r="AE43" s="59">
        <v>69</v>
      </c>
      <c r="AF43" s="59">
        <v>69</v>
      </c>
      <c r="AG43" s="55">
        <v>240</v>
      </c>
      <c r="AH43" s="48">
        <f t="shared" si="2"/>
        <v>71.3</v>
      </c>
      <c r="AI43" s="49">
        <f t="shared" si="3"/>
        <v>64.099999999999994</v>
      </c>
      <c r="AK43" s="50"/>
    </row>
    <row r="44" spans="1:88" ht="15.75" thickBot="1" x14ac:dyDescent="0.3">
      <c r="A44" s="60" t="s">
        <v>48</v>
      </c>
      <c r="B44" s="61">
        <f t="shared" ref="B44:AG44" si="6">SUM(B11:B42)</f>
        <v>609.5</v>
      </c>
      <c r="C44" s="61">
        <f t="shared" si="6"/>
        <v>609.5</v>
      </c>
      <c r="D44" s="61">
        <f t="shared" si="6"/>
        <v>609.5</v>
      </c>
      <c r="E44" s="61">
        <f t="shared" si="6"/>
        <v>609.5</v>
      </c>
      <c r="F44" s="61">
        <f t="shared" si="6"/>
        <v>539.70000000000005</v>
      </c>
      <c r="G44" s="61">
        <f t="shared" si="6"/>
        <v>539.70000000000005</v>
      </c>
      <c r="H44" s="61">
        <f t="shared" si="6"/>
        <v>539.70000000000005</v>
      </c>
      <c r="I44" s="61">
        <f t="shared" si="6"/>
        <v>539.70000000000005</v>
      </c>
      <c r="J44" s="61">
        <f t="shared" si="6"/>
        <v>608.29999999999995</v>
      </c>
      <c r="K44" s="61">
        <f t="shared" si="6"/>
        <v>608.29999999999995</v>
      </c>
      <c r="L44" s="61">
        <f t="shared" si="6"/>
        <v>608.29999999999995</v>
      </c>
      <c r="M44" s="61">
        <f t="shared" si="6"/>
        <v>605.5</v>
      </c>
      <c r="N44" s="61">
        <f t="shared" si="6"/>
        <v>605.5</v>
      </c>
      <c r="O44" s="61">
        <f t="shared" ref="O44:P44" si="7">SUM(O11:O42)</f>
        <v>605.5</v>
      </c>
      <c r="P44" s="61">
        <f t="shared" si="7"/>
        <v>586</v>
      </c>
      <c r="Q44" s="61">
        <f t="shared" ref="Q44" si="8">SUM(Q11:Q42)</f>
        <v>578</v>
      </c>
      <c r="R44" s="61">
        <f t="shared" si="6"/>
        <v>569.79999999999995</v>
      </c>
      <c r="S44" s="61">
        <f t="shared" si="6"/>
        <v>569.79999999999995</v>
      </c>
      <c r="T44" s="61">
        <f t="shared" si="6"/>
        <v>577.5</v>
      </c>
      <c r="U44" s="61">
        <f t="shared" si="6"/>
        <v>574.79999999999995</v>
      </c>
      <c r="V44" s="61">
        <f t="shared" si="6"/>
        <v>574.79999999999995</v>
      </c>
      <c r="W44" s="61">
        <f t="shared" si="6"/>
        <v>574.79999999999995</v>
      </c>
      <c r="X44" s="61">
        <f t="shared" si="6"/>
        <v>574.79999999999995</v>
      </c>
      <c r="Y44" s="61">
        <f t="shared" si="6"/>
        <v>574.79999999999995</v>
      </c>
      <c r="Z44" s="61">
        <f t="shared" si="6"/>
        <v>574.79999999999995</v>
      </c>
      <c r="AA44" s="61">
        <f t="shared" si="6"/>
        <v>574.79999999999995</v>
      </c>
      <c r="AB44" s="61">
        <f t="shared" si="6"/>
        <v>576.9</v>
      </c>
      <c r="AC44" s="61">
        <f t="shared" si="6"/>
        <v>576.9</v>
      </c>
      <c r="AD44" s="61">
        <f t="shared" si="6"/>
        <v>583.4</v>
      </c>
      <c r="AE44" s="61">
        <f t="shared" si="6"/>
        <v>583.4</v>
      </c>
      <c r="AF44" s="61">
        <f t="shared" si="6"/>
        <v>583.4</v>
      </c>
      <c r="AG44" s="62">
        <f t="shared" si="6"/>
        <v>814.78000000000009</v>
      </c>
      <c r="AH44" s="48">
        <f t="shared" si="2"/>
        <v>609.5</v>
      </c>
      <c r="AI44" s="49">
        <f t="shared" si="3"/>
        <v>539.70000000000005</v>
      </c>
      <c r="AK44" s="50"/>
    </row>
    <row r="45" spans="1:88" x14ac:dyDescent="0.25">
      <c r="A45" s="63" t="s">
        <v>49</v>
      </c>
      <c r="B45" s="45">
        <v>20</v>
      </c>
      <c r="C45" s="45">
        <v>15</v>
      </c>
      <c r="D45" s="45">
        <v>15</v>
      </c>
      <c r="E45" s="45">
        <v>15</v>
      </c>
      <c r="F45" s="45">
        <v>75</v>
      </c>
      <c r="G45" s="45">
        <v>120</v>
      </c>
      <c r="H45" s="45">
        <v>150</v>
      </c>
      <c r="I45" s="45">
        <v>160</v>
      </c>
      <c r="J45" s="45">
        <v>180</v>
      </c>
      <c r="K45" s="45">
        <v>340</v>
      </c>
      <c r="L45" s="45">
        <v>340</v>
      </c>
      <c r="M45" s="45">
        <v>380</v>
      </c>
      <c r="N45" s="45">
        <v>380</v>
      </c>
      <c r="O45" s="45">
        <v>150</v>
      </c>
      <c r="P45" s="45">
        <v>210</v>
      </c>
      <c r="Q45" s="45">
        <v>210</v>
      </c>
      <c r="R45" s="45">
        <v>175</v>
      </c>
      <c r="S45" s="45">
        <v>130</v>
      </c>
      <c r="T45" s="45">
        <v>15</v>
      </c>
      <c r="U45" s="45">
        <v>15</v>
      </c>
      <c r="V45" s="45">
        <v>90</v>
      </c>
      <c r="W45" s="45">
        <v>350</v>
      </c>
      <c r="X45" s="45">
        <v>375</v>
      </c>
      <c r="Y45" s="45">
        <v>340</v>
      </c>
      <c r="Z45" s="45">
        <v>320</v>
      </c>
      <c r="AA45" s="45">
        <v>280</v>
      </c>
      <c r="AB45" s="45">
        <v>205</v>
      </c>
      <c r="AC45" s="45">
        <v>210</v>
      </c>
      <c r="AD45" s="45">
        <v>185</v>
      </c>
      <c r="AE45" s="45">
        <v>15</v>
      </c>
      <c r="AF45" s="45">
        <v>15</v>
      </c>
      <c r="AG45" s="52">
        <v>456</v>
      </c>
      <c r="AH45" s="48">
        <f t="shared" si="2"/>
        <v>380</v>
      </c>
      <c r="AI45" s="49">
        <f t="shared" si="3"/>
        <v>15</v>
      </c>
      <c r="AK45" s="50"/>
    </row>
    <row r="46" spans="1:88" x14ac:dyDescent="0.25">
      <c r="A46" s="64" t="s">
        <v>50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48</v>
      </c>
      <c r="N46" s="65">
        <v>48</v>
      </c>
      <c r="O46" s="65">
        <v>48</v>
      </c>
      <c r="P46" s="65">
        <v>48</v>
      </c>
      <c r="Q46" s="65">
        <v>48</v>
      </c>
      <c r="R46" s="65">
        <v>48</v>
      </c>
      <c r="S46" s="65">
        <v>48</v>
      </c>
      <c r="T46" s="65">
        <v>48</v>
      </c>
      <c r="U46" s="65">
        <v>48</v>
      </c>
      <c r="V46" s="65">
        <v>48</v>
      </c>
      <c r="W46" s="65">
        <v>48</v>
      </c>
      <c r="X46" s="65">
        <v>48</v>
      </c>
      <c r="Y46" s="65">
        <v>48</v>
      </c>
      <c r="Z46" s="65">
        <v>48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48</v>
      </c>
      <c r="AI46" s="49">
        <f t="shared" si="3"/>
        <v>48</v>
      </c>
      <c r="AK46" s="50"/>
    </row>
    <row r="47" spans="1:88" ht="15.75" thickBot="1" x14ac:dyDescent="0.3">
      <c r="A47" s="66" t="s">
        <v>51</v>
      </c>
      <c r="B47" s="67">
        <v>18.600000000000001</v>
      </c>
      <c r="C47" s="67">
        <v>19.100000000000001</v>
      </c>
      <c r="D47" s="67">
        <v>19.100000000000001</v>
      </c>
      <c r="E47" s="67">
        <v>19.100000000000001</v>
      </c>
      <c r="F47" s="67">
        <v>19</v>
      </c>
      <c r="G47" s="67">
        <v>19</v>
      </c>
      <c r="H47" s="67">
        <v>19</v>
      </c>
      <c r="I47" s="67">
        <v>19.100000000000001</v>
      </c>
      <c r="J47" s="67">
        <v>19.100000000000001</v>
      </c>
      <c r="K47" s="67">
        <v>19.100000000000001</v>
      </c>
      <c r="L47" s="67">
        <v>19.100000000000001</v>
      </c>
      <c r="M47" s="67">
        <v>19.100000000000001</v>
      </c>
      <c r="N47" s="67">
        <v>19.100000000000001</v>
      </c>
      <c r="O47" s="67">
        <v>19.100000000000001</v>
      </c>
      <c r="P47" s="67">
        <v>19.100000000000001</v>
      </c>
      <c r="Q47" s="67">
        <v>19.100000000000001</v>
      </c>
      <c r="R47" s="67">
        <v>18.100000000000001</v>
      </c>
      <c r="S47" s="67">
        <v>18.100000000000001</v>
      </c>
      <c r="T47" s="67">
        <v>13.4</v>
      </c>
      <c r="U47" s="67">
        <v>18.100000000000001</v>
      </c>
      <c r="V47" s="67">
        <v>16.100000000000001</v>
      </c>
      <c r="W47" s="67">
        <v>16.100000000000001</v>
      </c>
      <c r="X47" s="67">
        <v>22.1</v>
      </c>
      <c r="Y47" s="67">
        <v>22.1</v>
      </c>
      <c r="Z47" s="67">
        <v>22.1</v>
      </c>
      <c r="AA47" s="67">
        <v>22.1</v>
      </c>
      <c r="AB47" s="67">
        <v>22.1</v>
      </c>
      <c r="AC47" s="67">
        <v>22.1</v>
      </c>
      <c r="AD47" s="67">
        <v>20</v>
      </c>
      <c r="AE47" s="67">
        <v>20</v>
      </c>
      <c r="AF47" s="67">
        <v>20</v>
      </c>
      <c r="AG47" s="68">
        <v>22.1</v>
      </c>
      <c r="AH47" s="48">
        <f t="shared" si="2"/>
        <v>22.1</v>
      </c>
      <c r="AI47" s="49">
        <f t="shared" si="3"/>
        <v>13.4</v>
      </c>
      <c r="AK47" s="50"/>
    </row>
    <row r="48" spans="1:88" ht="15.75" thickBot="1" x14ac:dyDescent="0.3">
      <c r="A48" s="69" t="s">
        <v>52</v>
      </c>
      <c r="B48" s="61">
        <f t="shared" ref="B48:AG48" si="9">SUM(B45:B47)</f>
        <v>86.6</v>
      </c>
      <c r="C48" s="61">
        <f t="shared" si="9"/>
        <v>82.1</v>
      </c>
      <c r="D48" s="61">
        <f t="shared" si="9"/>
        <v>82.1</v>
      </c>
      <c r="E48" s="61">
        <f t="shared" si="9"/>
        <v>82.1</v>
      </c>
      <c r="F48" s="61">
        <f t="shared" si="9"/>
        <v>142</v>
      </c>
      <c r="G48" s="61">
        <f t="shared" si="9"/>
        <v>187</v>
      </c>
      <c r="H48" s="61">
        <f t="shared" si="9"/>
        <v>217</v>
      </c>
      <c r="I48" s="61">
        <f t="shared" si="9"/>
        <v>227.1</v>
      </c>
      <c r="J48" s="61">
        <f t="shared" si="9"/>
        <v>247.1</v>
      </c>
      <c r="K48" s="61">
        <f t="shared" si="9"/>
        <v>407.1</v>
      </c>
      <c r="L48" s="61">
        <f t="shared" si="9"/>
        <v>407.1</v>
      </c>
      <c r="M48" s="61">
        <f t="shared" si="9"/>
        <v>447.1</v>
      </c>
      <c r="N48" s="61">
        <f t="shared" si="9"/>
        <v>447.1</v>
      </c>
      <c r="O48" s="61">
        <f t="shared" ref="O48:P48" si="10">SUM(O45:O47)</f>
        <v>217.1</v>
      </c>
      <c r="P48" s="61">
        <f t="shared" si="10"/>
        <v>277.10000000000002</v>
      </c>
      <c r="Q48" s="61">
        <f t="shared" ref="Q48" si="11">SUM(Q45:Q47)</f>
        <v>277.10000000000002</v>
      </c>
      <c r="R48" s="61">
        <f t="shared" si="9"/>
        <v>241.1</v>
      </c>
      <c r="S48" s="61">
        <f t="shared" si="9"/>
        <v>196.1</v>
      </c>
      <c r="T48" s="61">
        <f t="shared" si="9"/>
        <v>76.400000000000006</v>
      </c>
      <c r="U48" s="61">
        <f t="shared" si="9"/>
        <v>81.099999999999994</v>
      </c>
      <c r="V48" s="61">
        <f t="shared" si="9"/>
        <v>154.1</v>
      </c>
      <c r="W48" s="61">
        <f t="shared" si="9"/>
        <v>414.1</v>
      </c>
      <c r="X48" s="61">
        <f t="shared" si="9"/>
        <v>445.1</v>
      </c>
      <c r="Y48" s="61">
        <f t="shared" si="9"/>
        <v>410.1</v>
      </c>
      <c r="Z48" s="61">
        <f t="shared" si="9"/>
        <v>390.1</v>
      </c>
      <c r="AA48" s="61">
        <f t="shared" si="9"/>
        <v>350.1</v>
      </c>
      <c r="AB48" s="61">
        <f t="shared" si="9"/>
        <v>275.10000000000002</v>
      </c>
      <c r="AC48" s="61">
        <f t="shared" si="9"/>
        <v>280.10000000000002</v>
      </c>
      <c r="AD48" s="61">
        <f t="shared" si="9"/>
        <v>253</v>
      </c>
      <c r="AE48" s="61">
        <f t="shared" si="9"/>
        <v>83</v>
      </c>
      <c r="AF48" s="61">
        <f t="shared" si="9"/>
        <v>83</v>
      </c>
      <c r="AG48" s="62">
        <f t="shared" si="9"/>
        <v>538.1</v>
      </c>
      <c r="AH48" s="48">
        <f t="shared" si="2"/>
        <v>447.1</v>
      </c>
      <c r="AI48" s="49">
        <f t="shared" si="3"/>
        <v>76.400000000000006</v>
      </c>
      <c r="AK48" s="50"/>
    </row>
    <row r="49" spans="1:41" x14ac:dyDescent="0.25">
      <c r="A49" s="44" t="s">
        <v>53</v>
      </c>
      <c r="B49" s="45">
        <v>89</v>
      </c>
      <c r="C49" s="45">
        <v>67.900000000000006</v>
      </c>
      <c r="D49" s="45">
        <v>48.7</v>
      </c>
      <c r="E49" s="45">
        <v>48.8</v>
      </c>
      <c r="F49" s="45">
        <v>38.700000000000003</v>
      </c>
      <c r="G49" s="45">
        <v>60.6</v>
      </c>
      <c r="H49" s="45">
        <v>70.5</v>
      </c>
      <c r="I49" s="45">
        <v>100.5</v>
      </c>
      <c r="J49" s="45">
        <v>142.80000000000001</v>
      </c>
      <c r="K49" s="45">
        <v>140</v>
      </c>
      <c r="L49" s="45">
        <v>142.4</v>
      </c>
      <c r="M49" s="45">
        <v>142.5</v>
      </c>
      <c r="N49" s="45">
        <v>142.5</v>
      </c>
      <c r="O49" s="45">
        <v>142.5</v>
      </c>
      <c r="P49" s="45">
        <v>142.5</v>
      </c>
      <c r="Q49" s="45">
        <v>131</v>
      </c>
      <c r="R49" s="45">
        <v>130.9</v>
      </c>
      <c r="S49" s="45">
        <v>130.9</v>
      </c>
      <c r="T49" s="45">
        <v>62.8</v>
      </c>
      <c r="U49" s="45">
        <v>70.400000000000006</v>
      </c>
      <c r="V49" s="45">
        <v>137.9</v>
      </c>
      <c r="W49" s="45">
        <v>137.9</v>
      </c>
      <c r="X49" s="45">
        <v>137.9</v>
      </c>
      <c r="Y49" s="45">
        <v>137.9</v>
      </c>
      <c r="Z49" s="45">
        <v>137.9</v>
      </c>
      <c r="AA49" s="45">
        <v>137.9</v>
      </c>
      <c r="AB49" s="45">
        <v>137.1</v>
      </c>
      <c r="AC49" s="45">
        <v>131.69999999999999</v>
      </c>
      <c r="AD49" s="45">
        <v>132</v>
      </c>
      <c r="AE49" s="45">
        <v>90</v>
      </c>
      <c r="AF49" s="45">
        <v>40</v>
      </c>
      <c r="AG49" s="52">
        <v>144</v>
      </c>
      <c r="AH49" s="48">
        <f t="shared" si="2"/>
        <v>142.80000000000001</v>
      </c>
      <c r="AI49" s="49">
        <f t="shared" si="3"/>
        <v>38.700000000000003</v>
      </c>
      <c r="AK49" s="50"/>
    </row>
    <row r="50" spans="1:41" x14ac:dyDescent="0.25">
      <c r="A50" s="54" t="s">
        <v>54</v>
      </c>
      <c r="B50" s="65">
        <v>34.9</v>
      </c>
      <c r="C50" s="65">
        <v>34.9</v>
      </c>
      <c r="D50" s="65">
        <v>35.4</v>
      </c>
      <c r="E50" s="65">
        <v>25.3</v>
      </c>
      <c r="F50" s="65">
        <v>46.7</v>
      </c>
      <c r="G50" s="65">
        <v>41</v>
      </c>
      <c r="H50" s="65">
        <v>42.1</v>
      </c>
      <c r="I50" s="65">
        <v>50.8</v>
      </c>
      <c r="J50" s="65">
        <v>63.3</v>
      </c>
      <c r="K50" s="65">
        <v>67.7</v>
      </c>
      <c r="L50" s="65">
        <v>71.599999999999994</v>
      </c>
      <c r="M50" s="65">
        <v>71.599999999999994</v>
      </c>
      <c r="N50" s="65">
        <v>71.599999999999994</v>
      </c>
      <c r="O50" s="65">
        <v>71.599999999999994</v>
      </c>
      <c r="P50" s="65">
        <v>71.599999999999994</v>
      </c>
      <c r="Q50" s="65">
        <v>49.1</v>
      </c>
      <c r="R50" s="45">
        <v>46.7</v>
      </c>
      <c r="S50" s="45">
        <v>46.7</v>
      </c>
      <c r="T50" s="65">
        <v>35.5</v>
      </c>
      <c r="U50" s="65">
        <v>25</v>
      </c>
      <c r="V50" s="65">
        <v>72.599999999999994</v>
      </c>
      <c r="W50" s="65">
        <v>72.599999999999994</v>
      </c>
      <c r="X50" s="65">
        <v>72.599999999999994</v>
      </c>
      <c r="Y50" s="65">
        <v>72.599999999999994</v>
      </c>
      <c r="Z50" s="65">
        <v>72.599999999999994</v>
      </c>
      <c r="AA50" s="65">
        <v>72.599999999999994</v>
      </c>
      <c r="AB50" s="65">
        <v>72.599999999999994</v>
      </c>
      <c r="AC50" s="65">
        <v>69.900000000000006</v>
      </c>
      <c r="AD50" s="65">
        <v>69.3</v>
      </c>
      <c r="AE50" s="65">
        <v>60</v>
      </c>
      <c r="AF50" s="65">
        <v>30</v>
      </c>
      <c r="AG50" s="55">
        <v>70</v>
      </c>
      <c r="AH50" s="48">
        <f t="shared" si="2"/>
        <v>72.599999999999994</v>
      </c>
      <c r="AI50" s="49">
        <f t="shared" si="3"/>
        <v>25</v>
      </c>
      <c r="AK50" s="50"/>
    </row>
    <row r="51" spans="1:41" x14ac:dyDescent="0.25">
      <c r="A51" s="54" t="s">
        <v>55</v>
      </c>
      <c r="B51" s="65">
        <v>46.2</v>
      </c>
      <c r="C51" s="65">
        <v>55.7</v>
      </c>
      <c r="D51" s="65">
        <v>60</v>
      </c>
      <c r="E51" s="65">
        <v>51</v>
      </c>
      <c r="F51" s="65">
        <v>51.9</v>
      </c>
      <c r="G51" s="65">
        <v>51.8</v>
      </c>
      <c r="H51" s="65">
        <v>52</v>
      </c>
      <c r="I51" s="65">
        <v>52.2</v>
      </c>
      <c r="J51" s="65">
        <v>51.7</v>
      </c>
      <c r="K51" s="65">
        <v>51.4</v>
      </c>
      <c r="L51" s="65">
        <v>69.7</v>
      </c>
      <c r="M51" s="65">
        <v>69.7</v>
      </c>
      <c r="N51" s="65">
        <v>69.7</v>
      </c>
      <c r="O51" s="65">
        <v>69.7</v>
      </c>
      <c r="P51" s="65">
        <v>69.7</v>
      </c>
      <c r="Q51" s="65" t="s">
        <v>279</v>
      </c>
      <c r="R51" s="45">
        <v>57.6</v>
      </c>
      <c r="S51" s="45">
        <v>57.6</v>
      </c>
      <c r="T51" s="65">
        <v>58.7</v>
      </c>
      <c r="U51" s="65">
        <v>54.8</v>
      </c>
      <c r="V51" s="65">
        <v>68.7</v>
      </c>
      <c r="W51" s="65">
        <v>68.7</v>
      </c>
      <c r="X51" s="65">
        <v>68.7</v>
      </c>
      <c r="Y51" s="65">
        <v>68.7</v>
      </c>
      <c r="Z51" s="65">
        <v>68.7</v>
      </c>
      <c r="AA51" s="65">
        <v>68.7</v>
      </c>
      <c r="AB51" s="65">
        <v>68.7</v>
      </c>
      <c r="AC51" s="65">
        <v>68.8</v>
      </c>
      <c r="AD51" s="65">
        <v>69.5</v>
      </c>
      <c r="AE51" s="65">
        <v>69.5</v>
      </c>
      <c r="AF51" s="65">
        <v>68</v>
      </c>
      <c r="AG51" s="55">
        <v>69</v>
      </c>
      <c r="AH51" s="48">
        <f t="shared" si="2"/>
        <v>69.7</v>
      </c>
      <c r="AI51" s="49">
        <f t="shared" si="3"/>
        <v>46.2</v>
      </c>
      <c r="AK51" s="50"/>
    </row>
    <row r="52" spans="1:41" x14ac:dyDescent="0.25">
      <c r="A52" s="54" t="s">
        <v>56</v>
      </c>
      <c r="B52" s="57">
        <v>60.7</v>
      </c>
      <c r="C52" s="57">
        <v>62.3</v>
      </c>
      <c r="D52" s="57">
        <v>60.9</v>
      </c>
      <c r="E52" s="57">
        <v>60</v>
      </c>
      <c r="F52" s="57">
        <v>60.7</v>
      </c>
      <c r="G52" s="57">
        <v>60.2</v>
      </c>
      <c r="H52" s="57">
        <v>60.4</v>
      </c>
      <c r="I52" s="57">
        <v>60.4</v>
      </c>
      <c r="J52" s="57">
        <v>60.4</v>
      </c>
      <c r="K52" s="57">
        <v>60.4</v>
      </c>
      <c r="L52" s="57">
        <v>60.7</v>
      </c>
      <c r="M52" s="57">
        <v>60.7</v>
      </c>
      <c r="N52" s="57">
        <v>60.7</v>
      </c>
      <c r="O52" s="57">
        <v>60.7</v>
      </c>
      <c r="P52" s="57">
        <v>60.7</v>
      </c>
      <c r="Q52" s="57">
        <v>60.7</v>
      </c>
      <c r="R52" s="45">
        <v>60.4</v>
      </c>
      <c r="S52" s="45">
        <v>60.4</v>
      </c>
      <c r="T52" s="45">
        <v>60.7</v>
      </c>
      <c r="U52" s="45">
        <v>60.4</v>
      </c>
      <c r="V52" s="65">
        <v>60.4</v>
      </c>
      <c r="W52" s="65">
        <v>60.4</v>
      </c>
      <c r="X52" s="65">
        <v>60.4</v>
      </c>
      <c r="Y52" s="65">
        <v>60.4</v>
      </c>
      <c r="Z52" s="65">
        <v>60.4</v>
      </c>
      <c r="AA52" s="65">
        <v>60.4</v>
      </c>
      <c r="AB52" s="65">
        <v>60.4</v>
      </c>
      <c r="AC52" s="65">
        <v>60.4</v>
      </c>
      <c r="AD52" s="65">
        <v>60.4</v>
      </c>
      <c r="AE52" s="65">
        <v>60.4</v>
      </c>
      <c r="AF52" s="65">
        <v>60.4</v>
      </c>
      <c r="AG52" s="55">
        <v>60</v>
      </c>
      <c r="AH52" s="48">
        <f t="shared" si="2"/>
        <v>62.3</v>
      </c>
      <c r="AI52" s="49">
        <f t="shared" si="3"/>
        <v>60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13.4</v>
      </c>
      <c r="E53" s="57">
        <v>13.4</v>
      </c>
      <c r="F53" s="57">
        <v>13.5</v>
      </c>
      <c r="G53" s="57">
        <v>13.5</v>
      </c>
      <c r="H53" s="57">
        <v>13.5</v>
      </c>
      <c r="I53" s="57">
        <v>13.5</v>
      </c>
      <c r="J53" s="57">
        <v>13.5</v>
      </c>
      <c r="K53" s="57">
        <v>14.9</v>
      </c>
      <c r="L53" s="57">
        <v>26</v>
      </c>
      <c r="M53" s="57">
        <v>26</v>
      </c>
      <c r="N53" s="57">
        <v>26</v>
      </c>
      <c r="O53" s="57">
        <v>26</v>
      </c>
      <c r="P53" s="57">
        <v>26</v>
      </c>
      <c r="Q53" s="57">
        <v>0</v>
      </c>
      <c r="R53" s="45">
        <v>0</v>
      </c>
      <c r="S53" s="45">
        <v>0</v>
      </c>
      <c r="T53" s="45">
        <v>0</v>
      </c>
      <c r="U53" s="45">
        <v>0</v>
      </c>
      <c r="V53" s="65">
        <v>28.2</v>
      </c>
      <c r="W53" s="65">
        <v>28.2</v>
      </c>
      <c r="X53" s="65">
        <v>28.2</v>
      </c>
      <c r="Y53" s="65">
        <v>28.2</v>
      </c>
      <c r="Z53" s="65">
        <v>28.2</v>
      </c>
      <c r="AA53" s="65">
        <v>28.2</v>
      </c>
      <c r="AB53" s="65">
        <v>28.2</v>
      </c>
      <c r="AC53" s="65">
        <v>28.2</v>
      </c>
      <c r="AD53" s="65">
        <v>15</v>
      </c>
      <c r="AE53" s="65">
        <v>13</v>
      </c>
      <c r="AF53" s="65">
        <v>13</v>
      </c>
      <c r="AG53" s="55">
        <v>30</v>
      </c>
      <c r="AH53" s="48">
        <f t="shared" si="2"/>
        <v>28.2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2</v>
      </c>
      <c r="O54" s="65">
        <v>4</v>
      </c>
      <c r="P54" s="65">
        <v>5</v>
      </c>
      <c r="Q54" s="65">
        <v>8</v>
      </c>
      <c r="R54" s="45">
        <v>13</v>
      </c>
      <c r="S54" s="45">
        <v>13</v>
      </c>
      <c r="T54" s="45">
        <v>13</v>
      </c>
      <c r="U54" s="45">
        <v>13</v>
      </c>
      <c r="V54" s="45">
        <v>13</v>
      </c>
      <c r="W54" s="45">
        <v>13</v>
      </c>
      <c r="X54" s="45">
        <v>13</v>
      </c>
      <c r="Y54" s="45">
        <v>13</v>
      </c>
      <c r="Z54" s="45">
        <v>13</v>
      </c>
      <c r="AA54" s="45">
        <v>13</v>
      </c>
      <c r="AB54" s="45">
        <v>13</v>
      </c>
      <c r="AC54" s="45">
        <v>13</v>
      </c>
      <c r="AD54" s="45">
        <v>13</v>
      </c>
      <c r="AE54" s="45">
        <v>13</v>
      </c>
      <c r="AF54" s="45">
        <v>13</v>
      </c>
      <c r="AG54" s="55">
        <v>25</v>
      </c>
      <c r="AH54" s="48">
        <f t="shared" si="2"/>
        <v>13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</v>
      </c>
      <c r="C55" s="65">
        <v>17.3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17.3</v>
      </c>
      <c r="N55" s="65">
        <v>17.3</v>
      </c>
      <c r="O55" s="65">
        <v>17.3</v>
      </c>
      <c r="P55" s="65">
        <v>17.3</v>
      </c>
      <c r="Q55" s="65">
        <v>17.3</v>
      </c>
      <c r="R55" s="45">
        <v>17.3</v>
      </c>
      <c r="S55" s="45">
        <v>17.3</v>
      </c>
      <c r="T55" s="45">
        <v>17.3</v>
      </c>
      <c r="U55" s="45">
        <v>17.3</v>
      </c>
      <c r="V55" s="45">
        <v>17.3</v>
      </c>
      <c r="W55" s="45">
        <v>17.3</v>
      </c>
      <c r="X55" s="45">
        <v>17.3</v>
      </c>
      <c r="Y55" s="45">
        <v>17.3</v>
      </c>
      <c r="Z55" s="45">
        <v>17.3</v>
      </c>
      <c r="AA55" s="45">
        <v>17.3</v>
      </c>
      <c r="AB55" s="45">
        <v>17.3</v>
      </c>
      <c r="AC55" s="45">
        <v>17.3</v>
      </c>
      <c r="AD55" s="45">
        <v>17.3</v>
      </c>
      <c r="AE55" s="45">
        <v>17.3</v>
      </c>
      <c r="AF55" s="45">
        <v>17.3</v>
      </c>
      <c r="AG55" s="55">
        <v>24</v>
      </c>
      <c r="AH55" s="48">
        <f t="shared" si="2"/>
        <v>17.3</v>
      </c>
      <c r="AI55" s="49">
        <f t="shared" si="3"/>
        <v>17.3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14.1</v>
      </c>
      <c r="C57" s="65">
        <v>14.1</v>
      </c>
      <c r="D57" s="65">
        <v>14.1</v>
      </c>
      <c r="E57" s="65">
        <v>14.1</v>
      </c>
      <c r="F57" s="65">
        <v>14.1</v>
      </c>
      <c r="G57" s="65">
        <v>14.1</v>
      </c>
      <c r="H57" s="65">
        <v>14.1</v>
      </c>
      <c r="I57" s="65">
        <v>14.1</v>
      </c>
      <c r="J57" s="65">
        <v>14.1</v>
      </c>
      <c r="K57" s="65">
        <v>14.1</v>
      </c>
      <c r="L57" s="65">
        <v>14.1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15.2</v>
      </c>
      <c r="S57" s="65">
        <v>15.2</v>
      </c>
      <c r="T57" s="65">
        <v>15.2</v>
      </c>
      <c r="U57" s="65">
        <v>14.6</v>
      </c>
      <c r="V57" s="65">
        <v>14.6</v>
      </c>
      <c r="W57" s="65">
        <v>14.6</v>
      </c>
      <c r="X57" s="65">
        <v>14.6</v>
      </c>
      <c r="Y57" s="65">
        <v>14.6</v>
      </c>
      <c r="Z57" s="65">
        <v>14.6</v>
      </c>
      <c r="AA57" s="65">
        <v>14.6</v>
      </c>
      <c r="AB57" s="65">
        <v>14.6</v>
      </c>
      <c r="AC57" s="65">
        <v>14.6</v>
      </c>
      <c r="AD57" s="65">
        <v>14.6</v>
      </c>
      <c r="AE57" s="65">
        <v>14.6</v>
      </c>
      <c r="AF57" s="65">
        <v>14.6</v>
      </c>
      <c r="AG57" s="55">
        <v>14.1</v>
      </c>
      <c r="AH57" s="48">
        <f t="shared" si="2"/>
        <v>15.2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7.6</v>
      </c>
      <c r="C58" s="65">
        <v>7.6</v>
      </c>
      <c r="D58" s="65">
        <v>7.6</v>
      </c>
      <c r="E58" s="65">
        <v>7.6</v>
      </c>
      <c r="F58" s="65">
        <v>7.6</v>
      </c>
      <c r="G58" s="65">
        <v>7.6</v>
      </c>
      <c r="H58" s="65">
        <v>7.6</v>
      </c>
      <c r="I58" s="65">
        <v>7.6</v>
      </c>
      <c r="J58" s="65">
        <v>7.6</v>
      </c>
      <c r="K58" s="65">
        <v>7.6</v>
      </c>
      <c r="L58" s="65">
        <v>7.6</v>
      </c>
      <c r="M58" s="65">
        <v>7.6</v>
      </c>
      <c r="N58" s="65">
        <v>7.6</v>
      </c>
      <c r="O58" s="65">
        <v>7.6</v>
      </c>
      <c r="P58" s="65">
        <v>7.6</v>
      </c>
      <c r="Q58" s="65">
        <v>7.6</v>
      </c>
      <c r="R58" s="65">
        <v>1.8</v>
      </c>
      <c r="S58" s="65">
        <v>5</v>
      </c>
      <c r="T58" s="65">
        <v>9.6</v>
      </c>
      <c r="U58" s="65">
        <v>8.3000000000000007</v>
      </c>
      <c r="V58" s="65">
        <v>8.3000000000000007</v>
      </c>
      <c r="W58" s="65">
        <v>8.3000000000000007</v>
      </c>
      <c r="X58" s="65">
        <v>8.3000000000000007</v>
      </c>
      <c r="Y58" s="65">
        <v>8.3000000000000007</v>
      </c>
      <c r="Z58" s="65">
        <v>8.3000000000000007</v>
      </c>
      <c r="AA58" s="65">
        <v>8.3000000000000007</v>
      </c>
      <c r="AB58" s="65">
        <v>8.3000000000000007</v>
      </c>
      <c r="AC58" s="65">
        <v>8.3000000000000007</v>
      </c>
      <c r="AD58" s="65">
        <v>8.3000000000000007</v>
      </c>
      <c r="AE58" s="65">
        <v>8.3000000000000007</v>
      </c>
      <c r="AF58" s="65">
        <v>8.3000000000000007</v>
      </c>
      <c r="AG58" s="55">
        <v>14</v>
      </c>
      <c r="AH58" s="48">
        <f t="shared" si="2"/>
        <v>9.6</v>
      </c>
      <c r="AI58" s="49">
        <f t="shared" si="3"/>
        <v>1.8</v>
      </c>
      <c r="AK58" s="50"/>
    </row>
    <row r="59" spans="1:41" x14ac:dyDescent="0.25">
      <c r="A59" s="54" t="s">
        <v>63</v>
      </c>
      <c r="B59" s="65">
        <v>5.9</v>
      </c>
      <c r="C59" s="65">
        <v>5.9</v>
      </c>
      <c r="D59" s="65">
        <v>5.9</v>
      </c>
      <c r="E59" s="65">
        <v>5.9</v>
      </c>
      <c r="F59" s="65">
        <v>5.9</v>
      </c>
      <c r="G59" s="65">
        <v>5.9</v>
      </c>
      <c r="H59" s="65">
        <v>5.9</v>
      </c>
      <c r="I59" s="65">
        <v>5.9</v>
      </c>
      <c r="J59" s="65">
        <v>5.9</v>
      </c>
      <c r="K59" s="65">
        <v>5.9</v>
      </c>
      <c r="L59" s="65">
        <v>5.9</v>
      </c>
      <c r="M59" s="65">
        <v>5.9</v>
      </c>
      <c r="N59" s="65">
        <v>5.9</v>
      </c>
      <c r="O59" s="65">
        <v>5.9</v>
      </c>
      <c r="P59" s="65">
        <v>5.9</v>
      </c>
      <c r="Q59" s="65">
        <v>5.9</v>
      </c>
      <c r="R59" s="65">
        <v>7.2</v>
      </c>
      <c r="S59" s="65">
        <v>7.2</v>
      </c>
      <c r="T59" s="65">
        <v>7.2</v>
      </c>
      <c r="U59" s="65">
        <v>7.2</v>
      </c>
      <c r="V59" s="65">
        <v>7.2</v>
      </c>
      <c r="W59" s="65">
        <v>7.2</v>
      </c>
      <c r="X59" s="65">
        <v>7.2</v>
      </c>
      <c r="Y59" s="65">
        <v>7.2</v>
      </c>
      <c r="Z59" s="65">
        <v>7.2</v>
      </c>
      <c r="AA59" s="65">
        <v>7.2</v>
      </c>
      <c r="AB59" s="65">
        <v>7.2</v>
      </c>
      <c r="AC59" s="65">
        <v>7.2</v>
      </c>
      <c r="AD59" s="65">
        <v>7.2</v>
      </c>
      <c r="AE59" s="65">
        <v>7.2</v>
      </c>
      <c r="AF59" s="65">
        <v>7.2</v>
      </c>
      <c r="AG59" s="55">
        <v>10.050000000000001</v>
      </c>
      <c r="AH59" s="48">
        <f t="shared" si="2"/>
        <v>7.2</v>
      </c>
      <c r="AI59" s="49">
        <f t="shared" si="3"/>
        <v>5.9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12">SUM(B49:B61)</f>
        <v>282.84000000000009</v>
      </c>
      <c r="C62" s="61">
        <f t="shared" si="12"/>
        <v>272.84000000000003</v>
      </c>
      <c r="D62" s="61">
        <f t="shared" si="12"/>
        <v>270.44000000000005</v>
      </c>
      <c r="E62" s="61">
        <f t="shared" si="12"/>
        <v>250.54</v>
      </c>
      <c r="F62" s="61">
        <f t="shared" si="12"/>
        <v>263.54000000000002</v>
      </c>
      <c r="G62" s="61">
        <f t="shared" si="12"/>
        <v>279.14000000000004</v>
      </c>
      <c r="H62" s="61">
        <f t="shared" si="12"/>
        <v>290.54000000000008</v>
      </c>
      <c r="I62" s="61">
        <f t="shared" si="12"/>
        <v>329.44000000000005</v>
      </c>
      <c r="J62" s="61">
        <f t="shared" si="12"/>
        <v>383.74000000000007</v>
      </c>
      <c r="K62" s="61">
        <f t="shared" si="12"/>
        <v>386.44</v>
      </c>
      <c r="L62" s="61">
        <f t="shared" si="12"/>
        <v>422.44000000000005</v>
      </c>
      <c r="M62" s="61">
        <f t="shared" si="12"/>
        <v>422.54000000000008</v>
      </c>
      <c r="N62" s="61">
        <f t="shared" si="12"/>
        <v>424.54000000000008</v>
      </c>
      <c r="O62" s="61">
        <f t="shared" ref="O62:P62" si="13">SUM(O49:O61)</f>
        <v>426.54000000000008</v>
      </c>
      <c r="P62" s="61">
        <f t="shared" si="13"/>
        <v>427.54000000000008</v>
      </c>
      <c r="Q62" s="61">
        <f t="shared" ref="Q62" si="14">SUM(Q49:Q61)</f>
        <v>300.84000000000009</v>
      </c>
      <c r="R62" s="61">
        <f t="shared" si="12"/>
        <v>357.24000000000007</v>
      </c>
      <c r="S62" s="61">
        <f t="shared" si="12"/>
        <v>360.44000000000005</v>
      </c>
      <c r="T62" s="61">
        <f t="shared" si="12"/>
        <v>287.14000000000004</v>
      </c>
      <c r="U62" s="61">
        <f t="shared" si="12"/>
        <v>278.14000000000004</v>
      </c>
      <c r="V62" s="61">
        <f t="shared" si="12"/>
        <v>435.34000000000003</v>
      </c>
      <c r="W62" s="61">
        <f>SUM(W49:W61)</f>
        <v>435.34000000000003</v>
      </c>
      <c r="X62" s="61">
        <f t="shared" si="12"/>
        <v>435.34000000000003</v>
      </c>
      <c r="Y62" s="61">
        <f t="shared" si="12"/>
        <v>435.34000000000003</v>
      </c>
      <c r="Z62" s="61">
        <f t="shared" si="12"/>
        <v>435.34000000000003</v>
      </c>
      <c r="AA62" s="61">
        <f t="shared" si="12"/>
        <v>435.34000000000003</v>
      </c>
      <c r="AB62" s="61">
        <f t="shared" si="12"/>
        <v>434.54</v>
      </c>
      <c r="AC62" s="61">
        <f t="shared" si="12"/>
        <v>426.54</v>
      </c>
      <c r="AD62" s="61">
        <f t="shared" si="12"/>
        <v>413.74000000000007</v>
      </c>
      <c r="AE62" s="61">
        <f t="shared" si="12"/>
        <v>360.44000000000005</v>
      </c>
      <c r="AF62" s="61">
        <f t="shared" si="12"/>
        <v>278.94000000000005</v>
      </c>
      <c r="AG62" s="62">
        <f t="shared" si="12"/>
        <v>489.91</v>
      </c>
      <c r="AH62" s="48">
        <f t="shared" si="2"/>
        <v>435.34000000000003</v>
      </c>
      <c r="AI62" s="49">
        <f t="shared" si="3"/>
        <v>250.54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58.3</v>
      </c>
      <c r="X63" s="45">
        <v>58.3</v>
      </c>
      <c r="Y63" s="45">
        <v>46.6</v>
      </c>
      <c r="Z63" s="45">
        <v>45</v>
      </c>
      <c r="AA63" s="45">
        <v>40</v>
      </c>
      <c r="AB63" s="45">
        <v>39.799999999999997</v>
      </c>
      <c r="AC63" s="45">
        <v>19.8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58.3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3.9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27.7</v>
      </c>
      <c r="X64" s="65">
        <v>27.4</v>
      </c>
      <c r="Y64" s="65">
        <v>22.8</v>
      </c>
      <c r="Z64" s="65">
        <v>22.9</v>
      </c>
      <c r="AA64" s="65">
        <v>16.8</v>
      </c>
      <c r="AB64" s="65">
        <v>17.2</v>
      </c>
      <c r="AC64" s="65">
        <v>10.199999999999999</v>
      </c>
      <c r="AD64" s="65">
        <v>4</v>
      </c>
      <c r="AE64" s="65">
        <v>0</v>
      </c>
      <c r="AF64" s="65">
        <v>0</v>
      </c>
      <c r="AG64" s="55">
        <v>32</v>
      </c>
      <c r="AH64" s="48">
        <f t="shared" si="2"/>
        <v>27.7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1.4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10</v>
      </c>
      <c r="X65" s="67">
        <v>10</v>
      </c>
      <c r="Y65" s="67">
        <v>8.3000000000000007</v>
      </c>
      <c r="Z65" s="67">
        <v>8.3000000000000007</v>
      </c>
      <c r="AA65" s="67">
        <v>6.1</v>
      </c>
      <c r="AB65" s="67">
        <v>6.3</v>
      </c>
      <c r="AC65" s="67">
        <v>3.7</v>
      </c>
      <c r="AD65" s="67">
        <v>1.5</v>
      </c>
      <c r="AE65" s="67">
        <v>0</v>
      </c>
      <c r="AF65" s="67">
        <v>0</v>
      </c>
      <c r="AG65" s="68">
        <v>14</v>
      </c>
      <c r="AH65" s="48">
        <f t="shared" si="2"/>
        <v>10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15">SUM(B63:B65)</f>
        <v>0</v>
      </c>
      <c r="C66" s="61">
        <f t="shared" si="15"/>
        <v>0</v>
      </c>
      <c r="D66" s="61">
        <f t="shared" si="15"/>
        <v>0</v>
      </c>
      <c r="E66" s="61">
        <f t="shared" si="15"/>
        <v>0</v>
      </c>
      <c r="F66" s="61">
        <f t="shared" si="15"/>
        <v>0</v>
      </c>
      <c r="G66" s="61">
        <f t="shared" si="15"/>
        <v>0</v>
      </c>
      <c r="H66" s="61">
        <f t="shared" si="15"/>
        <v>0</v>
      </c>
      <c r="I66" s="61">
        <f t="shared" si="15"/>
        <v>5.3</v>
      </c>
      <c r="J66" s="61">
        <f t="shared" si="15"/>
        <v>0</v>
      </c>
      <c r="K66" s="61">
        <f t="shared" si="15"/>
        <v>0</v>
      </c>
      <c r="L66" s="61">
        <f t="shared" si="15"/>
        <v>0</v>
      </c>
      <c r="M66" s="61">
        <f t="shared" si="15"/>
        <v>0</v>
      </c>
      <c r="N66" s="61">
        <f t="shared" si="15"/>
        <v>0</v>
      </c>
      <c r="O66" s="61">
        <f t="shared" ref="O66:P66" si="16">SUM(O63:O65)</f>
        <v>0</v>
      </c>
      <c r="P66" s="61">
        <f t="shared" si="16"/>
        <v>0</v>
      </c>
      <c r="Q66" s="61">
        <f t="shared" ref="Q66" si="17">SUM(Q63:Q65)</f>
        <v>0</v>
      </c>
      <c r="R66" s="61">
        <f t="shared" si="15"/>
        <v>0</v>
      </c>
      <c r="S66" s="61">
        <f t="shared" si="15"/>
        <v>0</v>
      </c>
      <c r="T66" s="61">
        <f t="shared" si="15"/>
        <v>0</v>
      </c>
      <c r="U66" s="61">
        <f t="shared" si="15"/>
        <v>0</v>
      </c>
      <c r="V66" s="61">
        <f t="shared" si="15"/>
        <v>0</v>
      </c>
      <c r="W66" s="61">
        <f t="shared" si="15"/>
        <v>96</v>
      </c>
      <c r="X66" s="61">
        <f t="shared" si="15"/>
        <v>95.699999999999989</v>
      </c>
      <c r="Y66" s="61">
        <f t="shared" si="15"/>
        <v>77.7</v>
      </c>
      <c r="Z66" s="61">
        <f t="shared" si="15"/>
        <v>76.2</v>
      </c>
      <c r="AA66" s="61">
        <f t="shared" si="15"/>
        <v>62.9</v>
      </c>
      <c r="AB66" s="61">
        <f t="shared" si="15"/>
        <v>63.3</v>
      </c>
      <c r="AC66" s="61">
        <f t="shared" si="15"/>
        <v>33.700000000000003</v>
      </c>
      <c r="AD66" s="61">
        <f t="shared" si="15"/>
        <v>5.5</v>
      </c>
      <c r="AE66" s="61">
        <f t="shared" si="15"/>
        <v>0</v>
      </c>
      <c r="AF66" s="61">
        <f t="shared" si="15"/>
        <v>0</v>
      </c>
      <c r="AG66" s="62">
        <f t="shared" si="15"/>
        <v>106</v>
      </c>
      <c r="AH66" s="48">
        <f t="shared" si="2"/>
        <v>96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0</v>
      </c>
      <c r="C67" s="45">
        <v>16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22.1</v>
      </c>
      <c r="K67" s="45">
        <v>24.1</v>
      </c>
      <c r="L67" s="45">
        <v>15</v>
      </c>
      <c r="M67" s="45">
        <v>20.6</v>
      </c>
      <c r="N67" s="45">
        <v>19.2</v>
      </c>
      <c r="O67" s="45">
        <v>15</v>
      </c>
      <c r="P67" s="45">
        <v>13</v>
      </c>
      <c r="Q67" s="45">
        <v>13</v>
      </c>
      <c r="R67" s="45">
        <v>18.399999999999999</v>
      </c>
      <c r="S67" s="45">
        <v>20.2</v>
      </c>
      <c r="T67" s="45">
        <v>17.2</v>
      </c>
      <c r="U67" s="45">
        <v>16</v>
      </c>
      <c r="V67" s="45">
        <v>17</v>
      </c>
      <c r="W67" s="45">
        <v>26.6</v>
      </c>
      <c r="X67" s="45">
        <v>17</v>
      </c>
      <c r="Y67" s="45">
        <v>17.2</v>
      </c>
      <c r="Z67" s="45">
        <v>15.3</v>
      </c>
      <c r="AA67" s="45">
        <v>14.1</v>
      </c>
      <c r="AB67" s="45">
        <v>11.1</v>
      </c>
      <c r="AC67" s="45">
        <v>7.6</v>
      </c>
      <c r="AD67" s="45">
        <v>15.5</v>
      </c>
      <c r="AE67" s="45">
        <v>12</v>
      </c>
      <c r="AF67" s="45">
        <v>9</v>
      </c>
      <c r="AG67" s="52"/>
      <c r="AH67" s="48">
        <f t="shared" si="2"/>
        <v>26.6</v>
      </c>
      <c r="AI67" s="49">
        <f t="shared" si="3"/>
        <v>0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-9</v>
      </c>
      <c r="C69" s="65">
        <v>-4</v>
      </c>
      <c r="D69" s="65">
        <v>-4.5</v>
      </c>
      <c r="E69" s="65">
        <v>-6</v>
      </c>
      <c r="F69" s="65">
        <v>0</v>
      </c>
      <c r="G69" s="65">
        <v>-6.9</v>
      </c>
      <c r="H69" s="65">
        <v>1.1000000000000001</v>
      </c>
      <c r="I69" s="65">
        <v>-2.7</v>
      </c>
      <c r="J69" s="65">
        <v>-62</v>
      </c>
      <c r="K69" s="65">
        <v>-115</v>
      </c>
      <c r="L69" s="65">
        <v>-129.9</v>
      </c>
      <c r="M69" s="65">
        <v>-180</v>
      </c>
      <c r="N69" s="65">
        <v>-170</v>
      </c>
      <c r="O69" s="65">
        <v>0</v>
      </c>
      <c r="P69" s="65">
        <v>-77</v>
      </c>
      <c r="Q69" s="65">
        <v>-77</v>
      </c>
      <c r="R69" s="65">
        <v>-78</v>
      </c>
      <c r="S69" s="65">
        <v>-78</v>
      </c>
      <c r="T69" s="65">
        <v>104.5</v>
      </c>
      <c r="U69" s="65">
        <v>96</v>
      </c>
      <c r="V69" s="65">
        <v>-1.8</v>
      </c>
      <c r="W69" s="65">
        <v>-100</v>
      </c>
      <c r="X69" s="65">
        <v>-152</v>
      </c>
      <c r="Y69" s="65">
        <v>-151.6</v>
      </c>
      <c r="Z69" s="65">
        <v>-154.81</v>
      </c>
      <c r="AA69" s="65">
        <v>-149.5</v>
      </c>
      <c r="AB69" s="65">
        <v>-155</v>
      </c>
      <c r="AC69" s="65">
        <v>-156</v>
      </c>
      <c r="AD69" s="65">
        <v>-150</v>
      </c>
      <c r="AE69" s="65">
        <v>0</v>
      </c>
      <c r="AF69" s="65">
        <v>0</v>
      </c>
      <c r="AG69" s="75"/>
      <c r="AH69" s="48">
        <f t="shared" si="2"/>
        <v>104.5</v>
      </c>
      <c r="AI69" s="49">
        <f t="shared" si="3"/>
        <v>-180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  <c r="Z72" s="76">
        <v>0</v>
      </c>
      <c r="AA72" s="76">
        <v>0</v>
      </c>
      <c r="AB72" s="76">
        <v>0</v>
      </c>
      <c r="AC72" s="76">
        <v>0</v>
      </c>
      <c r="AD72" s="76">
        <v>0</v>
      </c>
      <c r="AE72" s="76">
        <v>0</v>
      </c>
      <c r="AF72" s="76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6">
        <v>0</v>
      </c>
      <c r="S77" s="76">
        <v>0</v>
      </c>
      <c r="T77" s="76">
        <v>0</v>
      </c>
      <c r="U77" s="76">
        <v>0</v>
      </c>
      <c r="V77" s="76">
        <v>0</v>
      </c>
      <c r="W77" s="76">
        <v>0</v>
      </c>
      <c r="X77" s="76">
        <v>0</v>
      </c>
      <c r="Y77" s="76">
        <v>0</v>
      </c>
      <c r="Z77" s="76">
        <v>0</v>
      </c>
      <c r="AA77" s="76">
        <v>0</v>
      </c>
      <c r="AB77" s="76">
        <v>0</v>
      </c>
      <c r="AC77" s="76">
        <v>0</v>
      </c>
      <c r="AD77" s="76">
        <v>0</v>
      </c>
      <c r="AE77" s="76">
        <v>0</v>
      </c>
      <c r="AF77" s="76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18">SUMIF(B67:B77,"&gt;0")</f>
        <v>0</v>
      </c>
      <c r="C78" s="61">
        <f t="shared" si="18"/>
        <v>16</v>
      </c>
      <c r="D78" s="61">
        <f t="shared" si="18"/>
        <v>0</v>
      </c>
      <c r="E78" s="61">
        <f t="shared" si="18"/>
        <v>0</v>
      </c>
      <c r="F78" s="61">
        <f t="shared" si="18"/>
        <v>0</v>
      </c>
      <c r="G78" s="61">
        <f t="shared" si="18"/>
        <v>0</v>
      </c>
      <c r="H78" s="61">
        <f t="shared" si="18"/>
        <v>1.1000000000000001</v>
      </c>
      <c r="I78" s="61">
        <f t="shared" si="18"/>
        <v>0</v>
      </c>
      <c r="J78" s="61">
        <f t="shared" si="18"/>
        <v>22.1</v>
      </c>
      <c r="K78" s="61">
        <f t="shared" si="18"/>
        <v>24.1</v>
      </c>
      <c r="L78" s="61">
        <f t="shared" si="18"/>
        <v>15</v>
      </c>
      <c r="M78" s="61">
        <f t="shared" si="18"/>
        <v>20.6</v>
      </c>
      <c r="N78" s="61">
        <f t="shared" si="18"/>
        <v>19.2</v>
      </c>
      <c r="O78" s="61">
        <f t="shared" ref="O78:P78" si="19">SUMIF(O67:O77,"&gt;0")</f>
        <v>15</v>
      </c>
      <c r="P78" s="61">
        <f t="shared" si="19"/>
        <v>13</v>
      </c>
      <c r="Q78" s="61">
        <f t="shared" ref="Q78" si="20">SUMIF(Q67:Q77,"&gt;0")</f>
        <v>13</v>
      </c>
      <c r="R78" s="61">
        <f t="shared" si="18"/>
        <v>18.399999999999999</v>
      </c>
      <c r="S78" s="61">
        <f t="shared" si="18"/>
        <v>20.2</v>
      </c>
      <c r="T78" s="61">
        <f t="shared" si="18"/>
        <v>121.7</v>
      </c>
      <c r="U78" s="61">
        <f t="shared" si="18"/>
        <v>112</v>
      </c>
      <c r="V78" s="61">
        <f t="shared" si="18"/>
        <v>17</v>
      </c>
      <c r="W78" s="61">
        <f t="shared" si="18"/>
        <v>26.6</v>
      </c>
      <c r="X78" s="61">
        <f t="shared" si="18"/>
        <v>17</v>
      </c>
      <c r="Y78" s="61">
        <f t="shared" si="18"/>
        <v>17.2</v>
      </c>
      <c r="Z78" s="61">
        <f t="shared" si="18"/>
        <v>15.3</v>
      </c>
      <c r="AA78" s="61">
        <f t="shared" si="18"/>
        <v>14.1</v>
      </c>
      <c r="AB78" s="61">
        <f t="shared" si="18"/>
        <v>11.1</v>
      </c>
      <c r="AC78" s="61">
        <f t="shared" si="18"/>
        <v>7.6</v>
      </c>
      <c r="AD78" s="61">
        <f t="shared" si="18"/>
        <v>15.5</v>
      </c>
      <c r="AE78" s="61">
        <f t="shared" si="18"/>
        <v>12</v>
      </c>
      <c r="AF78" s="61">
        <f t="shared" si="18"/>
        <v>9</v>
      </c>
      <c r="AG78" s="81">
        <f>SUM(AG67:AG77)</f>
        <v>0</v>
      </c>
      <c r="AH78" s="48">
        <f t="shared" si="2"/>
        <v>121.7</v>
      </c>
      <c r="AI78" s="49">
        <f t="shared" si="3"/>
        <v>0</v>
      </c>
      <c r="AK78" s="50"/>
    </row>
    <row r="79" spans="1:37" x14ac:dyDescent="0.25">
      <c r="A79" s="44" t="s">
        <v>83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ref="AH80:AH113" si="21">MAX(B80:AF80)</f>
        <v>0</v>
      </c>
      <c r="AI80" s="49">
        <f t="shared" ref="AI80:AI113" si="22">MIN(B80:AF80)</f>
        <v>0</v>
      </c>
      <c r="AK80" s="50"/>
    </row>
    <row r="81" spans="1:37" ht="15.75" thickBot="1" x14ac:dyDescent="0.3">
      <c r="A81" s="78" t="s">
        <v>85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21"/>
        <v>0</v>
      </c>
      <c r="AI81" s="49">
        <f t="shared" si="22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21"/>
        <v>0</v>
      </c>
      <c r="AI82" s="49">
        <f t="shared" si="22"/>
        <v>0</v>
      </c>
    </row>
    <row r="83" spans="1:37" ht="15.75" thickBot="1" x14ac:dyDescent="0.3">
      <c r="A83" s="74" t="s">
        <v>87</v>
      </c>
      <c r="B83" s="83">
        <f t="shared" ref="B83:AG83" si="23">B44+B48+B66+B62+B78+B82</f>
        <v>978.94</v>
      </c>
      <c r="C83" s="83">
        <f t="shared" si="23"/>
        <v>980.44</v>
      </c>
      <c r="D83" s="83">
        <f t="shared" si="23"/>
        <v>962.04000000000008</v>
      </c>
      <c r="E83" s="83">
        <f t="shared" si="23"/>
        <v>942.14</v>
      </c>
      <c r="F83" s="83">
        <f t="shared" si="23"/>
        <v>945.24</v>
      </c>
      <c r="G83" s="83">
        <f t="shared" si="23"/>
        <v>1005.8400000000001</v>
      </c>
      <c r="H83" s="83">
        <f t="shared" si="23"/>
        <v>1048.3400000000001</v>
      </c>
      <c r="I83" s="83">
        <f t="shared" si="23"/>
        <v>1101.54</v>
      </c>
      <c r="J83" s="83">
        <f t="shared" si="23"/>
        <v>1261.24</v>
      </c>
      <c r="K83" s="83">
        <f t="shared" si="23"/>
        <v>1425.9399999999998</v>
      </c>
      <c r="L83" s="83">
        <f t="shared" si="23"/>
        <v>1452.8400000000001</v>
      </c>
      <c r="M83" s="83">
        <f t="shared" si="23"/>
        <v>1495.7399999999998</v>
      </c>
      <c r="N83" s="83">
        <f t="shared" si="23"/>
        <v>1496.34</v>
      </c>
      <c r="O83" s="83">
        <f t="shared" ref="O83:P83" si="24">O44+O48+O66+O62+O78+O82</f>
        <v>1264.1400000000001</v>
      </c>
      <c r="P83" s="83">
        <f t="shared" si="24"/>
        <v>1303.6400000000001</v>
      </c>
      <c r="Q83" s="83">
        <f t="shared" ref="Q83" si="25">Q44+Q48+Q66+Q62+Q78+Q82</f>
        <v>1168.94</v>
      </c>
      <c r="R83" s="83">
        <f t="shared" si="23"/>
        <v>1186.5400000000002</v>
      </c>
      <c r="S83" s="83">
        <f t="shared" si="23"/>
        <v>1146.5400000000002</v>
      </c>
      <c r="T83" s="83">
        <f t="shared" si="23"/>
        <v>1062.74</v>
      </c>
      <c r="U83" s="83">
        <f t="shared" si="23"/>
        <v>1046.04</v>
      </c>
      <c r="V83" s="83">
        <f t="shared" si="23"/>
        <v>1181.24</v>
      </c>
      <c r="W83" s="83">
        <f t="shared" si="23"/>
        <v>1546.8400000000001</v>
      </c>
      <c r="X83" s="83">
        <f t="shared" si="23"/>
        <v>1567.94</v>
      </c>
      <c r="Y83" s="83">
        <f t="shared" si="23"/>
        <v>1515.14</v>
      </c>
      <c r="Z83" s="83">
        <f t="shared" si="23"/>
        <v>1491.74</v>
      </c>
      <c r="AA83" s="83">
        <f t="shared" si="23"/>
        <v>1437.2399999999998</v>
      </c>
      <c r="AB83" s="83">
        <f t="shared" si="23"/>
        <v>1360.9399999999998</v>
      </c>
      <c r="AC83" s="83">
        <f t="shared" si="23"/>
        <v>1324.84</v>
      </c>
      <c r="AD83" s="83">
        <f t="shared" si="23"/>
        <v>1271.1400000000001</v>
      </c>
      <c r="AE83" s="83">
        <f t="shared" si="23"/>
        <v>1038.8400000000001</v>
      </c>
      <c r="AF83" s="83">
        <f t="shared" si="23"/>
        <v>954.34</v>
      </c>
      <c r="AG83" s="62">
        <f t="shared" si="23"/>
        <v>2004.1900000000003</v>
      </c>
      <c r="AH83" s="48">
        <f t="shared" si="21"/>
        <v>1567.94</v>
      </c>
      <c r="AI83" s="49">
        <f t="shared" si="22"/>
        <v>942.14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21"/>
        <v>0</v>
      </c>
      <c r="AI84" s="49">
        <f t="shared" si="22"/>
        <v>0</v>
      </c>
    </row>
    <row r="85" spans="1:37" ht="15.75" thickBot="1" x14ac:dyDescent="0.3">
      <c r="A85" s="74" t="s">
        <v>89</v>
      </c>
      <c r="B85" s="83">
        <f t="shared" ref="B85:AF85" si="26">B83+B84</f>
        <v>978.94</v>
      </c>
      <c r="C85" s="83">
        <f t="shared" si="26"/>
        <v>980.44</v>
      </c>
      <c r="D85" s="83">
        <f t="shared" si="26"/>
        <v>962.04000000000008</v>
      </c>
      <c r="E85" s="83">
        <f t="shared" si="26"/>
        <v>942.14</v>
      </c>
      <c r="F85" s="83">
        <f t="shared" si="26"/>
        <v>945.24</v>
      </c>
      <c r="G85" s="83">
        <f t="shared" si="26"/>
        <v>1005.8400000000001</v>
      </c>
      <c r="H85" s="83">
        <f t="shared" si="26"/>
        <v>1048.3400000000001</v>
      </c>
      <c r="I85" s="83">
        <f t="shared" si="26"/>
        <v>1101.54</v>
      </c>
      <c r="J85" s="83">
        <f t="shared" si="26"/>
        <v>1261.24</v>
      </c>
      <c r="K85" s="83">
        <f t="shared" si="26"/>
        <v>1425.9399999999998</v>
      </c>
      <c r="L85" s="83">
        <f t="shared" si="26"/>
        <v>1452.8400000000001</v>
      </c>
      <c r="M85" s="83">
        <f t="shared" si="26"/>
        <v>1495.7399999999998</v>
      </c>
      <c r="N85" s="83">
        <f t="shared" si="26"/>
        <v>1496.34</v>
      </c>
      <c r="O85" s="83">
        <f t="shared" ref="O85:P85" si="27">O83+O84</f>
        <v>1264.1400000000001</v>
      </c>
      <c r="P85" s="83">
        <f t="shared" si="27"/>
        <v>1303.6400000000001</v>
      </c>
      <c r="Q85" s="83">
        <f t="shared" ref="Q85" si="28">Q83+Q84</f>
        <v>1168.94</v>
      </c>
      <c r="R85" s="83">
        <f t="shared" si="26"/>
        <v>1186.5400000000002</v>
      </c>
      <c r="S85" s="83">
        <f t="shared" si="26"/>
        <v>1146.5400000000002</v>
      </c>
      <c r="T85" s="83">
        <f t="shared" si="26"/>
        <v>1062.74</v>
      </c>
      <c r="U85" s="83">
        <f t="shared" si="26"/>
        <v>1046.04</v>
      </c>
      <c r="V85" s="83">
        <f t="shared" si="26"/>
        <v>1181.24</v>
      </c>
      <c r="W85" s="83">
        <f t="shared" si="26"/>
        <v>1546.8400000000001</v>
      </c>
      <c r="X85" s="83">
        <f t="shared" si="26"/>
        <v>1567.94</v>
      </c>
      <c r="Y85" s="83">
        <f t="shared" si="26"/>
        <v>1515.14</v>
      </c>
      <c r="Z85" s="83">
        <f t="shared" si="26"/>
        <v>1491.74</v>
      </c>
      <c r="AA85" s="83">
        <f t="shared" si="26"/>
        <v>1437.2399999999998</v>
      </c>
      <c r="AB85" s="83">
        <f t="shared" si="26"/>
        <v>1360.9399999999998</v>
      </c>
      <c r="AC85" s="83">
        <f t="shared" si="26"/>
        <v>1324.84</v>
      </c>
      <c r="AD85" s="83">
        <f t="shared" si="26"/>
        <v>1271.1400000000001</v>
      </c>
      <c r="AE85" s="83">
        <f t="shared" si="26"/>
        <v>1038.8400000000001</v>
      </c>
      <c r="AF85" s="83">
        <f t="shared" si="26"/>
        <v>954.34</v>
      </c>
      <c r="AG85" s="81">
        <f>AG82+AG78+AG66+AG62+AG44+AG84</f>
        <v>1466.0900000000001</v>
      </c>
      <c r="AH85" s="48">
        <f t="shared" si="21"/>
        <v>1567.94</v>
      </c>
      <c r="AI85" s="49">
        <f t="shared" si="22"/>
        <v>942.14</v>
      </c>
    </row>
    <row r="86" spans="1:37" ht="15.75" thickBot="1" x14ac:dyDescent="0.3">
      <c r="A86" s="74" t="s">
        <v>90</v>
      </c>
      <c r="B86" s="83">
        <f t="shared" ref="B86:AF86" si="29">B85-B93</f>
        <v>969.94</v>
      </c>
      <c r="C86" s="83">
        <f t="shared" si="29"/>
        <v>976.44</v>
      </c>
      <c r="D86" s="83">
        <f t="shared" si="29"/>
        <v>957.54000000000008</v>
      </c>
      <c r="E86" s="83">
        <f t="shared" si="29"/>
        <v>936.14</v>
      </c>
      <c r="F86" s="83">
        <f t="shared" si="29"/>
        <v>945.24</v>
      </c>
      <c r="G86" s="83">
        <f t="shared" si="29"/>
        <v>998.94000000000017</v>
      </c>
      <c r="H86" s="83">
        <f t="shared" si="29"/>
        <v>1048.3400000000001</v>
      </c>
      <c r="I86" s="83">
        <f t="shared" si="29"/>
        <v>1098.8399999999999</v>
      </c>
      <c r="J86" s="83">
        <f t="shared" si="29"/>
        <v>1199.24</v>
      </c>
      <c r="K86" s="83">
        <f t="shared" si="29"/>
        <v>1310.9399999999998</v>
      </c>
      <c r="L86" s="83">
        <f t="shared" si="29"/>
        <v>1322.94</v>
      </c>
      <c r="M86" s="83">
        <f t="shared" si="29"/>
        <v>1315.7399999999998</v>
      </c>
      <c r="N86" s="83">
        <f t="shared" si="29"/>
        <v>1326.34</v>
      </c>
      <c r="O86" s="83">
        <f t="shared" ref="O86:P86" si="30">O85-O93</f>
        <v>1264.1400000000001</v>
      </c>
      <c r="P86" s="83">
        <f t="shared" si="30"/>
        <v>1226.6400000000001</v>
      </c>
      <c r="Q86" s="83">
        <f t="shared" ref="Q86" si="31">Q85-Q93</f>
        <v>1091.94</v>
      </c>
      <c r="R86" s="83">
        <f t="shared" si="29"/>
        <v>1108.5400000000002</v>
      </c>
      <c r="S86" s="83">
        <f t="shared" si="29"/>
        <v>1068.5400000000002</v>
      </c>
      <c r="T86" s="83">
        <f t="shared" si="29"/>
        <v>1062.74</v>
      </c>
      <c r="U86" s="83">
        <f t="shared" si="29"/>
        <v>1046.04</v>
      </c>
      <c r="V86" s="83">
        <f t="shared" si="29"/>
        <v>1179.44</v>
      </c>
      <c r="W86" s="83">
        <f t="shared" si="29"/>
        <v>1446.8400000000001</v>
      </c>
      <c r="X86" s="83">
        <f t="shared" si="29"/>
        <v>1415.94</v>
      </c>
      <c r="Y86" s="83">
        <f t="shared" si="29"/>
        <v>1363.5400000000002</v>
      </c>
      <c r="Z86" s="83">
        <f t="shared" si="29"/>
        <v>1336.93</v>
      </c>
      <c r="AA86" s="83">
        <f t="shared" si="29"/>
        <v>1287.7399999999998</v>
      </c>
      <c r="AB86" s="83">
        <f t="shared" si="29"/>
        <v>1205.9399999999998</v>
      </c>
      <c r="AC86" s="83">
        <f t="shared" si="29"/>
        <v>1168.8399999999999</v>
      </c>
      <c r="AD86" s="83">
        <f t="shared" si="29"/>
        <v>1121.1400000000001</v>
      </c>
      <c r="AE86" s="83">
        <f t="shared" si="29"/>
        <v>1038.8400000000001</v>
      </c>
      <c r="AF86" s="83">
        <f t="shared" si="29"/>
        <v>954.34</v>
      </c>
      <c r="AG86" s="81"/>
      <c r="AH86" s="48">
        <f t="shared" si="21"/>
        <v>1446.8400000000001</v>
      </c>
      <c r="AI86" s="49">
        <f t="shared" si="22"/>
        <v>936.14</v>
      </c>
    </row>
    <row r="87" spans="1:37" x14ac:dyDescent="0.25">
      <c r="A87" s="44" t="s">
        <v>74</v>
      </c>
      <c r="B87" s="76">
        <f t="shared" ref="B87:AF87" si="32">IF(B70&lt;0,B70*-1,0)</f>
        <v>0</v>
      </c>
      <c r="C87" s="76">
        <f t="shared" si="32"/>
        <v>0</v>
      </c>
      <c r="D87" s="76">
        <f t="shared" si="32"/>
        <v>0</v>
      </c>
      <c r="E87" s="76">
        <f t="shared" si="32"/>
        <v>0</v>
      </c>
      <c r="F87" s="76">
        <f t="shared" si="32"/>
        <v>0</v>
      </c>
      <c r="G87" s="76">
        <f t="shared" si="32"/>
        <v>0</v>
      </c>
      <c r="H87" s="76">
        <f t="shared" si="32"/>
        <v>0</v>
      </c>
      <c r="I87" s="76">
        <f t="shared" si="32"/>
        <v>0</v>
      </c>
      <c r="J87" s="76">
        <f t="shared" si="32"/>
        <v>0</v>
      </c>
      <c r="K87" s="76">
        <f t="shared" si="32"/>
        <v>0</v>
      </c>
      <c r="L87" s="76">
        <f t="shared" si="32"/>
        <v>0</v>
      </c>
      <c r="M87" s="76">
        <f t="shared" si="32"/>
        <v>0</v>
      </c>
      <c r="N87" s="76">
        <f t="shared" si="32"/>
        <v>0</v>
      </c>
      <c r="O87" s="76">
        <f t="shared" ref="O87:P87" si="33">IF(O70&lt;0,O70*-1,0)</f>
        <v>0</v>
      </c>
      <c r="P87" s="76">
        <f t="shared" si="33"/>
        <v>0</v>
      </c>
      <c r="Q87" s="76">
        <f t="shared" ref="Q87" si="34">IF(Q70&lt;0,Q70*-1,0)</f>
        <v>0</v>
      </c>
      <c r="R87" s="76">
        <f t="shared" si="32"/>
        <v>0</v>
      </c>
      <c r="S87" s="76">
        <f t="shared" si="32"/>
        <v>0</v>
      </c>
      <c r="T87" s="76">
        <f t="shared" si="32"/>
        <v>0</v>
      </c>
      <c r="U87" s="76">
        <f t="shared" si="32"/>
        <v>0</v>
      </c>
      <c r="V87" s="76">
        <f t="shared" si="32"/>
        <v>0</v>
      </c>
      <c r="W87" s="76">
        <f t="shared" si="32"/>
        <v>0</v>
      </c>
      <c r="X87" s="76">
        <f t="shared" si="32"/>
        <v>0</v>
      </c>
      <c r="Y87" s="76">
        <f t="shared" si="32"/>
        <v>0</v>
      </c>
      <c r="Z87" s="76">
        <f t="shared" si="32"/>
        <v>0</v>
      </c>
      <c r="AA87" s="76">
        <f t="shared" si="32"/>
        <v>0</v>
      </c>
      <c r="AB87" s="76">
        <f t="shared" si="32"/>
        <v>0</v>
      </c>
      <c r="AC87" s="76">
        <f t="shared" si="32"/>
        <v>0</v>
      </c>
      <c r="AD87" s="76">
        <f t="shared" si="32"/>
        <v>0</v>
      </c>
      <c r="AE87" s="76">
        <f t="shared" si="32"/>
        <v>0</v>
      </c>
      <c r="AF87" s="76">
        <f t="shared" si="32"/>
        <v>0</v>
      </c>
      <c r="AG87" s="52"/>
      <c r="AH87" s="48">
        <f t="shared" si="21"/>
        <v>0</v>
      </c>
      <c r="AI87" s="49">
        <f t="shared" si="22"/>
        <v>0</v>
      </c>
    </row>
    <row r="88" spans="1:37" x14ac:dyDescent="0.25">
      <c r="A88" s="54" t="s">
        <v>72</v>
      </c>
      <c r="B88" s="76">
        <f t="shared" ref="B88:AF88" si="35">IF(B68&lt;0,B68*-1,0)</f>
        <v>0</v>
      </c>
      <c r="C88" s="76">
        <f t="shared" si="35"/>
        <v>0</v>
      </c>
      <c r="D88" s="76">
        <f t="shared" si="35"/>
        <v>0</v>
      </c>
      <c r="E88" s="76">
        <f t="shared" si="35"/>
        <v>0</v>
      </c>
      <c r="F88" s="76">
        <f t="shared" si="35"/>
        <v>0</v>
      </c>
      <c r="G88" s="76">
        <f t="shared" si="35"/>
        <v>0</v>
      </c>
      <c r="H88" s="76">
        <f t="shared" si="35"/>
        <v>0</v>
      </c>
      <c r="I88" s="76">
        <f t="shared" si="35"/>
        <v>0</v>
      </c>
      <c r="J88" s="76">
        <f t="shared" si="35"/>
        <v>0</v>
      </c>
      <c r="K88" s="76">
        <f t="shared" si="35"/>
        <v>0</v>
      </c>
      <c r="L88" s="76">
        <f t="shared" si="35"/>
        <v>0</v>
      </c>
      <c r="M88" s="76">
        <f t="shared" si="35"/>
        <v>0</v>
      </c>
      <c r="N88" s="76">
        <f t="shared" si="35"/>
        <v>0</v>
      </c>
      <c r="O88" s="76">
        <f t="shared" ref="O88:P88" si="36">IF(O68&lt;0,O68*-1,0)</f>
        <v>0</v>
      </c>
      <c r="P88" s="76">
        <f t="shared" si="36"/>
        <v>0</v>
      </c>
      <c r="Q88" s="76">
        <f t="shared" ref="Q88" si="37">IF(Q68&lt;0,Q68*-1,0)</f>
        <v>0</v>
      </c>
      <c r="R88" s="76">
        <f t="shared" si="35"/>
        <v>0</v>
      </c>
      <c r="S88" s="76">
        <f t="shared" si="35"/>
        <v>0</v>
      </c>
      <c r="T88" s="76">
        <f t="shared" si="35"/>
        <v>0</v>
      </c>
      <c r="U88" s="76">
        <f t="shared" si="35"/>
        <v>0</v>
      </c>
      <c r="V88" s="76">
        <f t="shared" si="35"/>
        <v>0</v>
      </c>
      <c r="W88" s="76">
        <f t="shared" si="35"/>
        <v>0</v>
      </c>
      <c r="X88" s="76">
        <f t="shared" si="35"/>
        <v>0</v>
      </c>
      <c r="Y88" s="76">
        <f t="shared" si="35"/>
        <v>0</v>
      </c>
      <c r="Z88" s="76">
        <f t="shared" si="35"/>
        <v>0</v>
      </c>
      <c r="AA88" s="76">
        <f t="shared" si="35"/>
        <v>0</v>
      </c>
      <c r="AB88" s="76">
        <f t="shared" si="35"/>
        <v>0</v>
      </c>
      <c r="AC88" s="76">
        <f t="shared" si="35"/>
        <v>0</v>
      </c>
      <c r="AD88" s="76">
        <f t="shared" si="35"/>
        <v>0</v>
      </c>
      <c r="AE88" s="76">
        <f t="shared" si="35"/>
        <v>0</v>
      </c>
      <c r="AF88" s="76">
        <f t="shared" si="35"/>
        <v>0</v>
      </c>
      <c r="AG88" s="55"/>
      <c r="AH88" s="48">
        <f t="shared" si="21"/>
        <v>0</v>
      </c>
      <c r="AI88" s="49">
        <f t="shared" si="22"/>
        <v>0</v>
      </c>
    </row>
    <row r="89" spans="1:37" x14ac:dyDescent="0.25">
      <c r="A89" s="78" t="s">
        <v>91</v>
      </c>
      <c r="B89" s="76">
        <f t="shared" ref="B89:AF89" si="38">IF(B71&lt;0,B71*-1,0)</f>
        <v>0</v>
      </c>
      <c r="C89" s="76">
        <f t="shared" si="38"/>
        <v>0</v>
      </c>
      <c r="D89" s="76">
        <f t="shared" si="38"/>
        <v>0</v>
      </c>
      <c r="E89" s="76">
        <f t="shared" si="38"/>
        <v>0</v>
      </c>
      <c r="F89" s="76">
        <f t="shared" si="38"/>
        <v>0</v>
      </c>
      <c r="G89" s="76">
        <f t="shared" si="38"/>
        <v>0</v>
      </c>
      <c r="H89" s="76">
        <f t="shared" si="38"/>
        <v>0</v>
      </c>
      <c r="I89" s="76">
        <f t="shared" si="38"/>
        <v>0</v>
      </c>
      <c r="J89" s="76">
        <f t="shared" si="38"/>
        <v>0</v>
      </c>
      <c r="K89" s="76">
        <f t="shared" si="38"/>
        <v>0</v>
      </c>
      <c r="L89" s="76">
        <f t="shared" si="38"/>
        <v>0</v>
      </c>
      <c r="M89" s="76">
        <f t="shared" si="38"/>
        <v>0</v>
      </c>
      <c r="N89" s="76">
        <f t="shared" si="38"/>
        <v>0</v>
      </c>
      <c r="O89" s="76">
        <f t="shared" ref="O89:P89" si="39">IF(O71&lt;0,O71*-1,0)</f>
        <v>0</v>
      </c>
      <c r="P89" s="76">
        <f t="shared" si="39"/>
        <v>0</v>
      </c>
      <c r="Q89" s="76">
        <f t="shared" ref="Q89" si="40">IF(Q71&lt;0,Q71*-1,0)</f>
        <v>0</v>
      </c>
      <c r="R89" s="76">
        <f t="shared" si="38"/>
        <v>0</v>
      </c>
      <c r="S89" s="76">
        <f t="shared" si="38"/>
        <v>0</v>
      </c>
      <c r="T89" s="76">
        <f t="shared" si="38"/>
        <v>0</v>
      </c>
      <c r="U89" s="76">
        <f t="shared" si="38"/>
        <v>0</v>
      </c>
      <c r="V89" s="76">
        <f t="shared" si="38"/>
        <v>0</v>
      </c>
      <c r="W89" s="76">
        <f t="shared" si="38"/>
        <v>0</v>
      </c>
      <c r="X89" s="76">
        <f t="shared" si="38"/>
        <v>0</v>
      </c>
      <c r="Y89" s="76">
        <f t="shared" si="38"/>
        <v>0</v>
      </c>
      <c r="Z89" s="76">
        <f t="shared" si="38"/>
        <v>0</v>
      </c>
      <c r="AA89" s="76">
        <f t="shared" si="38"/>
        <v>0</v>
      </c>
      <c r="AB89" s="76">
        <f t="shared" si="38"/>
        <v>0</v>
      </c>
      <c r="AC89" s="76">
        <f t="shared" si="38"/>
        <v>0</v>
      </c>
      <c r="AD89" s="76">
        <f t="shared" si="38"/>
        <v>0</v>
      </c>
      <c r="AE89" s="76">
        <f t="shared" si="38"/>
        <v>0</v>
      </c>
      <c r="AF89" s="76">
        <f t="shared" si="38"/>
        <v>0</v>
      </c>
      <c r="AG89" s="86"/>
      <c r="AH89" s="48">
        <f t="shared" si="21"/>
        <v>0</v>
      </c>
      <c r="AI89" s="49">
        <f t="shared" si="22"/>
        <v>0</v>
      </c>
    </row>
    <row r="90" spans="1:37" x14ac:dyDescent="0.25">
      <c r="A90" s="78" t="s">
        <v>92</v>
      </c>
      <c r="B90" s="76">
        <f t="shared" ref="B90:AF90" si="41">IF(B69&lt;0,B69*-1,0)</f>
        <v>9</v>
      </c>
      <c r="C90" s="76">
        <f t="shared" si="41"/>
        <v>4</v>
      </c>
      <c r="D90" s="76">
        <f t="shared" si="41"/>
        <v>4.5</v>
      </c>
      <c r="E90" s="76">
        <f t="shared" si="41"/>
        <v>6</v>
      </c>
      <c r="F90" s="76">
        <f t="shared" si="41"/>
        <v>0</v>
      </c>
      <c r="G90" s="76">
        <f t="shared" si="41"/>
        <v>6.9</v>
      </c>
      <c r="H90" s="76">
        <f t="shared" si="41"/>
        <v>0</v>
      </c>
      <c r="I90" s="76">
        <f t="shared" si="41"/>
        <v>2.7</v>
      </c>
      <c r="J90" s="76">
        <f t="shared" si="41"/>
        <v>62</v>
      </c>
      <c r="K90" s="76">
        <f t="shared" si="41"/>
        <v>115</v>
      </c>
      <c r="L90" s="76">
        <f t="shared" si="41"/>
        <v>129.9</v>
      </c>
      <c r="M90" s="76">
        <f t="shared" si="41"/>
        <v>180</v>
      </c>
      <c r="N90" s="76">
        <f t="shared" si="41"/>
        <v>170</v>
      </c>
      <c r="O90" s="76">
        <f t="shared" ref="O90:P90" si="42">IF(O69&lt;0,O69*-1,0)</f>
        <v>0</v>
      </c>
      <c r="P90" s="76">
        <f t="shared" si="42"/>
        <v>77</v>
      </c>
      <c r="Q90" s="76">
        <f t="shared" ref="Q90" si="43">IF(Q69&lt;0,Q69*-1,0)</f>
        <v>77</v>
      </c>
      <c r="R90" s="76">
        <f t="shared" si="41"/>
        <v>78</v>
      </c>
      <c r="S90" s="76">
        <f t="shared" si="41"/>
        <v>78</v>
      </c>
      <c r="T90" s="76">
        <f t="shared" si="41"/>
        <v>0</v>
      </c>
      <c r="U90" s="76">
        <f t="shared" si="41"/>
        <v>0</v>
      </c>
      <c r="V90" s="76">
        <f t="shared" si="41"/>
        <v>1.8</v>
      </c>
      <c r="W90" s="76">
        <f t="shared" si="41"/>
        <v>100</v>
      </c>
      <c r="X90" s="76">
        <f t="shared" si="41"/>
        <v>152</v>
      </c>
      <c r="Y90" s="76">
        <f t="shared" si="41"/>
        <v>151.6</v>
      </c>
      <c r="Z90" s="76">
        <f t="shared" si="41"/>
        <v>154.81</v>
      </c>
      <c r="AA90" s="76">
        <f t="shared" si="41"/>
        <v>149.5</v>
      </c>
      <c r="AB90" s="76">
        <f t="shared" si="41"/>
        <v>155</v>
      </c>
      <c r="AC90" s="76">
        <f t="shared" si="41"/>
        <v>156</v>
      </c>
      <c r="AD90" s="76">
        <f t="shared" si="41"/>
        <v>150</v>
      </c>
      <c r="AE90" s="76">
        <f t="shared" si="41"/>
        <v>0</v>
      </c>
      <c r="AF90" s="76">
        <f t="shared" si="41"/>
        <v>0</v>
      </c>
      <c r="AG90" s="86"/>
      <c r="AH90" s="48">
        <f t="shared" si="21"/>
        <v>180</v>
      </c>
      <c r="AI90" s="49">
        <f t="shared" si="22"/>
        <v>0</v>
      </c>
    </row>
    <row r="91" spans="1:37" x14ac:dyDescent="0.25">
      <c r="A91" s="78" t="s">
        <v>71</v>
      </c>
      <c r="B91" s="76">
        <f t="shared" ref="B91:AF91" si="44">IF(B67&lt;0,B67*-1,0)</f>
        <v>0</v>
      </c>
      <c r="C91" s="76">
        <f t="shared" si="44"/>
        <v>0</v>
      </c>
      <c r="D91" s="76">
        <f t="shared" si="44"/>
        <v>0</v>
      </c>
      <c r="E91" s="76">
        <f t="shared" si="44"/>
        <v>0</v>
      </c>
      <c r="F91" s="76">
        <f t="shared" si="44"/>
        <v>0</v>
      </c>
      <c r="G91" s="76">
        <f t="shared" si="44"/>
        <v>0</v>
      </c>
      <c r="H91" s="76">
        <f t="shared" si="44"/>
        <v>0</v>
      </c>
      <c r="I91" s="76">
        <f t="shared" si="44"/>
        <v>0</v>
      </c>
      <c r="J91" s="76">
        <f t="shared" si="44"/>
        <v>0</v>
      </c>
      <c r="K91" s="76">
        <f t="shared" si="44"/>
        <v>0</v>
      </c>
      <c r="L91" s="76">
        <f t="shared" si="44"/>
        <v>0</v>
      </c>
      <c r="M91" s="76">
        <f t="shared" si="44"/>
        <v>0</v>
      </c>
      <c r="N91" s="76">
        <f t="shared" si="44"/>
        <v>0</v>
      </c>
      <c r="O91" s="76">
        <f t="shared" ref="O91:P91" si="45">IF(O67&lt;0,O67*-1,0)</f>
        <v>0</v>
      </c>
      <c r="P91" s="76">
        <f t="shared" si="45"/>
        <v>0</v>
      </c>
      <c r="Q91" s="76">
        <f t="shared" ref="Q91" si="46">IF(Q67&lt;0,Q67*-1,0)</f>
        <v>0</v>
      </c>
      <c r="R91" s="76">
        <f t="shared" si="44"/>
        <v>0</v>
      </c>
      <c r="S91" s="76">
        <f t="shared" si="44"/>
        <v>0</v>
      </c>
      <c r="T91" s="76">
        <f t="shared" si="44"/>
        <v>0</v>
      </c>
      <c r="U91" s="76">
        <f t="shared" si="44"/>
        <v>0</v>
      </c>
      <c r="V91" s="76">
        <f t="shared" si="44"/>
        <v>0</v>
      </c>
      <c r="W91" s="76">
        <f t="shared" si="44"/>
        <v>0</v>
      </c>
      <c r="X91" s="76">
        <f t="shared" si="44"/>
        <v>0</v>
      </c>
      <c r="Y91" s="76">
        <f t="shared" si="44"/>
        <v>0</v>
      </c>
      <c r="Z91" s="76">
        <f t="shared" si="44"/>
        <v>0</v>
      </c>
      <c r="AA91" s="76">
        <f t="shared" si="44"/>
        <v>0</v>
      </c>
      <c r="AB91" s="76">
        <f t="shared" si="44"/>
        <v>0</v>
      </c>
      <c r="AC91" s="76">
        <f t="shared" si="44"/>
        <v>0</v>
      </c>
      <c r="AD91" s="76">
        <f t="shared" si="44"/>
        <v>0</v>
      </c>
      <c r="AE91" s="76">
        <f t="shared" si="44"/>
        <v>0</v>
      </c>
      <c r="AF91" s="76">
        <f t="shared" si="44"/>
        <v>0</v>
      </c>
      <c r="AG91" s="86"/>
      <c r="AH91" s="48">
        <f t="shared" si="21"/>
        <v>0</v>
      </c>
      <c r="AI91" s="49">
        <f t="shared" si="22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21"/>
        <v>0</v>
      </c>
      <c r="AI92" s="49">
        <f t="shared" si="22"/>
        <v>0</v>
      </c>
    </row>
    <row r="93" spans="1:37" ht="15.75" thickBot="1" x14ac:dyDescent="0.3">
      <c r="A93" s="87" t="s">
        <v>94</v>
      </c>
      <c r="B93" s="61">
        <f t="shared" ref="B93:AF93" si="47">SUM(B87:B92)</f>
        <v>9</v>
      </c>
      <c r="C93" s="61">
        <f t="shared" si="47"/>
        <v>4</v>
      </c>
      <c r="D93" s="61">
        <f t="shared" si="47"/>
        <v>4.5</v>
      </c>
      <c r="E93" s="61">
        <f t="shared" si="47"/>
        <v>6</v>
      </c>
      <c r="F93" s="61">
        <f t="shared" si="47"/>
        <v>0</v>
      </c>
      <c r="G93" s="61">
        <f t="shared" si="47"/>
        <v>6.9</v>
      </c>
      <c r="H93" s="61">
        <f t="shared" si="47"/>
        <v>0</v>
      </c>
      <c r="I93" s="61">
        <f t="shared" si="47"/>
        <v>2.7</v>
      </c>
      <c r="J93" s="61">
        <f t="shared" si="47"/>
        <v>62</v>
      </c>
      <c r="K93" s="61">
        <f t="shared" si="47"/>
        <v>115</v>
      </c>
      <c r="L93" s="61">
        <f t="shared" si="47"/>
        <v>129.9</v>
      </c>
      <c r="M93" s="61">
        <f t="shared" si="47"/>
        <v>180</v>
      </c>
      <c r="N93" s="61">
        <f t="shared" si="47"/>
        <v>170</v>
      </c>
      <c r="O93" s="61">
        <f t="shared" ref="O93:P93" si="48">SUM(O87:O92)</f>
        <v>0</v>
      </c>
      <c r="P93" s="61">
        <f t="shared" si="48"/>
        <v>77</v>
      </c>
      <c r="Q93" s="61">
        <f t="shared" ref="Q93" si="49">SUM(Q87:Q92)</f>
        <v>77</v>
      </c>
      <c r="R93" s="61">
        <f t="shared" si="47"/>
        <v>78</v>
      </c>
      <c r="S93" s="61">
        <f t="shared" si="47"/>
        <v>78</v>
      </c>
      <c r="T93" s="61">
        <f t="shared" si="47"/>
        <v>0</v>
      </c>
      <c r="U93" s="61">
        <f t="shared" si="47"/>
        <v>0</v>
      </c>
      <c r="V93" s="61">
        <f t="shared" si="47"/>
        <v>1.8</v>
      </c>
      <c r="W93" s="61">
        <f t="shared" si="47"/>
        <v>100</v>
      </c>
      <c r="X93" s="61">
        <f t="shared" si="47"/>
        <v>152</v>
      </c>
      <c r="Y93" s="61">
        <f t="shared" si="47"/>
        <v>151.6</v>
      </c>
      <c r="Z93" s="61">
        <f t="shared" si="47"/>
        <v>154.81</v>
      </c>
      <c r="AA93" s="61">
        <f t="shared" si="47"/>
        <v>149.5</v>
      </c>
      <c r="AB93" s="61">
        <f t="shared" si="47"/>
        <v>155</v>
      </c>
      <c r="AC93" s="61">
        <f t="shared" si="47"/>
        <v>156</v>
      </c>
      <c r="AD93" s="61">
        <f t="shared" si="47"/>
        <v>150</v>
      </c>
      <c r="AE93" s="61">
        <f t="shared" si="47"/>
        <v>0</v>
      </c>
      <c r="AF93" s="61">
        <f t="shared" si="47"/>
        <v>0</v>
      </c>
      <c r="AG93" s="81"/>
      <c r="AH93" s="48">
        <f t="shared" si="21"/>
        <v>180</v>
      </c>
      <c r="AI93" s="49">
        <f t="shared" si="22"/>
        <v>0</v>
      </c>
      <c r="AK93" s="50"/>
    </row>
    <row r="94" spans="1:37" ht="15.75" thickBot="1" x14ac:dyDescent="0.3">
      <c r="A94" s="74" t="s">
        <v>95</v>
      </c>
      <c r="B94" s="61">
        <f t="shared" ref="B94:AF94" si="50">B78-B93</f>
        <v>-9</v>
      </c>
      <c r="C94" s="61">
        <f t="shared" si="50"/>
        <v>12</v>
      </c>
      <c r="D94" s="61">
        <f t="shared" si="50"/>
        <v>-4.5</v>
      </c>
      <c r="E94" s="61">
        <f t="shared" si="50"/>
        <v>-6</v>
      </c>
      <c r="F94" s="61">
        <f t="shared" si="50"/>
        <v>0</v>
      </c>
      <c r="G94" s="61">
        <f t="shared" si="50"/>
        <v>-6.9</v>
      </c>
      <c r="H94" s="61">
        <f t="shared" si="50"/>
        <v>1.1000000000000001</v>
      </c>
      <c r="I94" s="61">
        <f t="shared" si="50"/>
        <v>-2.7</v>
      </c>
      <c r="J94" s="61">
        <f t="shared" si="50"/>
        <v>-39.9</v>
      </c>
      <c r="K94" s="61">
        <f t="shared" si="50"/>
        <v>-90.9</v>
      </c>
      <c r="L94" s="61">
        <f t="shared" si="50"/>
        <v>-114.9</v>
      </c>
      <c r="M94" s="61">
        <f t="shared" si="50"/>
        <v>-159.4</v>
      </c>
      <c r="N94" s="61">
        <f t="shared" si="50"/>
        <v>-150.80000000000001</v>
      </c>
      <c r="O94" s="61">
        <f t="shared" ref="O94:P94" si="51">O78-O93</f>
        <v>15</v>
      </c>
      <c r="P94" s="61">
        <f t="shared" si="51"/>
        <v>-64</v>
      </c>
      <c r="Q94" s="61">
        <f t="shared" ref="Q94" si="52">Q78-Q93</f>
        <v>-64</v>
      </c>
      <c r="R94" s="61">
        <f t="shared" si="50"/>
        <v>-59.6</v>
      </c>
      <c r="S94" s="61">
        <f t="shared" si="50"/>
        <v>-57.8</v>
      </c>
      <c r="T94" s="61">
        <f t="shared" si="50"/>
        <v>121.7</v>
      </c>
      <c r="U94" s="61">
        <f t="shared" si="50"/>
        <v>112</v>
      </c>
      <c r="V94" s="61">
        <f t="shared" si="50"/>
        <v>15.2</v>
      </c>
      <c r="W94" s="61">
        <f t="shared" si="50"/>
        <v>-73.400000000000006</v>
      </c>
      <c r="X94" s="61">
        <f t="shared" si="50"/>
        <v>-135</v>
      </c>
      <c r="Y94" s="61">
        <f t="shared" si="50"/>
        <v>-134.4</v>
      </c>
      <c r="Z94" s="61">
        <f t="shared" si="50"/>
        <v>-139.51</v>
      </c>
      <c r="AA94" s="61">
        <f t="shared" si="50"/>
        <v>-135.4</v>
      </c>
      <c r="AB94" s="61">
        <f t="shared" si="50"/>
        <v>-143.9</v>
      </c>
      <c r="AC94" s="61">
        <f t="shared" si="50"/>
        <v>-148.4</v>
      </c>
      <c r="AD94" s="61">
        <f t="shared" si="50"/>
        <v>-134.5</v>
      </c>
      <c r="AE94" s="61">
        <f t="shared" si="50"/>
        <v>12</v>
      </c>
      <c r="AF94" s="61">
        <f t="shared" si="50"/>
        <v>9</v>
      </c>
      <c r="AG94" s="81"/>
      <c r="AH94" s="48">
        <f t="shared" si="21"/>
        <v>121.7</v>
      </c>
      <c r="AI94" s="49">
        <f t="shared" si="22"/>
        <v>-159.4</v>
      </c>
    </row>
    <row r="95" spans="1:37" x14ac:dyDescent="0.25">
      <c r="A95" s="88" t="s">
        <v>96</v>
      </c>
      <c r="B95" s="89">
        <v>50.030999999999999</v>
      </c>
      <c r="C95" s="89">
        <v>50.09</v>
      </c>
      <c r="D95" s="89">
        <v>49.954000000000001</v>
      </c>
      <c r="E95" s="89">
        <v>50.030999999999999</v>
      </c>
      <c r="F95" s="89">
        <v>50.145000000000003</v>
      </c>
      <c r="G95" s="89">
        <v>49.959000000000003</v>
      </c>
      <c r="H95" s="89">
        <v>49.917000000000002</v>
      </c>
      <c r="I95" s="89">
        <v>49.935000000000002</v>
      </c>
      <c r="J95" s="89">
        <v>49.935000000000002</v>
      </c>
      <c r="K95" s="89">
        <v>50.3</v>
      </c>
      <c r="L95" s="89">
        <v>49.820999999999998</v>
      </c>
      <c r="M95" s="89">
        <v>49.98</v>
      </c>
      <c r="N95" s="89">
        <v>168</v>
      </c>
      <c r="O95" s="89">
        <v>168</v>
      </c>
      <c r="P95" s="89">
        <v>168</v>
      </c>
      <c r="Q95" s="89">
        <v>168</v>
      </c>
      <c r="R95" s="89">
        <v>50.1</v>
      </c>
      <c r="S95" s="89">
        <v>49.912999999999997</v>
      </c>
      <c r="T95" s="89">
        <v>49.91</v>
      </c>
      <c r="U95" s="89">
        <v>49.997799999999998</v>
      </c>
      <c r="V95" s="89">
        <v>49.966000000000001</v>
      </c>
      <c r="W95" s="89">
        <v>50.055999999999997</v>
      </c>
      <c r="X95" s="89">
        <v>49.97</v>
      </c>
      <c r="Y95" s="89">
        <v>50.052999999999997</v>
      </c>
      <c r="Z95" s="89">
        <v>50.04</v>
      </c>
      <c r="AA95" s="89">
        <v>50.04</v>
      </c>
      <c r="AB95" s="89">
        <v>50.09</v>
      </c>
      <c r="AC95" s="89">
        <v>50.1</v>
      </c>
      <c r="AD95" s="89">
        <v>50.11</v>
      </c>
      <c r="AE95" s="89">
        <v>50.11</v>
      </c>
      <c r="AF95" s="89">
        <v>50.11</v>
      </c>
      <c r="AG95" s="90"/>
      <c r="AH95" s="48">
        <f t="shared" si="21"/>
        <v>168</v>
      </c>
      <c r="AI95" s="49">
        <f t="shared" si="22"/>
        <v>49.820999999999998</v>
      </c>
    </row>
    <row r="96" spans="1:37" x14ac:dyDescent="0.25">
      <c r="A96" s="91" t="s">
        <v>97</v>
      </c>
      <c r="B96" s="65">
        <v>129.30000000000001</v>
      </c>
      <c r="C96" s="65">
        <v>129.30000000000001</v>
      </c>
      <c r="D96" s="65">
        <v>129.30000000000001</v>
      </c>
      <c r="E96" s="65">
        <v>129.30000000000001</v>
      </c>
      <c r="F96" s="65">
        <v>130</v>
      </c>
      <c r="G96" s="65">
        <v>129.9</v>
      </c>
      <c r="H96" s="65">
        <v>128.9</v>
      </c>
      <c r="I96" s="65">
        <v>128.5</v>
      </c>
      <c r="J96" s="65">
        <v>128.5</v>
      </c>
      <c r="K96" s="65">
        <v>126.5</v>
      </c>
      <c r="L96" s="65">
        <v>123.5</v>
      </c>
      <c r="M96" s="65">
        <v>124.3</v>
      </c>
      <c r="N96" s="65">
        <v>124</v>
      </c>
      <c r="O96" s="65">
        <v>124</v>
      </c>
      <c r="P96" s="65">
        <v>124</v>
      </c>
      <c r="Q96" s="65">
        <v>124</v>
      </c>
      <c r="R96" s="65">
        <v>127.1</v>
      </c>
      <c r="S96" s="65">
        <v>127.2</v>
      </c>
      <c r="T96" s="65">
        <v>128.19999999999999</v>
      </c>
      <c r="U96" s="65">
        <v>128.5</v>
      </c>
      <c r="V96" s="65">
        <v>127</v>
      </c>
      <c r="W96" s="65">
        <v>128.4</v>
      </c>
      <c r="X96" s="65">
        <v>128.4</v>
      </c>
      <c r="Y96" s="65">
        <v>129.19999999999999</v>
      </c>
      <c r="Z96" s="65">
        <v>128.5</v>
      </c>
      <c r="AA96" s="65">
        <v>129.69999999999999</v>
      </c>
      <c r="AB96" s="65">
        <v>130</v>
      </c>
      <c r="AC96" s="65">
        <v>129</v>
      </c>
      <c r="AD96" s="65">
        <v>129</v>
      </c>
      <c r="AE96" s="65">
        <v>129</v>
      </c>
      <c r="AF96" s="65">
        <v>129</v>
      </c>
      <c r="AG96" s="92"/>
      <c r="AH96" s="48">
        <f t="shared" si="21"/>
        <v>130</v>
      </c>
      <c r="AI96" s="49">
        <f t="shared" si="22"/>
        <v>123.5</v>
      </c>
    </row>
    <row r="97" spans="1:35" x14ac:dyDescent="0.25">
      <c r="A97" s="91" t="s">
        <v>98</v>
      </c>
      <c r="B97" s="65">
        <v>132.6</v>
      </c>
      <c r="C97" s="65">
        <v>132.6</v>
      </c>
      <c r="D97" s="65">
        <v>132.6</v>
      </c>
      <c r="E97" s="65">
        <v>132.6</v>
      </c>
      <c r="F97" s="65">
        <v>134</v>
      </c>
      <c r="G97" s="65">
        <v>133.4</v>
      </c>
      <c r="H97" s="65">
        <v>132.30000000000001</v>
      </c>
      <c r="I97" s="65">
        <v>131.80000000000001</v>
      </c>
      <c r="J97" s="65">
        <v>131.80000000000001</v>
      </c>
      <c r="K97" s="65">
        <v>129.5</v>
      </c>
      <c r="L97" s="65">
        <v>126.8</v>
      </c>
      <c r="M97" s="65">
        <v>127.3</v>
      </c>
      <c r="N97" s="65">
        <v>126.9</v>
      </c>
      <c r="O97" s="65">
        <v>126.9</v>
      </c>
      <c r="P97" s="65">
        <v>126.9</v>
      </c>
      <c r="Q97" s="65">
        <v>126.9</v>
      </c>
      <c r="R97" s="65">
        <v>130.4</v>
      </c>
      <c r="S97" s="65">
        <v>130.6</v>
      </c>
      <c r="T97" s="65">
        <v>130.9</v>
      </c>
      <c r="U97" s="65">
        <v>131.6</v>
      </c>
      <c r="V97" s="65">
        <v>129.5</v>
      </c>
      <c r="W97" s="65">
        <v>130.19999999999999</v>
      </c>
      <c r="X97" s="65">
        <v>130.1</v>
      </c>
      <c r="Y97" s="65">
        <v>130.80000000000001</v>
      </c>
      <c r="Z97" s="65">
        <v>130.5</v>
      </c>
      <c r="AA97" s="65">
        <v>131.4</v>
      </c>
      <c r="AB97" s="65">
        <v>131.69999999999999</v>
      </c>
      <c r="AC97" s="65">
        <v>131.1</v>
      </c>
      <c r="AD97" s="65">
        <v>131.1</v>
      </c>
      <c r="AE97" s="65">
        <v>131.1</v>
      </c>
      <c r="AF97" s="65">
        <v>131.1</v>
      </c>
      <c r="AG97" s="92"/>
      <c r="AH97" s="48">
        <f t="shared" si="21"/>
        <v>134</v>
      </c>
      <c r="AI97" s="49">
        <f t="shared" si="22"/>
        <v>126.8</v>
      </c>
    </row>
    <row r="98" spans="1:35" x14ac:dyDescent="0.25">
      <c r="A98" s="91" t="s">
        <v>99</v>
      </c>
      <c r="B98" s="65">
        <v>129.19999999999999</v>
      </c>
      <c r="C98" s="65">
        <v>129.19999999999999</v>
      </c>
      <c r="D98" s="65">
        <v>129.19999999999999</v>
      </c>
      <c r="E98" s="65">
        <v>129.19999999999999</v>
      </c>
      <c r="F98" s="65">
        <v>130</v>
      </c>
      <c r="G98" s="65">
        <v>128.80000000000001</v>
      </c>
      <c r="H98" s="65">
        <v>127.9</v>
      </c>
      <c r="I98" s="65">
        <v>127.7</v>
      </c>
      <c r="J98" s="65">
        <v>127.7</v>
      </c>
      <c r="K98" s="65">
        <v>129.80000000000001</v>
      </c>
      <c r="L98" s="65">
        <v>127.5</v>
      </c>
      <c r="M98" s="65">
        <v>130</v>
      </c>
      <c r="N98" s="65">
        <v>130.19999999999999</v>
      </c>
      <c r="O98" s="65">
        <v>130.19999999999999</v>
      </c>
      <c r="P98" s="65">
        <v>130.19999999999999</v>
      </c>
      <c r="Q98" s="65">
        <v>130.19999999999999</v>
      </c>
      <c r="R98" s="65">
        <v>131.69999999999999</v>
      </c>
      <c r="S98" s="65">
        <v>130.6</v>
      </c>
      <c r="T98" s="65">
        <v>131.19999999999999</v>
      </c>
      <c r="U98" s="65">
        <v>131.69999999999999</v>
      </c>
      <c r="V98" s="65">
        <v>130.80000000000001</v>
      </c>
      <c r="W98" s="65">
        <v>129.5</v>
      </c>
      <c r="X98" s="65">
        <v>132.30000000000001</v>
      </c>
      <c r="Y98" s="65">
        <v>132.80000000000001</v>
      </c>
      <c r="Z98" s="65">
        <v>133.1</v>
      </c>
      <c r="AA98" s="65">
        <v>134.19999999999999</v>
      </c>
      <c r="AB98" s="65">
        <v>133.80000000000001</v>
      </c>
      <c r="AC98" s="65">
        <v>133.69999999999999</v>
      </c>
      <c r="AD98" s="65">
        <v>133.69999999999999</v>
      </c>
      <c r="AE98" s="65">
        <v>133.69999999999999</v>
      </c>
      <c r="AF98" s="65">
        <v>133.69999999999999</v>
      </c>
      <c r="AG98" s="92"/>
      <c r="AH98" s="48">
        <f t="shared" si="21"/>
        <v>134.19999999999999</v>
      </c>
      <c r="AI98" s="49">
        <f t="shared" si="22"/>
        <v>127.5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21"/>
        <v>0</v>
      </c>
      <c r="AI99" s="49">
        <f t="shared" si="22"/>
        <v>0</v>
      </c>
    </row>
    <row r="100" spans="1:35" x14ac:dyDescent="0.25">
      <c r="A100" s="93" t="s">
        <v>101</v>
      </c>
      <c r="B100" s="94">
        <v>133.30000000000001</v>
      </c>
      <c r="C100" s="94">
        <v>133.30000000000001</v>
      </c>
      <c r="D100" s="94">
        <v>133.30000000000001</v>
      </c>
      <c r="E100" s="94">
        <v>133.30000000000001</v>
      </c>
      <c r="F100" s="94">
        <v>133</v>
      </c>
      <c r="G100" s="94">
        <v>134.19999999999999</v>
      </c>
      <c r="H100" s="94">
        <v>132.9</v>
      </c>
      <c r="I100" s="94">
        <v>130.4</v>
      </c>
      <c r="J100" s="94">
        <v>130.4</v>
      </c>
      <c r="K100" s="94">
        <v>134.9</v>
      </c>
      <c r="L100" s="94">
        <v>131.1</v>
      </c>
      <c r="M100" s="94">
        <v>135.1</v>
      </c>
      <c r="N100" s="94">
        <v>135.69999999999999</v>
      </c>
      <c r="O100" s="94">
        <v>135.69999999999999</v>
      </c>
      <c r="P100" s="94">
        <v>135.69999999999999</v>
      </c>
      <c r="Q100" s="94">
        <v>135.69999999999999</v>
      </c>
      <c r="R100" s="94">
        <v>134</v>
      </c>
      <c r="S100" s="94">
        <v>133.30000000000001</v>
      </c>
      <c r="T100" s="94">
        <v>136</v>
      </c>
      <c r="U100" s="94">
        <v>135</v>
      </c>
      <c r="V100" s="94">
        <v>133.30000000000001</v>
      </c>
      <c r="W100" s="94">
        <v>135.69999999999999</v>
      </c>
      <c r="X100" s="94">
        <v>133.80000000000001</v>
      </c>
      <c r="Y100" s="94">
        <v>132</v>
      </c>
      <c r="Z100" s="94">
        <v>132</v>
      </c>
      <c r="AA100" s="94">
        <v>133.69999999999999</v>
      </c>
      <c r="AB100" s="94">
        <v>134</v>
      </c>
      <c r="AC100" s="94">
        <v>133.69999999999999</v>
      </c>
      <c r="AD100" s="94">
        <v>133.69999999999999</v>
      </c>
      <c r="AE100" s="94">
        <v>133.69999999999999</v>
      </c>
      <c r="AF100" s="94">
        <v>133.69999999999999</v>
      </c>
      <c r="AG100" s="95"/>
      <c r="AH100" s="48">
        <f t="shared" si="21"/>
        <v>136</v>
      </c>
      <c r="AI100" s="49">
        <f t="shared" si="22"/>
        <v>130.4</v>
      </c>
    </row>
    <row r="101" spans="1:35" x14ac:dyDescent="0.25">
      <c r="A101" s="91" t="s">
        <v>102</v>
      </c>
      <c r="B101" s="65">
        <v>134.30000000000001</v>
      </c>
      <c r="C101" s="65">
        <v>134.30000000000001</v>
      </c>
      <c r="D101" s="65">
        <v>134.30000000000001</v>
      </c>
      <c r="E101" s="65">
        <v>134.30000000000001</v>
      </c>
      <c r="F101" s="65">
        <v>134</v>
      </c>
      <c r="G101" s="65">
        <v>134.19999999999999</v>
      </c>
      <c r="H101" s="65">
        <v>133</v>
      </c>
      <c r="I101" s="65">
        <v>128.80000000000001</v>
      </c>
      <c r="J101" s="65">
        <v>128.80000000000001</v>
      </c>
      <c r="K101" s="65">
        <v>134.1</v>
      </c>
      <c r="L101" s="65">
        <v>124.9</v>
      </c>
      <c r="M101" s="65">
        <v>133.5</v>
      </c>
      <c r="N101" s="65">
        <v>133</v>
      </c>
      <c r="O101" s="65">
        <v>133</v>
      </c>
      <c r="P101" s="65">
        <v>133</v>
      </c>
      <c r="Q101" s="65">
        <v>133</v>
      </c>
      <c r="R101" s="65">
        <v>131.69999999999999</v>
      </c>
      <c r="S101" s="65">
        <v>130.80000000000001</v>
      </c>
      <c r="T101" s="65">
        <v>132.80000000000001</v>
      </c>
      <c r="U101" s="65">
        <v>133</v>
      </c>
      <c r="V101" s="65">
        <v>128.80000000000001</v>
      </c>
      <c r="W101" s="65">
        <v>130.69999999999999</v>
      </c>
      <c r="X101" s="65">
        <v>129.9</v>
      </c>
      <c r="Y101" s="65">
        <v>131.4</v>
      </c>
      <c r="Z101" s="65">
        <v>131.80000000000001</v>
      </c>
      <c r="AA101" s="65">
        <v>134.6</v>
      </c>
      <c r="AB101" s="65">
        <v>132.80000000000001</v>
      </c>
      <c r="AC101" s="65">
        <v>133</v>
      </c>
      <c r="AD101" s="65">
        <v>133</v>
      </c>
      <c r="AE101" s="65">
        <v>133</v>
      </c>
      <c r="AF101" s="65">
        <v>133</v>
      </c>
      <c r="AG101" s="92"/>
      <c r="AH101" s="48">
        <f t="shared" si="21"/>
        <v>134.6</v>
      </c>
      <c r="AI101" s="49">
        <f t="shared" si="22"/>
        <v>124.9</v>
      </c>
    </row>
    <row r="102" spans="1:35" ht="15.75" thickBot="1" x14ac:dyDescent="0.3">
      <c r="A102" s="91" t="s">
        <v>104</v>
      </c>
      <c r="B102" s="96">
        <v>66.7</v>
      </c>
      <c r="C102" s="96">
        <v>66.7</v>
      </c>
      <c r="D102" s="96">
        <v>66.7</v>
      </c>
      <c r="E102" s="96">
        <v>66.7</v>
      </c>
      <c r="F102" s="96">
        <v>67</v>
      </c>
      <c r="G102" s="96">
        <v>67</v>
      </c>
      <c r="H102" s="96">
        <v>66.599999999999994</v>
      </c>
      <c r="I102" s="96">
        <v>66.400000000000006</v>
      </c>
      <c r="J102" s="96">
        <v>66.400000000000006</v>
      </c>
      <c r="K102" s="96">
        <v>65.400000000000006</v>
      </c>
      <c r="L102" s="96">
        <v>64</v>
      </c>
      <c r="M102" s="96">
        <v>63.8</v>
      </c>
      <c r="N102" s="96">
        <v>63.6</v>
      </c>
      <c r="O102" s="96">
        <v>63.6</v>
      </c>
      <c r="P102" s="96">
        <v>63.6</v>
      </c>
      <c r="Q102" s="96">
        <v>63.6</v>
      </c>
      <c r="R102" s="96">
        <v>65.7</v>
      </c>
      <c r="S102" s="96">
        <v>65.8</v>
      </c>
      <c r="T102" s="96">
        <v>65.900000000000006</v>
      </c>
      <c r="U102" s="96">
        <v>66.2</v>
      </c>
      <c r="V102" s="96">
        <v>65.2</v>
      </c>
      <c r="W102" s="96">
        <v>65.3</v>
      </c>
      <c r="X102" s="96">
        <v>64.900000000000006</v>
      </c>
      <c r="Y102" s="96">
        <v>65.3</v>
      </c>
      <c r="Z102" s="96">
        <v>65.2</v>
      </c>
      <c r="AA102" s="96">
        <v>66</v>
      </c>
      <c r="AB102" s="96">
        <v>66.3</v>
      </c>
      <c r="AC102" s="96">
        <v>66</v>
      </c>
      <c r="AD102" s="96">
        <v>66</v>
      </c>
      <c r="AE102" s="96">
        <v>66</v>
      </c>
      <c r="AF102" s="96">
        <v>66</v>
      </c>
      <c r="AG102" s="97"/>
      <c r="AH102" s="48">
        <f t="shared" si="21"/>
        <v>67</v>
      </c>
      <c r="AI102" s="49">
        <f t="shared" si="22"/>
        <v>63.6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21"/>
        <v>0</v>
      </c>
      <c r="AI103" s="49">
        <f t="shared" si="22"/>
        <v>0</v>
      </c>
    </row>
    <row r="104" spans="1:35" ht="15.75" thickBot="1" x14ac:dyDescent="0.3">
      <c r="A104" s="99" t="s">
        <v>105</v>
      </c>
      <c r="B104" s="100">
        <f t="shared" ref="B104:AF104" si="53">SUM(B16,B22,B25:B26,B52,B54:B55,B57,B59,B105:B109,B131,B137,B143,B152,B154,B166,B173,B176:B177,B184,B186,B188,B192:B194,B196:B198,B203,B209:B210,B212:B214,B222,B227)</f>
        <v>108.49999999999997</v>
      </c>
      <c r="C104" s="100">
        <f t="shared" si="53"/>
        <v>102.43999999999998</v>
      </c>
      <c r="D104" s="100">
        <f t="shared" si="53"/>
        <v>93.240000000000023</v>
      </c>
      <c r="E104" s="100">
        <f t="shared" si="53"/>
        <v>87.74</v>
      </c>
      <c r="F104" s="100">
        <f t="shared" si="53"/>
        <v>72.639999999999986</v>
      </c>
      <c r="G104" s="100">
        <f t="shared" si="53"/>
        <v>91.939999999999984</v>
      </c>
      <c r="H104" s="100">
        <f t="shared" si="53"/>
        <v>109.03999999999999</v>
      </c>
      <c r="I104" s="100">
        <f t="shared" si="53"/>
        <v>130.64000000000001</v>
      </c>
      <c r="J104" s="100">
        <f t="shared" si="53"/>
        <v>148.24</v>
      </c>
      <c r="K104" s="100">
        <f t="shared" si="53"/>
        <v>237.74</v>
      </c>
      <c r="L104" s="100">
        <f t="shared" si="53"/>
        <v>253.94</v>
      </c>
      <c r="M104" s="100">
        <f t="shared" si="53"/>
        <v>270.34000000000003</v>
      </c>
      <c r="N104" s="100">
        <f t="shared" si="53"/>
        <v>275.33999999999997</v>
      </c>
      <c r="O104" s="100">
        <f t="shared" ref="O104:P104" si="54">SUM(O16,O22,O25:O26,O52,O54:O55,O57,O59,O105:O109,O131,O137,O143,O152,O154,O166,O173,O176:O177,O184,O186,O188,O192:O194,O196:O198,O203,O209:O210,O212:O214,O222,O227)</f>
        <v>277.33999999999997</v>
      </c>
      <c r="P104" s="100">
        <f t="shared" si="54"/>
        <v>258.83999999999997</v>
      </c>
      <c r="Q104" s="100">
        <f t="shared" ref="Q104" si="55">SUM(Q16,Q22,Q25:Q26,Q52,Q54:Q55,Q57,Q59,Q105:Q109,Q131,Q137,Q143,Q152,Q154,Q166,Q173,Q176:Q177,Q184,Q186,Q188,Q192:Q194,Q196:Q198,Q203,Q209:Q210,Q212:Q214,Q222,Q227)</f>
        <v>200.30000000000004</v>
      </c>
      <c r="R104" s="100">
        <f t="shared" si="53"/>
        <v>198.70000000000002</v>
      </c>
      <c r="S104" s="100">
        <f t="shared" si="53"/>
        <v>185.6</v>
      </c>
      <c r="T104" s="100">
        <f t="shared" si="53"/>
        <v>194.1</v>
      </c>
      <c r="U104" s="100">
        <f t="shared" si="53"/>
        <v>206.7</v>
      </c>
      <c r="V104" s="100">
        <f>SUM(V16,V22,V25:V26,V52,V54:V55,V57,V59,V105:V109,V131,V137,V143,V152,V154,V166,V173,V176:V177,V184,V186,V188,V192:V194,V196:V198,V203,V209:V210,V212:V214,V222,V227)</f>
        <v>249.19999999999996</v>
      </c>
      <c r="W104" s="100">
        <f>SUM(W16,W22,W25:W26,W52,W54:W55,W57,W59,W105:W109,W131,W137,W143,W152,W154,W166,W173,W176:W177,W184,W186,W188,W192:W194,W196:W198,W203,W209:W210,W212:W214,W222,W227)</f>
        <v>328</v>
      </c>
      <c r="X104" s="100">
        <f t="shared" si="53"/>
        <v>345.4</v>
      </c>
      <c r="Y104" s="100">
        <f t="shared" si="53"/>
        <v>331.49999999999994</v>
      </c>
      <c r="Z104" s="100">
        <f t="shared" si="53"/>
        <v>331</v>
      </c>
      <c r="AA104" s="100">
        <f t="shared" si="53"/>
        <v>321.09999999999997</v>
      </c>
      <c r="AB104" s="100">
        <f t="shared" si="53"/>
        <v>261.2</v>
      </c>
      <c r="AC104" s="100">
        <f t="shared" si="53"/>
        <v>262.8</v>
      </c>
      <c r="AD104" s="100">
        <f t="shared" si="53"/>
        <v>236.79999999999995</v>
      </c>
      <c r="AE104" s="100">
        <f t="shared" si="53"/>
        <v>171.79999999999998</v>
      </c>
      <c r="AF104" s="100">
        <f t="shared" si="53"/>
        <v>137.79999999999998</v>
      </c>
      <c r="AG104" s="101"/>
      <c r="AH104" s="48">
        <f t="shared" si="21"/>
        <v>345.4</v>
      </c>
      <c r="AI104" s="49">
        <f t="shared" si="22"/>
        <v>72.639999999999986</v>
      </c>
    </row>
    <row r="105" spans="1:35" x14ac:dyDescent="0.25">
      <c r="A105" s="88" t="s">
        <v>106</v>
      </c>
      <c r="B105" s="102">
        <v>26.2</v>
      </c>
      <c r="C105" s="102">
        <v>26.2</v>
      </c>
      <c r="D105" s="102">
        <v>28.8</v>
      </c>
      <c r="E105" s="102">
        <v>22.7</v>
      </c>
      <c r="F105" s="102">
        <v>8.5</v>
      </c>
      <c r="G105" s="102">
        <v>8.4</v>
      </c>
      <c r="H105" s="102">
        <v>8.6</v>
      </c>
      <c r="I105" s="102">
        <v>13.5</v>
      </c>
      <c r="J105" s="102">
        <v>13.5</v>
      </c>
      <c r="K105" s="102">
        <v>38.9</v>
      </c>
      <c r="L105" s="102">
        <v>48.6</v>
      </c>
      <c r="M105" s="102">
        <v>55.8</v>
      </c>
      <c r="N105" s="102">
        <v>52.8</v>
      </c>
      <c r="O105" s="102">
        <v>52.8</v>
      </c>
      <c r="P105" s="102">
        <v>52.8</v>
      </c>
      <c r="Q105" s="102">
        <v>40.4</v>
      </c>
      <c r="R105" s="102">
        <v>41.4</v>
      </c>
      <c r="S105" s="102">
        <v>27.7</v>
      </c>
      <c r="T105" s="102">
        <v>29.2</v>
      </c>
      <c r="U105" s="102">
        <v>31.7</v>
      </c>
      <c r="V105" s="102">
        <v>59.9</v>
      </c>
      <c r="W105" s="102">
        <v>48.3</v>
      </c>
      <c r="X105" s="102">
        <v>43.2</v>
      </c>
      <c r="Y105" s="102">
        <v>49.8</v>
      </c>
      <c r="Z105" s="102">
        <v>51.8</v>
      </c>
      <c r="AA105" s="102">
        <v>56.3</v>
      </c>
      <c r="AB105" s="102">
        <v>58.1</v>
      </c>
      <c r="AC105" s="102">
        <v>59</v>
      </c>
      <c r="AD105" s="102">
        <v>65</v>
      </c>
      <c r="AE105" s="102">
        <v>45</v>
      </c>
      <c r="AF105" s="102">
        <v>32</v>
      </c>
      <c r="AG105" s="103">
        <v>75</v>
      </c>
      <c r="AH105" s="48">
        <f t="shared" si="21"/>
        <v>65</v>
      </c>
      <c r="AI105" s="49">
        <f t="shared" si="22"/>
        <v>8.4</v>
      </c>
    </row>
    <row r="106" spans="1:35" x14ac:dyDescent="0.25">
      <c r="A106" s="91" t="s">
        <v>107</v>
      </c>
      <c r="B106" s="104">
        <v>44.2</v>
      </c>
      <c r="C106" s="104">
        <v>44.4</v>
      </c>
      <c r="D106" s="104">
        <v>48.5</v>
      </c>
      <c r="E106" s="104">
        <v>39.5</v>
      </c>
      <c r="F106" s="104">
        <v>18.5</v>
      </c>
      <c r="G106" s="104">
        <v>17.2</v>
      </c>
      <c r="H106" s="104">
        <v>17.2</v>
      </c>
      <c r="I106" s="104">
        <v>23.4</v>
      </c>
      <c r="J106" s="104">
        <v>23.4</v>
      </c>
      <c r="K106" s="104">
        <v>59.6</v>
      </c>
      <c r="L106" s="104">
        <v>72.5</v>
      </c>
      <c r="M106" s="104">
        <v>81.5</v>
      </c>
      <c r="N106" s="104">
        <v>76.7</v>
      </c>
      <c r="O106" s="104">
        <v>76.7</v>
      </c>
      <c r="P106" s="104">
        <v>76.7</v>
      </c>
      <c r="Q106" s="104">
        <v>61.6</v>
      </c>
      <c r="R106" s="104">
        <v>62.3</v>
      </c>
      <c r="S106" s="104">
        <v>40.9</v>
      </c>
      <c r="T106" s="104">
        <v>44.4</v>
      </c>
      <c r="U106" s="104">
        <v>47.1</v>
      </c>
      <c r="V106" s="104">
        <v>85.7</v>
      </c>
      <c r="W106" s="104">
        <v>67.2</v>
      </c>
      <c r="X106" s="104">
        <v>59.3</v>
      </c>
      <c r="Y106" s="104">
        <v>69</v>
      </c>
      <c r="Z106" s="104">
        <v>71.3</v>
      </c>
      <c r="AA106" s="104">
        <v>78.3</v>
      </c>
      <c r="AB106" s="104">
        <v>82</v>
      </c>
      <c r="AC106" s="104">
        <v>82.1</v>
      </c>
      <c r="AD106" s="104">
        <v>91</v>
      </c>
      <c r="AE106" s="104">
        <v>60</v>
      </c>
      <c r="AF106" s="104">
        <v>49</v>
      </c>
      <c r="AG106" s="103">
        <v>240</v>
      </c>
      <c r="AH106" s="48">
        <f t="shared" si="21"/>
        <v>91</v>
      </c>
      <c r="AI106" s="49">
        <f t="shared" si="22"/>
        <v>17.2</v>
      </c>
    </row>
    <row r="107" spans="1:35" x14ac:dyDescent="0.25">
      <c r="A107" s="91" t="s">
        <v>108</v>
      </c>
      <c r="B107" s="104">
        <v>-100.5</v>
      </c>
      <c r="C107" s="104">
        <v>-107</v>
      </c>
      <c r="D107" s="104">
        <v>-120</v>
      </c>
      <c r="E107" s="104">
        <v>-110.8</v>
      </c>
      <c r="F107" s="104">
        <v>-79</v>
      </c>
      <c r="G107" s="104">
        <v>-61.8</v>
      </c>
      <c r="H107" s="104">
        <v>-46.8</v>
      </c>
      <c r="I107" s="104">
        <v>-38</v>
      </c>
      <c r="J107" s="104">
        <v>-38</v>
      </c>
      <c r="K107" s="104">
        <v>-16</v>
      </c>
      <c r="L107" s="104">
        <v>-21.8</v>
      </c>
      <c r="M107" s="104">
        <f>-12.3-13.6</f>
        <v>-25.9</v>
      </c>
      <c r="N107" s="104">
        <f>-8.3-8</f>
        <v>-16.3</v>
      </c>
      <c r="O107" s="104">
        <f t="shared" ref="O107:P107" si="56">-8.3-8</f>
        <v>-16.3</v>
      </c>
      <c r="P107" s="104">
        <f t="shared" si="56"/>
        <v>-16.3</v>
      </c>
      <c r="Q107" s="104">
        <f>-22.1-24.7</f>
        <v>-46.8</v>
      </c>
      <c r="R107" s="104">
        <f>-25-26.4</f>
        <v>-51.4</v>
      </c>
      <c r="S107" s="104">
        <v>-30</v>
      </c>
      <c r="T107" s="104">
        <f>-12.6-14.6</f>
        <v>-27.2</v>
      </c>
      <c r="U107" s="104">
        <v>-21.2</v>
      </c>
      <c r="V107" s="104">
        <f>-21.4-24.5</f>
        <v>-45.9</v>
      </c>
      <c r="W107" s="104">
        <v>7.6</v>
      </c>
      <c r="X107" s="104">
        <v>39</v>
      </c>
      <c r="Y107" s="104">
        <v>18</v>
      </c>
      <c r="Z107" s="104">
        <v>14</v>
      </c>
      <c r="AA107" s="104">
        <v>-2</v>
      </c>
      <c r="AB107" s="104">
        <f>-39.2-21</f>
        <v>-60.2</v>
      </c>
      <c r="AC107" s="104">
        <f>-27.8-19.4</f>
        <v>-47.2</v>
      </c>
      <c r="AD107" s="104">
        <v>-70</v>
      </c>
      <c r="AE107" s="104">
        <v>-75</v>
      </c>
      <c r="AF107" s="104">
        <v>-80</v>
      </c>
      <c r="AG107" s="103">
        <v>240</v>
      </c>
      <c r="AH107" s="48">
        <f t="shared" si="21"/>
        <v>39</v>
      </c>
      <c r="AI107" s="49">
        <f t="shared" si="22"/>
        <v>-120</v>
      </c>
    </row>
    <row r="108" spans="1:35" x14ac:dyDescent="0.25">
      <c r="A108" s="91" t="s">
        <v>109</v>
      </c>
      <c r="B108" s="104">
        <v>-6.4</v>
      </c>
      <c r="C108" s="104">
        <v>-8.6999999999999993</v>
      </c>
      <c r="D108" s="104">
        <v>-10.199999999999999</v>
      </c>
      <c r="E108" s="104">
        <v>-8.9</v>
      </c>
      <c r="F108" s="104">
        <v>-4.4000000000000004</v>
      </c>
      <c r="G108" s="104">
        <v>-0.4</v>
      </c>
      <c r="H108" s="104">
        <v>1.3</v>
      </c>
      <c r="I108" s="104">
        <v>3</v>
      </c>
      <c r="J108" s="104">
        <v>3</v>
      </c>
      <c r="K108" s="104">
        <v>8.9</v>
      </c>
      <c r="L108" s="104">
        <v>8</v>
      </c>
      <c r="M108" s="104">
        <v>12.3</v>
      </c>
      <c r="N108" s="104">
        <v>13.5</v>
      </c>
      <c r="O108" s="104">
        <v>13.5</v>
      </c>
      <c r="P108" s="104">
        <v>13.5</v>
      </c>
      <c r="Q108" s="104">
        <v>10.9</v>
      </c>
      <c r="R108" s="104">
        <v>10.3</v>
      </c>
      <c r="S108" s="104">
        <v>10.9</v>
      </c>
      <c r="T108" s="104">
        <v>11.3</v>
      </c>
      <c r="U108" s="104">
        <v>12.3</v>
      </c>
      <c r="V108" s="104">
        <v>12.7</v>
      </c>
      <c r="W108" s="104">
        <v>68.099999999999994</v>
      </c>
      <c r="X108" s="104">
        <v>67.099999999999994</v>
      </c>
      <c r="Y108" s="104">
        <v>57.9</v>
      </c>
      <c r="Z108" s="104">
        <v>57.1</v>
      </c>
      <c r="AA108" s="104">
        <v>51.7</v>
      </c>
      <c r="AB108" s="104">
        <v>44.5</v>
      </c>
      <c r="AC108" s="104">
        <v>32.1</v>
      </c>
      <c r="AD108" s="104">
        <v>14</v>
      </c>
      <c r="AE108" s="104">
        <v>5</v>
      </c>
      <c r="AF108" s="104">
        <v>0</v>
      </c>
      <c r="AG108" s="103">
        <v>60</v>
      </c>
      <c r="AH108" s="48">
        <f t="shared" si="21"/>
        <v>68.099999999999994</v>
      </c>
      <c r="AI108" s="49">
        <f t="shared" si="22"/>
        <v>-10.199999999999999</v>
      </c>
    </row>
    <row r="109" spans="1:35" x14ac:dyDescent="0.25">
      <c r="A109" s="105" t="s">
        <v>110</v>
      </c>
      <c r="B109" s="106">
        <v>0</v>
      </c>
      <c r="C109" s="106">
        <v>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6">
        <v>0</v>
      </c>
      <c r="K109" s="106">
        <v>0</v>
      </c>
      <c r="L109" s="106">
        <v>0</v>
      </c>
      <c r="M109" s="106">
        <v>0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0</v>
      </c>
      <c r="Y109" s="106">
        <v>0</v>
      </c>
      <c r="Z109" s="106">
        <v>0</v>
      </c>
      <c r="AA109" s="106">
        <v>0</v>
      </c>
      <c r="AB109" s="106">
        <v>0</v>
      </c>
      <c r="AC109" s="106">
        <v>0</v>
      </c>
      <c r="AD109" s="106">
        <v>0</v>
      </c>
      <c r="AE109" s="106">
        <v>0</v>
      </c>
      <c r="AF109" s="106">
        <v>0</v>
      </c>
      <c r="AG109" s="107">
        <v>120</v>
      </c>
      <c r="AH109" s="48">
        <f t="shared" si="21"/>
        <v>0</v>
      </c>
      <c r="AI109" s="49">
        <f t="shared" si="22"/>
        <v>0</v>
      </c>
    </row>
    <row r="110" spans="1:35" x14ac:dyDescent="0.25">
      <c r="A110" s="105" t="s">
        <v>111</v>
      </c>
      <c r="B110" s="106">
        <v>27</v>
      </c>
      <c r="C110" s="106">
        <v>15.4</v>
      </c>
      <c r="D110" s="106">
        <v>11.1</v>
      </c>
      <c r="E110" s="106">
        <v>10.6</v>
      </c>
      <c r="F110" s="106">
        <v>45.7</v>
      </c>
      <c r="G110" s="106">
        <v>64.3</v>
      </c>
      <c r="H110" s="106">
        <v>74</v>
      </c>
      <c r="I110" s="106">
        <v>76.2</v>
      </c>
      <c r="J110" s="106">
        <v>76.2</v>
      </c>
      <c r="K110" s="106">
        <v>88.5</v>
      </c>
      <c r="L110" s="106">
        <v>80.2</v>
      </c>
      <c r="M110" s="106">
        <v>69.5</v>
      </c>
      <c r="N110" s="106">
        <v>74.900000000000006</v>
      </c>
      <c r="O110" s="106">
        <v>74.900000000000006</v>
      </c>
      <c r="P110" s="106">
        <v>74.900000000000006</v>
      </c>
      <c r="Q110" s="106">
        <v>74.900000000000006</v>
      </c>
      <c r="R110" s="106">
        <v>54.6</v>
      </c>
      <c r="S110" s="106">
        <v>70.599999999999994</v>
      </c>
      <c r="T110" s="106">
        <v>65.099999999999994</v>
      </c>
      <c r="U110" s="106">
        <v>64</v>
      </c>
      <c r="V110" s="106">
        <v>18.399999999999999</v>
      </c>
      <c r="W110" s="106">
        <v>55</v>
      </c>
      <c r="X110" s="106">
        <v>65.8</v>
      </c>
      <c r="Y110" s="106">
        <v>55.4</v>
      </c>
      <c r="Z110" s="106">
        <v>55.4</v>
      </c>
      <c r="AA110" s="106">
        <v>39</v>
      </c>
      <c r="AB110" s="106">
        <v>13.1</v>
      </c>
      <c r="AC110" s="106">
        <v>14.2</v>
      </c>
      <c r="AD110" s="106">
        <v>2</v>
      </c>
      <c r="AE110" s="106">
        <v>15</v>
      </c>
      <c r="AF110" s="106">
        <v>29</v>
      </c>
      <c r="AG110" s="107"/>
      <c r="AH110" s="48">
        <f t="shared" si="21"/>
        <v>88.5</v>
      </c>
      <c r="AI110" s="49">
        <f t="shared" si="22"/>
        <v>2</v>
      </c>
    </row>
    <row r="111" spans="1:35" x14ac:dyDescent="0.25">
      <c r="A111" s="105" t="s">
        <v>112</v>
      </c>
      <c r="B111" s="106">
        <v>24.2</v>
      </c>
      <c r="C111" s="106">
        <v>33.5</v>
      </c>
      <c r="D111" s="106">
        <v>28</v>
      </c>
      <c r="E111" s="106">
        <v>27.1</v>
      </c>
      <c r="F111" s="106">
        <v>48.5</v>
      </c>
      <c r="G111" s="106">
        <v>45.2</v>
      </c>
      <c r="H111" s="106">
        <v>45.4</v>
      </c>
      <c r="I111" s="106">
        <v>40</v>
      </c>
      <c r="J111" s="106">
        <v>40</v>
      </c>
      <c r="K111" s="106">
        <v>22</v>
      </c>
      <c r="L111" s="106">
        <v>16.399999999999999</v>
      </c>
      <c r="M111" s="106">
        <v>-0.3</v>
      </c>
      <c r="N111" s="106">
        <v>-2.2000000000000002</v>
      </c>
      <c r="O111" s="106">
        <v>-2.2000000000000002</v>
      </c>
      <c r="P111" s="106">
        <v>-2.2000000000000002</v>
      </c>
      <c r="Q111" s="106">
        <v>-6.8</v>
      </c>
      <c r="R111" s="106">
        <v>5.7</v>
      </c>
      <c r="S111" s="106">
        <v>17.8</v>
      </c>
      <c r="T111" s="106">
        <v>36.5</v>
      </c>
      <c r="U111" s="106">
        <v>24</v>
      </c>
      <c r="V111" s="106">
        <v>-14.3</v>
      </c>
      <c r="W111" s="106">
        <v>15</v>
      </c>
      <c r="X111" s="106">
        <v>31.1</v>
      </c>
      <c r="Y111" s="106">
        <v>23</v>
      </c>
      <c r="Z111" s="106">
        <v>21.4</v>
      </c>
      <c r="AA111" s="106">
        <v>9.3000000000000007</v>
      </c>
      <c r="AB111" s="106">
        <v>-1.3</v>
      </c>
      <c r="AC111" s="106">
        <v>-1.4</v>
      </c>
      <c r="AD111" s="106">
        <v>17</v>
      </c>
      <c r="AE111" s="106">
        <v>20</v>
      </c>
      <c r="AF111" s="106">
        <v>35</v>
      </c>
      <c r="AG111" s="108"/>
      <c r="AH111" s="48">
        <f t="shared" si="21"/>
        <v>48.5</v>
      </c>
      <c r="AI111" s="49">
        <f t="shared" si="22"/>
        <v>-14.3</v>
      </c>
    </row>
    <row r="112" spans="1:35" x14ac:dyDescent="0.25">
      <c r="A112" s="109" t="s">
        <v>113</v>
      </c>
      <c r="B112" s="94">
        <v>40.799999999999997</v>
      </c>
      <c r="C112" s="94">
        <v>38.700000000000003</v>
      </c>
      <c r="D112" s="94">
        <v>44.8</v>
      </c>
      <c r="E112" s="94">
        <v>46</v>
      </c>
      <c r="F112" s="94">
        <v>44</v>
      </c>
      <c r="G112" s="94">
        <v>41.5</v>
      </c>
      <c r="H112" s="94">
        <v>37.299999999999997</v>
      </c>
      <c r="I112" s="94">
        <v>32.299999999999997</v>
      </c>
      <c r="J112" s="94">
        <v>32.299999999999997</v>
      </c>
      <c r="K112" s="94">
        <v>22.9</v>
      </c>
      <c r="L112" s="94">
        <v>21.7</v>
      </c>
      <c r="M112" s="94">
        <v>18.100000000000001</v>
      </c>
      <c r="N112" s="94">
        <v>18.3</v>
      </c>
      <c r="O112" s="94">
        <v>18.3</v>
      </c>
      <c r="P112" s="94">
        <v>18.3</v>
      </c>
      <c r="Q112" s="94">
        <v>35.6</v>
      </c>
      <c r="R112" s="94">
        <v>33.299999999999997</v>
      </c>
      <c r="S112" s="94">
        <v>33.299999999999997</v>
      </c>
      <c r="T112" s="94">
        <v>29.8</v>
      </c>
      <c r="U112" s="94">
        <v>30</v>
      </c>
      <c r="V112" s="94">
        <v>17.3</v>
      </c>
      <c r="W112" s="94">
        <v>8.6999999999999993</v>
      </c>
      <c r="X112" s="94">
        <v>10.6</v>
      </c>
      <c r="Y112" s="94">
        <v>17.399999999999999</v>
      </c>
      <c r="Z112" s="94">
        <v>18.3</v>
      </c>
      <c r="AA112" s="94">
        <v>21.1</v>
      </c>
      <c r="AB112" s="94">
        <v>25.7</v>
      </c>
      <c r="AC112" s="94">
        <v>27.1</v>
      </c>
      <c r="AD112" s="94">
        <v>33</v>
      </c>
      <c r="AE112" s="94">
        <v>35</v>
      </c>
      <c r="AF112" s="94">
        <v>41</v>
      </c>
      <c r="AG112" s="108"/>
      <c r="AH112" s="48">
        <f t="shared" si="21"/>
        <v>46</v>
      </c>
      <c r="AI112" s="49">
        <f t="shared" si="22"/>
        <v>8.6999999999999993</v>
      </c>
    </row>
    <row r="113" spans="1:37" ht="15.75" thickBot="1" x14ac:dyDescent="0.3">
      <c r="A113" s="109" t="s">
        <v>114</v>
      </c>
      <c r="B113" s="94">
        <v>69.8</v>
      </c>
      <c r="C113" s="94">
        <v>74.900000000000006</v>
      </c>
      <c r="D113" s="94">
        <v>84.6</v>
      </c>
      <c r="E113" s="94">
        <v>74.599999999999994</v>
      </c>
      <c r="F113" s="94">
        <v>47.2</v>
      </c>
      <c r="G113" s="94">
        <v>31.9</v>
      </c>
      <c r="H113" s="94">
        <v>22.5</v>
      </c>
      <c r="I113" s="94">
        <v>15.9</v>
      </c>
      <c r="J113" s="94">
        <v>15.9</v>
      </c>
      <c r="K113" s="94">
        <v>14.5</v>
      </c>
      <c r="L113" s="94">
        <v>21.9</v>
      </c>
      <c r="M113" s="94">
        <v>29.7</v>
      </c>
      <c r="N113" s="94">
        <v>23</v>
      </c>
      <c r="O113" s="94">
        <v>23</v>
      </c>
      <c r="P113" s="94">
        <v>23</v>
      </c>
      <c r="Q113" s="94">
        <v>42.1</v>
      </c>
      <c r="R113" s="94">
        <v>43</v>
      </c>
      <c r="S113" s="94">
        <v>43</v>
      </c>
      <c r="T113" s="94">
        <v>20.100000000000001</v>
      </c>
      <c r="U113" s="94">
        <v>19.100000000000001</v>
      </c>
      <c r="V113" s="94">
        <v>48.2</v>
      </c>
      <c r="W113" s="94">
        <v>21.8</v>
      </c>
      <c r="X113" s="94">
        <v>8.8000000000000007</v>
      </c>
      <c r="Y113" s="94">
        <v>14.1</v>
      </c>
      <c r="Z113" s="94">
        <v>15.9</v>
      </c>
      <c r="AA113" s="94">
        <v>29.2</v>
      </c>
      <c r="AB113" s="94">
        <v>54.8</v>
      </c>
      <c r="AC113" s="94">
        <v>47.2</v>
      </c>
      <c r="AD113" s="94">
        <v>61</v>
      </c>
      <c r="AE113" s="94">
        <v>55</v>
      </c>
      <c r="AF113" s="94">
        <v>53</v>
      </c>
      <c r="AG113" s="108"/>
      <c r="AH113" s="48">
        <f t="shared" si="21"/>
        <v>84.6</v>
      </c>
      <c r="AI113" s="49">
        <f t="shared" si="22"/>
        <v>8.8000000000000007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57">SUM(B115:B219)</f>
        <v>0</v>
      </c>
      <c r="C220" s="125">
        <f t="shared" si="57"/>
        <v>0</v>
      </c>
      <c r="D220" s="125">
        <f t="shared" si="57"/>
        <v>0</v>
      </c>
      <c r="E220" s="125">
        <f t="shared" si="57"/>
        <v>0</v>
      </c>
      <c r="F220" s="125">
        <f t="shared" si="57"/>
        <v>0</v>
      </c>
      <c r="G220" s="125">
        <f t="shared" si="57"/>
        <v>0</v>
      </c>
      <c r="H220" s="125">
        <f t="shared" si="57"/>
        <v>0</v>
      </c>
      <c r="I220" s="125">
        <f t="shared" si="57"/>
        <v>0</v>
      </c>
      <c r="J220" s="125">
        <f t="shared" si="57"/>
        <v>0</v>
      </c>
      <c r="K220" s="125">
        <f t="shared" si="57"/>
        <v>0</v>
      </c>
      <c r="L220" s="125">
        <f t="shared" si="57"/>
        <v>0</v>
      </c>
      <c r="M220" s="125">
        <f t="shared" si="57"/>
        <v>0</v>
      </c>
      <c r="N220" s="125">
        <f t="shared" si="57"/>
        <v>0</v>
      </c>
      <c r="O220" s="125">
        <f t="shared" si="57"/>
        <v>0</v>
      </c>
      <c r="P220" s="125">
        <f t="shared" si="57"/>
        <v>0</v>
      </c>
      <c r="Q220" s="125">
        <f t="shared" si="57"/>
        <v>0</v>
      </c>
      <c r="R220" s="125">
        <f t="shared" si="57"/>
        <v>0</v>
      </c>
      <c r="S220" s="125">
        <f t="shared" si="57"/>
        <v>0</v>
      </c>
      <c r="T220" s="125">
        <f t="shared" si="57"/>
        <v>0</v>
      </c>
      <c r="U220" s="125">
        <f t="shared" si="57"/>
        <v>0</v>
      </c>
      <c r="V220" s="125">
        <f t="shared" si="57"/>
        <v>0</v>
      </c>
      <c r="W220" s="125">
        <f t="shared" si="57"/>
        <v>0</v>
      </c>
      <c r="X220" s="125">
        <f t="shared" si="57"/>
        <v>0</v>
      </c>
      <c r="Y220" s="125">
        <f t="shared" si="57"/>
        <v>0</v>
      </c>
      <c r="Z220" s="125">
        <f t="shared" si="57"/>
        <v>0</v>
      </c>
      <c r="AA220" s="125">
        <f t="shared" si="57"/>
        <v>0</v>
      </c>
      <c r="AB220" s="125">
        <f t="shared" si="57"/>
        <v>0</v>
      </c>
      <c r="AC220" s="125">
        <f t="shared" si="57"/>
        <v>0</v>
      </c>
      <c r="AD220" s="125">
        <f t="shared" si="57"/>
        <v>0</v>
      </c>
      <c r="AE220" s="125">
        <f t="shared" si="57"/>
        <v>0</v>
      </c>
      <c r="AF220" s="126">
        <f t="shared" si="57"/>
        <v>0</v>
      </c>
      <c r="AG220" s="127">
        <f t="shared" si="57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58">AF222</f>
        <v>0</v>
      </c>
      <c r="C222" s="129">
        <v>0.3</v>
      </c>
      <c r="D222" s="129">
        <f t="shared" ref="D222:P227" si="59">C222</f>
        <v>0.3</v>
      </c>
      <c r="E222" s="129">
        <f t="shared" si="59"/>
        <v>0.3</v>
      </c>
      <c r="F222" s="129">
        <f t="shared" si="59"/>
        <v>0.3</v>
      </c>
      <c r="G222" s="129">
        <f t="shared" si="59"/>
        <v>0.3</v>
      </c>
      <c r="H222" s="129">
        <f t="shared" si="59"/>
        <v>0.3</v>
      </c>
      <c r="I222" s="129">
        <f t="shared" si="59"/>
        <v>0.3</v>
      </c>
      <c r="J222" s="129">
        <f t="shared" si="59"/>
        <v>0.3</v>
      </c>
      <c r="K222" s="129">
        <f t="shared" si="59"/>
        <v>0.3</v>
      </c>
      <c r="L222" s="129">
        <f t="shared" si="59"/>
        <v>0.3</v>
      </c>
      <c r="M222" s="129">
        <f t="shared" si="59"/>
        <v>0.3</v>
      </c>
      <c r="N222" s="129">
        <f t="shared" si="59"/>
        <v>0.3</v>
      </c>
      <c r="O222" s="129">
        <f t="shared" si="59"/>
        <v>0.3</v>
      </c>
      <c r="P222" s="129">
        <f t="shared" si="5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58"/>
        <v>0</v>
      </c>
      <c r="C223" s="117">
        <v>0.4</v>
      </c>
      <c r="D223" s="117">
        <f t="shared" si="59"/>
        <v>0.4</v>
      </c>
      <c r="E223" s="117">
        <f t="shared" si="59"/>
        <v>0.4</v>
      </c>
      <c r="F223" s="117">
        <f t="shared" si="59"/>
        <v>0.4</v>
      </c>
      <c r="G223" s="117">
        <f t="shared" si="59"/>
        <v>0.4</v>
      </c>
      <c r="H223" s="117">
        <f t="shared" si="59"/>
        <v>0.4</v>
      </c>
      <c r="I223" s="117">
        <f t="shared" si="59"/>
        <v>0.4</v>
      </c>
      <c r="J223" s="117">
        <f t="shared" si="59"/>
        <v>0.4</v>
      </c>
      <c r="K223" s="117">
        <f t="shared" si="59"/>
        <v>0.4</v>
      </c>
      <c r="L223" s="117">
        <f t="shared" si="59"/>
        <v>0.4</v>
      </c>
      <c r="M223" s="117">
        <f t="shared" si="59"/>
        <v>0.4</v>
      </c>
      <c r="N223" s="117">
        <f t="shared" si="59"/>
        <v>0.4</v>
      </c>
      <c r="O223" s="117">
        <f t="shared" si="59"/>
        <v>0.4</v>
      </c>
      <c r="P223" s="117">
        <f t="shared" si="5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58"/>
        <v>0</v>
      </c>
      <c r="C224" s="117">
        <v>1.5</v>
      </c>
      <c r="D224" s="117">
        <f t="shared" si="59"/>
        <v>1.5</v>
      </c>
      <c r="E224" s="117">
        <f t="shared" si="59"/>
        <v>1.5</v>
      </c>
      <c r="F224" s="117">
        <f t="shared" si="59"/>
        <v>1.5</v>
      </c>
      <c r="G224" s="117">
        <f t="shared" si="59"/>
        <v>1.5</v>
      </c>
      <c r="H224" s="117">
        <f t="shared" si="59"/>
        <v>1.5</v>
      </c>
      <c r="I224" s="117">
        <f t="shared" si="59"/>
        <v>1.5</v>
      </c>
      <c r="J224" s="117">
        <f t="shared" si="59"/>
        <v>1.5</v>
      </c>
      <c r="K224" s="117">
        <f t="shared" si="59"/>
        <v>1.5</v>
      </c>
      <c r="L224" s="117">
        <f t="shared" si="59"/>
        <v>1.5</v>
      </c>
      <c r="M224" s="117">
        <f t="shared" si="59"/>
        <v>1.5</v>
      </c>
      <c r="N224" s="117">
        <f t="shared" si="59"/>
        <v>1.5</v>
      </c>
      <c r="O224" s="117">
        <f t="shared" si="59"/>
        <v>1.5</v>
      </c>
      <c r="P224" s="117">
        <f t="shared" si="5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58"/>
        <v>0</v>
      </c>
      <c r="C225" s="117">
        <v>0.3</v>
      </c>
      <c r="D225" s="117">
        <f t="shared" si="59"/>
        <v>0.3</v>
      </c>
      <c r="E225" s="117">
        <f t="shared" si="59"/>
        <v>0.3</v>
      </c>
      <c r="F225" s="117">
        <f t="shared" si="59"/>
        <v>0.3</v>
      </c>
      <c r="G225" s="117">
        <f t="shared" si="59"/>
        <v>0.3</v>
      </c>
      <c r="H225" s="117">
        <f t="shared" si="59"/>
        <v>0.3</v>
      </c>
      <c r="I225" s="117">
        <f t="shared" si="59"/>
        <v>0.3</v>
      </c>
      <c r="J225" s="117">
        <f t="shared" si="59"/>
        <v>0.3</v>
      </c>
      <c r="K225" s="117">
        <f t="shared" si="59"/>
        <v>0.3</v>
      </c>
      <c r="L225" s="117">
        <f t="shared" si="59"/>
        <v>0.3</v>
      </c>
      <c r="M225" s="117">
        <f t="shared" si="59"/>
        <v>0.3</v>
      </c>
      <c r="N225" s="117">
        <f t="shared" si="59"/>
        <v>0.3</v>
      </c>
      <c r="O225" s="117">
        <f t="shared" si="59"/>
        <v>0.3</v>
      </c>
      <c r="P225" s="117">
        <f t="shared" si="5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58"/>
        <v>0</v>
      </c>
      <c r="C226" s="117">
        <v>0.4</v>
      </c>
      <c r="D226" s="117">
        <f t="shared" si="59"/>
        <v>0.4</v>
      </c>
      <c r="E226" s="117">
        <f t="shared" si="59"/>
        <v>0.4</v>
      </c>
      <c r="F226" s="117">
        <f t="shared" si="59"/>
        <v>0.4</v>
      </c>
      <c r="G226" s="117">
        <f t="shared" si="59"/>
        <v>0.4</v>
      </c>
      <c r="H226" s="117">
        <f t="shared" si="59"/>
        <v>0.4</v>
      </c>
      <c r="I226" s="117">
        <f t="shared" si="59"/>
        <v>0.4</v>
      </c>
      <c r="J226" s="117">
        <f t="shared" si="59"/>
        <v>0.4</v>
      </c>
      <c r="K226" s="117">
        <f t="shared" si="59"/>
        <v>0.4</v>
      </c>
      <c r="L226" s="117">
        <f t="shared" si="59"/>
        <v>0.4</v>
      </c>
      <c r="M226" s="117">
        <f t="shared" si="59"/>
        <v>0.4</v>
      </c>
      <c r="N226" s="117">
        <f t="shared" si="59"/>
        <v>0.4</v>
      </c>
      <c r="O226" s="117">
        <f t="shared" si="59"/>
        <v>0.4</v>
      </c>
      <c r="P226" s="117">
        <f t="shared" si="5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58"/>
        <v>0</v>
      </c>
      <c r="C227" s="121">
        <v>0.64</v>
      </c>
      <c r="D227" s="121">
        <f t="shared" si="59"/>
        <v>0.64</v>
      </c>
      <c r="E227" s="121">
        <f t="shared" si="59"/>
        <v>0.64</v>
      </c>
      <c r="F227" s="121">
        <f t="shared" si="59"/>
        <v>0.64</v>
      </c>
      <c r="G227" s="121">
        <f t="shared" si="59"/>
        <v>0.64</v>
      </c>
      <c r="H227" s="121">
        <f t="shared" si="59"/>
        <v>0.64</v>
      </c>
      <c r="I227" s="121">
        <f t="shared" si="59"/>
        <v>0.64</v>
      </c>
      <c r="J227" s="121">
        <f t="shared" si="59"/>
        <v>0.64</v>
      </c>
      <c r="K227" s="121">
        <f t="shared" si="59"/>
        <v>0.64</v>
      </c>
      <c r="L227" s="121">
        <f t="shared" si="59"/>
        <v>0.64</v>
      </c>
      <c r="M227" s="121">
        <f t="shared" si="59"/>
        <v>0.64</v>
      </c>
      <c r="N227" s="121">
        <f t="shared" si="59"/>
        <v>0.64</v>
      </c>
      <c r="O227" s="121">
        <f t="shared" si="59"/>
        <v>0.64</v>
      </c>
      <c r="P227" s="121">
        <f t="shared" si="5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60">SUM(B222:B227)</f>
        <v>0</v>
      </c>
      <c r="C228" s="125">
        <f t="shared" si="60"/>
        <v>3.54</v>
      </c>
      <c r="D228" s="125">
        <f t="shared" si="60"/>
        <v>3.54</v>
      </c>
      <c r="E228" s="125">
        <f t="shared" si="60"/>
        <v>3.54</v>
      </c>
      <c r="F228" s="125">
        <f t="shared" si="60"/>
        <v>3.54</v>
      </c>
      <c r="G228" s="125">
        <f t="shared" si="60"/>
        <v>3.54</v>
      </c>
      <c r="H228" s="125">
        <f t="shared" si="60"/>
        <v>3.54</v>
      </c>
      <c r="I228" s="125">
        <f t="shared" si="60"/>
        <v>3.54</v>
      </c>
      <c r="J228" s="125">
        <f t="shared" si="60"/>
        <v>3.54</v>
      </c>
      <c r="K228" s="125">
        <f t="shared" si="60"/>
        <v>3.54</v>
      </c>
      <c r="L228" s="125">
        <f t="shared" si="60"/>
        <v>3.54</v>
      </c>
      <c r="M228" s="125">
        <f t="shared" si="60"/>
        <v>3.54</v>
      </c>
      <c r="N228" s="125">
        <f t="shared" si="60"/>
        <v>3.54</v>
      </c>
      <c r="O228" s="125">
        <f t="shared" si="60"/>
        <v>3.54</v>
      </c>
      <c r="P228" s="125">
        <f t="shared" si="60"/>
        <v>3.54</v>
      </c>
      <c r="Q228" s="125">
        <f t="shared" si="60"/>
        <v>0</v>
      </c>
      <c r="R228" s="125">
        <f t="shared" si="60"/>
        <v>0</v>
      </c>
      <c r="S228" s="125">
        <f t="shared" si="60"/>
        <v>0</v>
      </c>
      <c r="T228" s="125">
        <f t="shared" si="60"/>
        <v>0</v>
      </c>
      <c r="U228" s="125">
        <f t="shared" si="60"/>
        <v>0</v>
      </c>
      <c r="V228" s="125">
        <f t="shared" si="60"/>
        <v>0</v>
      </c>
      <c r="W228" s="125">
        <f t="shared" si="60"/>
        <v>0</v>
      </c>
      <c r="X228" s="125">
        <f t="shared" si="60"/>
        <v>0</v>
      </c>
      <c r="Y228" s="125">
        <f t="shared" si="60"/>
        <v>0</v>
      </c>
      <c r="Z228" s="125">
        <f t="shared" si="60"/>
        <v>0</v>
      </c>
      <c r="AA228" s="125">
        <f t="shared" si="60"/>
        <v>0</v>
      </c>
      <c r="AB228" s="125">
        <f t="shared" si="60"/>
        <v>0</v>
      </c>
      <c r="AC228" s="125">
        <f t="shared" si="60"/>
        <v>0</v>
      </c>
      <c r="AD228" s="125">
        <f t="shared" si="60"/>
        <v>0</v>
      </c>
      <c r="AE228" s="125">
        <f t="shared" si="60"/>
        <v>0</v>
      </c>
      <c r="AF228" s="125">
        <f t="shared" si="60"/>
        <v>0</v>
      </c>
      <c r="AG228" s="134">
        <f t="shared" si="60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1496.34</v>
      </c>
      <c r="C237" s="150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2079/08/24)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61">B85</f>
        <v>978.94</v>
      </c>
      <c r="U242" s="159">
        <f t="shared" si="61"/>
        <v>980.44</v>
      </c>
      <c r="V242" s="159">
        <f t="shared" si="61"/>
        <v>962.04000000000008</v>
      </c>
      <c r="W242" s="159">
        <f t="shared" si="61"/>
        <v>942.14</v>
      </c>
      <c r="X242" s="159">
        <f t="shared" si="61"/>
        <v>945.24</v>
      </c>
      <c r="Y242" s="159">
        <f t="shared" si="61"/>
        <v>1005.8400000000001</v>
      </c>
      <c r="Z242" s="159">
        <f t="shared" si="61"/>
        <v>1048.3400000000001</v>
      </c>
      <c r="AA242" s="159">
        <f t="shared" si="61"/>
        <v>1101.54</v>
      </c>
      <c r="AB242" s="159">
        <f t="shared" si="61"/>
        <v>1261.24</v>
      </c>
      <c r="AC242" s="159">
        <f t="shared" si="61"/>
        <v>1425.9399999999998</v>
      </c>
      <c r="AD242" s="159">
        <f t="shared" si="61"/>
        <v>1452.8400000000001</v>
      </c>
      <c r="AE242" s="159">
        <f t="shared" si="61"/>
        <v>1495.7399999999998</v>
      </c>
      <c r="AF242" s="159">
        <f t="shared" si="61"/>
        <v>1496.34</v>
      </c>
      <c r="AG242" s="159">
        <f t="shared" si="61"/>
        <v>1264.1400000000001</v>
      </c>
      <c r="AH242" s="159">
        <f t="shared" si="61"/>
        <v>1303.6400000000001</v>
      </c>
      <c r="AI242" s="159">
        <f t="shared" si="61"/>
        <v>1168.94</v>
      </c>
      <c r="AJ242" s="159">
        <f t="shared" si="61"/>
        <v>1186.5400000000002</v>
      </c>
      <c r="AK242" s="159">
        <f t="shared" si="61"/>
        <v>1146.5400000000002</v>
      </c>
      <c r="AL242" s="159">
        <f t="shared" si="61"/>
        <v>1062.74</v>
      </c>
      <c r="AM242" s="159">
        <f t="shared" si="61"/>
        <v>1046.04</v>
      </c>
      <c r="AN242" s="159">
        <f t="shared" si="61"/>
        <v>1181.24</v>
      </c>
      <c r="AO242" s="159">
        <f t="shared" si="61"/>
        <v>1546.8400000000001</v>
      </c>
      <c r="AP242" s="159">
        <f t="shared" si="61"/>
        <v>1567.94</v>
      </c>
      <c r="AQ242" s="159">
        <f t="shared" si="61"/>
        <v>1515.14</v>
      </c>
      <c r="AR242" s="159">
        <f t="shared" si="61"/>
        <v>1491.74</v>
      </c>
      <c r="AS242" s="159">
        <f t="shared" si="61"/>
        <v>1437.2399999999998</v>
      </c>
      <c r="AT242" s="159">
        <f t="shared" si="61"/>
        <v>1360.9399999999998</v>
      </c>
      <c r="AU242" s="159">
        <f t="shared" si="61"/>
        <v>1324.84</v>
      </c>
      <c r="AV242" s="159">
        <f t="shared" si="61"/>
        <v>1271.1400000000001</v>
      </c>
      <c r="AW242" s="159">
        <f t="shared" si="61"/>
        <v>1038.8400000000001</v>
      </c>
      <c r="AX242" s="159">
        <f t="shared" si="61"/>
        <v>954.34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62">C227</f>
        <v>0.64</v>
      </c>
      <c r="C263" s="162">
        <f t="shared" si="62"/>
        <v>0.64</v>
      </c>
      <c r="D263" s="162">
        <f t="shared" si="62"/>
        <v>0.64</v>
      </c>
      <c r="E263" s="162">
        <f t="shared" si="62"/>
        <v>0.64</v>
      </c>
      <c r="F263" s="162">
        <f t="shared" si="62"/>
        <v>0.64</v>
      </c>
      <c r="G263" s="162">
        <f t="shared" si="62"/>
        <v>0.64</v>
      </c>
      <c r="H263" s="162">
        <f t="shared" si="62"/>
        <v>0.64</v>
      </c>
      <c r="I263" s="162">
        <f t="shared" si="62"/>
        <v>0.64</v>
      </c>
      <c r="J263" s="162">
        <f t="shared" si="62"/>
        <v>0.64</v>
      </c>
      <c r="K263" s="162">
        <f t="shared" si="62"/>
        <v>0.64</v>
      </c>
      <c r="L263" s="162">
        <f t="shared" si="62"/>
        <v>0.64</v>
      </c>
      <c r="M263" s="162">
        <f t="shared" si="62"/>
        <v>0.64</v>
      </c>
      <c r="N263" s="162">
        <f t="shared" si="62"/>
        <v>0.64</v>
      </c>
      <c r="O263" s="162">
        <f t="shared" si="62"/>
        <v>0.64</v>
      </c>
      <c r="P263" s="162">
        <f t="shared" si="62"/>
        <v>0</v>
      </c>
      <c r="Q263" s="162">
        <f t="shared" si="62"/>
        <v>0</v>
      </c>
      <c r="R263" s="162">
        <f t="shared" si="62"/>
        <v>0</v>
      </c>
      <c r="S263" s="162">
        <f t="shared" si="62"/>
        <v>0</v>
      </c>
      <c r="T263" s="162">
        <f t="shared" si="62"/>
        <v>0</v>
      </c>
      <c r="U263" s="162">
        <f t="shared" si="62"/>
        <v>0</v>
      </c>
      <c r="V263" s="162">
        <f t="shared" si="62"/>
        <v>0</v>
      </c>
      <c r="W263" s="162">
        <f t="shared" si="62"/>
        <v>0</v>
      </c>
      <c r="X263" s="162">
        <f t="shared" si="62"/>
        <v>0</v>
      </c>
      <c r="Y263" s="162">
        <f t="shared" si="62"/>
        <v>0</v>
      </c>
      <c r="Z263" s="162">
        <f t="shared" si="62"/>
        <v>0</v>
      </c>
      <c r="AA263" s="162">
        <f t="shared" si="62"/>
        <v>0</v>
      </c>
      <c r="AB263" s="162">
        <f t="shared" si="62"/>
        <v>0</v>
      </c>
      <c r="AC263" s="162">
        <f t="shared" si="62"/>
        <v>0</v>
      </c>
      <c r="AD263" s="162">
        <f t="shared" si="62"/>
        <v>0</v>
      </c>
      <c r="AE263" s="162">
        <f t="shared" si="62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63">IF(B231&lt;100,"",B231-520)</f>
        <v/>
      </c>
      <c r="C264" s="163" t="str">
        <f t="shared" si="63"/>
        <v/>
      </c>
      <c r="D264" s="163" t="str">
        <f t="shared" si="63"/>
        <v/>
      </c>
      <c r="E264" s="163" t="str">
        <f t="shared" si="63"/>
        <v/>
      </c>
      <c r="F264" s="163" t="str">
        <f t="shared" si="63"/>
        <v/>
      </c>
      <c r="G264" s="163" t="str">
        <f t="shared" si="63"/>
        <v/>
      </c>
      <c r="H264" s="163" t="str">
        <f t="shared" si="63"/>
        <v/>
      </c>
      <c r="I264" s="163" t="str">
        <f t="shared" si="63"/>
        <v/>
      </c>
      <c r="J264" s="163" t="str">
        <f t="shared" si="63"/>
        <v/>
      </c>
      <c r="K264" s="163" t="str">
        <f t="shared" si="63"/>
        <v/>
      </c>
      <c r="L264" s="163" t="str">
        <f t="shared" si="63"/>
        <v/>
      </c>
      <c r="M264" s="163" t="str">
        <f t="shared" si="63"/>
        <v/>
      </c>
      <c r="N264" s="163" t="str">
        <f t="shared" si="63"/>
        <v/>
      </c>
      <c r="O264" s="163" t="str">
        <f t="shared" si="63"/>
        <v/>
      </c>
      <c r="P264" s="163" t="str">
        <f t="shared" si="63"/>
        <v/>
      </c>
      <c r="Q264" s="163" t="str">
        <f t="shared" si="63"/>
        <v/>
      </c>
      <c r="R264" s="163" t="str">
        <f t="shared" si="63"/>
        <v/>
      </c>
      <c r="S264" s="163" t="str">
        <f t="shared" si="63"/>
        <v/>
      </c>
      <c r="T264" s="163" t="str">
        <f t="shared" si="63"/>
        <v/>
      </c>
      <c r="U264" s="163" t="str">
        <f t="shared" si="63"/>
        <v/>
      </c>
      <c r="V264" s="163" t="str">
        <f t="shared" si="63"/>
        <v/>
      </c>
      <c r="W264" s="163" t="str">
        <f t="shared" si="63"/>
        <v/>
      </c>
      <c r="X264" s="163" t="str">
        <f t="shared" si="63"/>
        <v/>
      </c>
      <c r="Y264" s="163" t="str">
        <f t="shared" si="63"/>
        <v/>
      </c>
      <c r="Z264" s="163" t="str">
        <f t="shared" si="63"/>
        <v/>
      </c>
      <c r="AA264" s="163" t="str">
        <f t="shared" si="63"/>
        <v/>
      </c>
      <c r="AB264" s="163" t="str">
        <f t="shared" si="63"/>
        <v/>
      </c>
      <c r="AC264" s="163" t="str">
        <f t="shared" si="63"/>
        <v/>
      </c>
      <c r="AD264" s="163" t="str">
        <f t="shared" si="63"/>
        <v/>
      </c>
      <c r="AE264" s="163" t="str">
        <f t="shared" si="63"/>
        <v/>
      </c>
      <c r="AF264" s="163" t="str">
        <f t="shared" si="63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64">IF(B232&lt;100,"",B232-620)</f>
        <v/>
      </c>
      <c r="C265" s="163" t="str">
        <f t="shared" si="64"/>
        <v/>
      </c>
      <c r="D265" s="163" t="str">
        <f t="shared" si="64"/>
        <v/>
      </c>
      <c r="E265" s="163" t="str">
        <f t="shared" si="64"/>
        <v/>
      </c>
      <c r="F265" s="163" t="str">
        <f t="shared" si="64"/>
        <v/>
      </c>
      <c r="G265" s="163" t="str">
        <f t="shared" si="64"/>
        <v/>
      </c>
      <c r="H265" s="163" t="str">
        <f t="shared" si="64"/>
        <v/>
      </c>
      <c r="I265" s="163" t="str">
        <f t="shared" si="64"/>
        <v/>
      </c>
      <c r="J265" s="163" t="str">
        <f t="shared" si="64"/>
        <v/>
      </c>
      <c r="K265" s="163" t="str">
        <f t="shared" si="64"/>
        <v/>
      </c>
      <c r="L265" s="163" t="str">
        <f t="shared" si="64"/>
        <v/>
      </c>
      <c r="M265" s="163" t="str">
        <f t="shared" si="64"/>
        <v/>
      </c>
      <c r="N265" s="163" t="str">
        <f t="shared" si="64"/>
        <v/>
      </c>
      <c r="O265" s="163" t="str">
        <f t="shared" si="64"/>
        <v/>
      </c>
      <c r="P265" s="163" t="str">
        <f t="shared" si="64"/>
        <v/>
      </c>
      <c r="Q265" s="163" t="str">
        <f t="shared" si="64"/>
        <v/>
      </c>
      <c r="R265" s="163" t="str">
        <f t="shared" si="64"/>
        <v/>
      </c>
      <c r="S265" s="163" t="str">
        <f t="shared" si="64"/>
        <v/>
      </c>
      <c r="T265" s="163" t="str">
        <f t="shared" si="64"/>
        <v/>
      </c>
      <c r="U265" s="163" t="str">
        <f t="shared" si="64"/>
        <v/>
      </c>
      <c r="V265" s="163" t="str">
        <f t="shared" si="64"/>
        <v/>
      </c>
      <c r="W265" s="163" t="str">
        <f t="shared" si="64"/>
        <v/>
      </c>
      <c r="X265" s="163" t="str">
        <f t="shared" si="64"/>
        <v/>
      </c>
      <c r="Y265" s="163" t="str">
        <f t="shared" si="64"/>
        <v/>
      </c>
      <c r="Z265" s="163" t="str">
        <f t="shared" si="64"/>
        <v/>
      </c>
      <c r="AA265" s="163" t="str">
        <f t="shared" si="64"/>
        <v/>
      </c>
      <c r="AB265" s="163" t="str">
        <f t="shared" si="64"/>
        <v/>
      </c>
      <c r="AC265" s="163" t="str">
        <f t="shared" si="64"/>
        <v/>
      </c>
      <c r="AD265" s="163" t="str">
        <f t="shared" si="64"/>
        <v/>
      </c>
      <c r="AE265" s="163" t="str">
        <f t="shared" si="64"/>
        <v/>
      </c>
      <c r="AF265" s="163" t="str">
        <f t="shared" si="64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65">IF(B233&lt;100,"",B233-330)</f>
        <v/>
      </c>
      <c r="C266" s="163" t="str">
        <f t="shared" si="65"/>
        <v/>
      </c>
      <c r="D266" s="163" t="str">
        <f t="shared" si="65"/>
        <v/>
      </c>
      <c r="E266" s="163" t="str">
        <f t="shared" si="65"/>
        <v/>
      </c>
      <c r="F266" s="163" t="str">
        <f t="shared" si="65"/>
        <v/>
      </c>
      <c r="G266" s="163" t="str">
        <f t="shared" si="65"/>
        <v/>
      </c>
      <c r="H266" s="163" t="str">
        <f t="shared" si="65"/>
        <v/>
      </c>
      <c r="I266" s="163" t="str">
        <f t="shared" si="65"/>
        <v/>
      </c>
      <c r="J266" s="163" t="str">
        <f t="shared" si="65"/>
        <v/>
      </c>
      <c r="K266" s="163" t="str">
        <f t="shared" si="65"/>
        <v/>
      </c>
      <c r="L266" s="163" t="str">
        <f t="shared" si="65"/>
        <v/>
      </c>
      <c r="M266" s="163" t="str">
        <f t="shared" si="65"/>
        <v/>
      </c>
      <c r="N266" s="163" t="str">
        <f t="shared" si="65"/>
        <v/>
      </c>
      <c r="O266" s="163" t="str">
        <f t="shared" si="65"/>
        <v/>
      </c>
      <c r="P266" s="163" t="str">
        <f t="shared" si="65"/>
        <v/>
      </c>
      <c r="Q266" s="163" t="str">
        <f t="shared" si="65"/>
        <v/>
      </c>
      <c r="R266" s="163" t="str">
        <f t="shared" si="65"/>
        <v/>
      </c>
      <c r="S266" s="163" t="str">
        <f t="shared" si="65"/>
        <v/>
      </c>
      <c r="T266" s="163" t="str">
        <f t="shared" si="65"/>
        <v/>
      </c>
      <c r="U266" s="163" t="str">
        <f t="shared" si="65"/>
        <v/>
      </c>
      <c r="V266" s="163" t="str">
        <f t="shared" si="65"/>
        <v/>
      </c>
      <c r="W266" s="163" t="str">
        <f t="shared" si="65"/>
        <v/>
      </c>
      <c r="X266" s="163" t="str">
        <f t="shared" si="65"/>
        <v/>
      </c>
      <c r="Y266" s="163" t="str">
        <f t="shared" si="65"/>
        <v/>
      </c>
      <c r="Z266" s="163" t="str">
        <f t="shared" si="65"/>
        <v/>
      </c>
      <c r="AA266" s="163" t="str">
        <f t="shared" si="65"/>
        <v/>
      </c>
      <c r="AB266" s="163" t="str">
        <f t="shared" si="65"/>
        <v/>
      </c>
      <c r="AC266" s="163" t="str">
        <f t="shared" si="65"/>
        <v/>
      </c>
      <c r="AD266" s="163" t="str">
        <f t="shared" si="65"/>
        <v/>
      </c>
      <c r="AE266" s="163" t="str">
        <f t="shared" si="65"/>
        <v/>
      </c>
      <c r="AF266" s="163" t="str">
        <f t="shared" si="65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66">IF(B234&lt;100,"",B234-1500)</f>
        <v/>
      </c>
      <c r="C267" s="163" t="str">
        <f t="shared" si="66"/>
        <v/>
      </c>
      <c r="D267" s="163" t="str">
        <f t="shared" si="66"/>
        <v/>
      </c>
      <c r="E267" s="163" t="str">
        <f t="shared" si="66"/>
        <v/>
      </c>
      <c r="F267" s="163" t="str">
        <f t="shared" si="66"/>
        <v/>
      </c>
      <c r="G267" s="163" t="str">
        <f t="shared" si="66"/>
        <v/>
      </c>
      <c r="H267" s="163" t="str">
        <f t="shared" si="66"/>
        <v/>
      </c>
      <c r="I267" s="163" t="str">
        <f t="shared" si="66"/>
        <v/>
      </c>
      <c r="J267" s="163" t="str">
        <f t="shared" si="66"/>
        <v/>
      </c>
      <c r="K267" s="163" t="str">
        <f t="shared" si="66"/>
        <v/>
      </c>
      <c r="L267" s="163" t="str">
        <f t="shared" si="66"/>
        <v/>
      </c>
      <c r="M267" s="163" t="str">
        <f t="shared" si="66"/>
        <v/>
      </c>
      <c r="N267" s="163" t="str">
        <f t="shared" si="66"/>
        <v/>
      </c>
      <c r="O267" s="163" t="str">
        <f t="shared" si="66"/>
        <v/>
      </c>
      <c r="P267" s="163" t="str">
        <f t="shared" si="66"/>
        <v/>
      </c>
      <c r="Q267" s="163" t="str">
        <f t="shared" si="66"/>
        <v/>
      </c>
      <c r="R267" s="163" t="str">
        <f t="shared" si="66"/>
        <v/>
      </c>
      <c r="S267" s="163" t="str">
        <f t="shared" si="66"/>
        <v/>
      </c>
      <c r="T267" s="163" t="str">
        <f t="shared" si="66"/>
        <v/>
      </c>
      <c r="U267" s="163" t="str">
        <f t="shared" si="66"/>
        <v/>
      </c>
      <c r="V267" s="163" t="str">
        <f t="shared" si="66"/>
        <v/>
      </c>
      <c r="W267" s="163" t="str">
        <f t="shared" si="66"/>
        <v/>
      </c>
      <c r="X267" s="163" t="str">
        <f t="shared" si="66"/>
        <v/>
      </c>
      <c r="Y267" s="163" t="str">
        <f t="shared" si="66"/>
        <v/>
      </c>
      <c r="Z267" s="163" t="str">
        <f t="shared" si="66"/>
        <v/>
      </c>
      <c r="AA267" s="163" t="str">
        <f t="shared" si="66"/>
        <v/>
      </c>
      <c r="AB267" s="163" t="str">
        <f t="shared" si="66"/>
        <v/>
      </c>
      <c r="AC267" s="163" t="str">
        <f t="shared" si="66"/>
        <v/>
      </c>
      <c r="AD267" s="163" t="str">
        <f t="shared" si="66"/>
        <v/>
      </c>
      <c r="AE267" s="163" t="str">
        <f t="shared" si="66"/>
        <v/>
      </c>
      <c r="AF267" s="163" t="str">
        <f t="shared" si="6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105:AF105 C107:AF112 U11:AF11 B22:AF26 B17:AF18 B15:AF15">
    <cfRule type="expression" dxfId="3155" priority="239">
      <formula>B$9&gt;=20/24</formula>
    </cfRule>
    <cfRule type="expression" dxfId="3154" priority="240">
      <formula>AND(B$9&gt;=14/24,B$9&lt;20/24)</formula>
    </cfRule>
    <cfRule type="expression" dxfId="3153" priority="241">
      <formula>AND(B$9&gt;=8/24,B$9&lt;14/24)</formula>
    </cfRule>
    <cfRule type="expression" dxfId="3152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3151" priority="234">
      <formula>S$9&gt;=20/24</formula>
    </cfRule>
    <cfRule type="expression" dxfId="3150" priority="235">
      <formula>AND(S$9&gt;=14/24,S$9&lt;20/24)</formula>
    </cfRule>
    <cfRule type="expression" dxfId="3149" priority="236">
      <formula>AND(S$9&gt;=8/24,S$9&lt;14/24)</formula>
    </cfRule>
    <cfRule type="expression" dxfId="3148" priority="237">
      <formula>S$9&lt;8/24</formula>
    </cfRule>
  </conditionalFormatting>
  <conditionalFormatting sqref="AG61 U11:AD11 B12:AD18 S43:AF43 B41:AF41 B20:AF20 B22:AF26 AE11:AF18">
    <cfRule type="expression" dxfId="3147" priority="233">
      <formula>B11&gt;$AG11</formula>
    </cfRule>
  </conditionalFormatting>
  <conditionalFormatting sqref="A95:A105 A55:A82 A91:A93 A198:A228 A42:A53 A114:A185 A38:A39 A87:A89 A84:A85 A107:A109 A35:A36 A17:A18 A11:A15 A20:A33">
    <cfRule type="expression" dxfId="3146" priority="232">
      <formula>$AH11=0</formula>
    </cfRule>
  </conditionalFormatting>
  <conditionalFormatting sqref="A110">
    <cfRule type="expression" dxfId="3145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144" priority="229">
      <formula>$AH41=0</formula>
    </cfRule>
  </conditionalFormatting>
  <conditionalFormatting sqref="A94">
    <cfRule type="expression" dxfId="3143" priority="228">
      <formula>$AH94=0</formula>
    </cfRule>
  </conditionalFormatting>
  <conditionalFormatting sqref="A16">
    <cfRule type="expression" dxfId="3142" priority="227">
      <formula>$AH16=0</formula>
    </cfRule>
  </conditionalFormatting>
  <conditionalFormatting sqref="A192:A197">
    <cfRule type="expression" dxfId="3141" priority="226">
      <formula>$AH192=0</formula>
    </cfRule>
  </conditionalFormatting>
  <conditionalFormatting sqref="A186:A191">
    <cfRule type="expression" dxfId="3140" priority="225">
      <formula>$AH186=0</formula>
    </cfRule>
  </conditionalFormatting>
  <conditionalFormatting sqref="A54">
    <cfRule type="expression" dxfId="3139" priority="224">
      <formula>$AH54=0</formula>
    </cfRule>
  </conditionalFormatting>
  <conditionalFormatting sqref="A90">
    <cfRule type="expression" dxfId="3138" priority="223">
      <formula>$AH90=0</formula>
    </cfRule>
  </conditionalFormatting>
  <conditionalFormatting sqref="C95:AF95">
    <cfRule type="expression" dxfId="3137" priority="219">
      <formula>C$9&gt;=20/24</formula>
    </cfRule>
    <cfRule type="expression" dxfId="3136" priority="220">
      <formula>AND(C$9&gt;=14/24,C$9&lt;20/24)</formula>
    </cfRule>
    <cfRule type="expression" dxfId="3135" priority="221">
      <formula>AND(C$9&gt;=8/24,C$9&lt;14/24)</formula>
    </cfRule>
    <cfRule type="expression" dxfId="3134" priority="222">
      <formula>C$9&lt;8/24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33" priority="245">
      <formula>C$9&gt;=20/24</formula>
    </cfRule>
    <cfRule type="expression" dxfId="3132" priority="246">
      <formula>AND(C$9&gt;=14/24,C$9&lt;20/24)</formula>
    </cfRule>
    <cfRule type="expression" dxfId="3131" priority="247">
      <formula>AND(C$9&gt;=8/24,C$9&lt;14/24)</formula>
    </cfRule>
    <cfRule type="expression" dxfId="3130" priority="248">
      <formula>C$9&lt;8/24</formula>
    </cfRule>
  </conditionalFormatting>
  <conditionalFormatting sqref="A229">
    <cfRule type="expression" dxfId="3129" priority="249">
      <formula>$AH229=0</formula>
    </cfRule>
  </conditionalFormatting>
  <conditionalFormatting sqref="AG241">
    <cfRule type="expression" dxfId="3128" priority="250">
      <formula>B$9&gt;=20/24</formula>
    </cfRule>
    <cfRule type="expression" dxfId="3127" priority="251">
      <formula>AND(B$9&gt;=14/24,B$9&lt;20/24)</formula>
    </cfRule>
    <cfRule type="expression" dxfId="3126" priority="252">
      <formula>AND(B$9&gt;=8/24,B$9&lt;14/24)</formula>
    </cfRule>
    <cfRule type="expression" dxfId="3125" priority="253">
      <formula>B$9&lt;8/24</formula>
    </cfRule>
  </conditionalFormatting>
  <conditionalFormatting sqref="S8">
    <cfRule type="expression" dxfId="3124" priority="214">
      <formula>U$9&gt;=20/24</formula>
    </cfRule>
    <cfRule type="expression" dxfId="3123" priority="215">
      <formula>AND(U$9&gt;=14/24,U$9&lt;20/24)</formula>
    </cfRule>
    <cfRule type="expression" dxfId="3122" priority="216">
      <formula>AND(U$9&gt;=8/24,U$9&lt;14/24)</formula>
    </cfRule>
    <cfRule type="expression" dxfId="3121" priority="217">
      <formula>U$9&lt;8/24</formula>
    </cfRule>
  </conditionalFormatting>
  <conditionalFormatting sqref="AB8">
    <cfRule type="expression" dxfId="3120" priority="210">
      <formula>AD$9&gt;=20/24</formula>
    </cfRule>
    <cfRule type="expression" dxfId="3119" priority="211">
      <formula>AND(AD$9&gt;=14/24,AD$9&lt;20/24)</formula>
    </cfRule>
    <cfRule type="expression" dxfId="3118" priority="212">
      <formula>AND(AD$9&gt;=8/24,AD$9&lt;14/24)</formula>
    </cfRule>
    <cfRule type="expression" dxfId="3117" priority="213">
      <formula>AD$9&lt;8/24</formula>
    </cfRule>
  </conditionalFormatting>
  <conditionalFormatting sqref="AH241:AX241">
    <cfRule type="expression" dxfId="3116" priority="254">
      <formula>AG$9&gt;=20/24</formula>
    </cfRule>
    <cfRule type="expression" dxfId="3115" priority="255">
      <formula>AND(AG$9&gt;=14/24,AG$9&lt;20/24)</formula>
    </cfRule>
    <cfRule type="expression" dxfId="3114" priority="256">
      <formula>AND(AG$9&gt;=8/24,AG$9&lt;14/24)</formula>
    </cfRule>
    <cfRule type="expression" dxfId="3113" priority="257">
      <formula>AG$9&lt;8/24</formula>
    </cfRule>
  </conditionalFormatting>
  <conditionalFormatting sqref="T241">
    <cfRule type="expression" dxfId="3112" priority="258">
      <formula>AX$9&gt;=20/24</formula>
    </cfRule>
    <cfRule type="expression" dxfId="3111" priority="259">
      <formula>AND(AX$9&gt;=14/24,AX$9&lt;20/24)</formula>
    </cfRule>
    <cfRule type="expression" dxfId="3110" priority="260">
      <formula>AND(AX$9&gt;=8/24,AX$9&lt;14/24)</formula>
    </cfRule>
    <cfRule type="expression" dxfId="3109" priority="261">
      <formula>AX$9&lt;8/24</formula>
    </cfRule>
  </conditionalFormatting>
  <conditionalFormatting sqref="A111:A112">
    <cfRule type="expression" dxfId="3108" priority="209">
      <formula>$AH111=0</formula>
    </cfRule>
  </conditionalFormatting>
  <conditionalFormatting sqref="E50:Q51 E67:AF67 T50:AF51">
    <cfRule type="expression" dxfId="3107" priority="205">
      <formula>E$9&gt;=20/24</formula>
    </cfRule>
    <cfRule type="expression" dxfId="3106" priority="206">
      <formula>AND(E$9&gt;=14/24,E$9&lt;20/24)</formula>
    </cfRule>
    <cfRule type="expression" dxfId="3105" priority="207">
      <formula>AND(E$9&gt;=8/24,E$9&lt;14/24)</formula>
    </cfRule>
    <cfRule type="expression" dxfId="3104" priority="208">
      <formula>E$9&lt;8/24</formula>
    </cfRule>
  </conditionalFormatting>
  <conditionalFormatting sqref="E49:Q49 T49:AF49">
    <cfRule type="expression" dxfId="3103" priority="201">
      <formula>E$9&gt;=20/24</formula>
    </cfRule>
    <cfRule type="expression" dxfId="3102" priority="202">
      <formula>AND(E$9&gt;=14/24,E$9&lt;20/24)</formula>
    </cfRule>
    <cfRule type="expression" dxfId="3101" priority="203">
      <formula>AND(E$9&gt;=8/24,E$9&lt;14/24)</formula>
    </cfRule>
    <cfRule type="expression" dxfId="3100" priority="204">
      <formula>E$9&lt;8/24</formula>
    </cfRule>
  </conditionalFormatting>
  <conditionalFormatting sqref="E49:Q51 T49:AF51">
    <cfRule type="expression" dxfId="3099" priority="200">
      <formula>E49&gt;$AG49</formula>
    </cfRule>
  </conditionalFormatting>
  <conditionalFormatting sqref="C82:P82 M79:P81 C92:AF92 L43:R43 E68:AF69 T63:AF65 Q79:AF82 F96:AF102">
    <cfRule type="expression" dxfId="3098" priority="196">
      <formula>C$9&gt;=20/24</formula>
    </cfRule>
    <cfRule type="expression" dxfId="3097" priority="197">
      <formula>AND(C$9&gt;=14/24,C$9&lt;20/24)</formula>
    </cfRule>
    <cfRule type="expression" dxfId="3096" priority="198">
      <formula>AND(C$9&gt;=8/24,C$9&lt;14/24)</formula>
    </cfRule>
    <cfRule type="expression" dxfId="3095" priority="199">
      <formula>C$9&lt;8/24</formula>
    </cfRule>
  </conditionalFormatting>
  <conditionalFormatting sqref="C61:AF61 E52:Q52 L43:R43 T63:AF65">
    <cfRule type="expression" dxfId="3094" priority="191">
      <formula>C43&gt;$AG43</formula>
    </cfRule>
  </conditionalFormatting>
  <conditionalFormatting sqref="V52:AF53">
    <cfRule type="expression" dxfId="3093" priority="174">
      <formula>V$9&gt;=20/24</formula>
    </cfRule>
    <cfRule type="expression" dxfId="3092" priority="175">
      <formula>AND(V$9&gt;=14/24,V$9&lt;20/24)</formula>
    </cfRule>
    <cfRule type="expression" dxfId="3091" priority="176">
      <formula>AND(V$9&gt;=8/24,V$9&lt;14/24)</formula>
    </cfRule>
    <cfRule type="expression" dxfId="3090" priority="177">
      <formula>V$9&lt;8/24</formula>
    </cfRule>
  </conditionalFormatting>
  <conditionalFormatting sqref="V52:AF53">
    <cfRule type="expression" dxfId="3089" priority="173">
      <formula>V52&gt;$AG52</formula>
    </cfRule>
  </conditionalFormatting>
  <conditionalFormatting sqref="T52:U55 R49:S55 V54:AF55">
    <cfRule type="expression" dxfId="3088" priority="169">
      <formula>R$9&gt;=20/24</formula>
    </cfRule>
    <cfRule type="expression" dxfId="3087" priority="170">
      <formula>AND(R$9&gt;=14/24,R$9&lt;20/24)</formula>
    </cfRule>
    <cfRule type="expression" dxfId="3086" priority="171">
      <formula>AND(R$9&gt;=8/24,R$9&lt;14/24)</formula>
    </cfRule>
    <cfRule type="expression" dxfId="3085" priority="172">
      <formula>R$9&lt;8/24</formula>
    </cfRule>
  </conditionalFormatting>
  <conditionalFormatting sqref="T52:U55 R49:S55 V54:AF55">
    <cfRule type="expression" dxfId="3084" priority="168">
      <formula>R49&gt;$AG49</formula>
    </cfRule>
  </conditionalFormatting>
  <conditionalFormatting sqref="D49">
    <cfRule type="expression" dxfId="3083" priority="155">
      <formula>D$9&gt;=20/24</formula>
    </cfRule>
    <cfRule type="expression" dxfId="3082" priority="156">
      <formula>AND(D$9&gt;=14/24,D$9&lt;20/24)</formula>
    </cfRule>
    <cfRule type="expression" dxfId="3081" priority="157">
      <formula>AND(D$9&gt;=8/24,D$9&lt;14/24)</formula>
    </cfRule>
    <cfRule type="expression" dxfId="3080" priority="158">
      <formula>D$9&lt;8/24</formula>
    </cfRule>
  </conditionalFormatting>
  <conditionalFormatting sqref="D49">
    <cfRule type="expression" dxfId="3079" priority="154">
      <formula>D49&gt;$AG49</formula>
    </cfRule>
  </conditionalFormatting>
  <conditionalFormatting sqref="B105 B107:B112 B84:AF84 B93:AF93 B11:T11">
    <cfRule type="expression" dxfId="3078" priority="141">
      <formula>B$9&gt;=20/24</formula>
    </cfRule>
    <cfRule type="expression" dxfId="3077" priority="142">
      <formula>AND(B$9&gt;=14/24,B$9&lt;20/24)</formula>
    </cfRule>
    <cfRule type="expression" dxfId="3076" priority="143">
      <formula>AND(B$9&gt;=8/24,B$9&lt;14/24)</formula>
    </cfRule>
    <cfRule type="expression" dxfId="3075" priority="144">
      <formula>B$9&lt;8/24</formula>
    </cfRule>
  </conditionalFormatting>
  <conditionalFormatting sqref="B43:K43">
    <cfRule type="expression" dxfId="3074" priority="137">
      <formula>B$9&gt;=20/24</formula>
    </cfRule>
    <cfRule type="expression" dxfId="3073" priority="138">
      <formula>AND(B$9&gt;=14/24,B$9&lt;20/24)</formula>
    </cfRule>
    <cfRule type="expression" dxfId="3072" priority="139">
      <formula>AND(B$9&gt;=8/24,B$9&lt;14/24)</formula>
    </cfRule>
    <cfRule type="expression" dxfId="3071" priority="140">
      <formula>B$9&lt;8/24</formula>
    </cfRule>
  </conditionalFormatting>
  <conditionalFormatting sqref="B43:K43 B11:T11">
    <cfRule type="expression" dxfId="3070" priority="136">
      <formula>B11&gt;$AG11</formula>
    </cfRule>
  </conditionalFormatting>
  <conditionalFormatting sqref="B95">
    <cfRule type="expression" dxfId="3069" priority="132">
      <formula>B$9&gt;=20/24</formula>
    </cfRule>
    <cfRule type="expression" dxfId="3068" priority="133">
      <formula>AND(B$9&gt;=14/24,B$9&lt;20/24)</formula>
    </cfRule>
    <cfRule type="expression" dxfId="3067" priority="134">
      <formula>AND(B$9&gt;=8/24,B$9&lt;14/24)</formula>
    </cfRule>
    <cfRule type="expression" dxfId="3066" priority="135">
      <formula>B$9&lt;8/24</formula>
    </cfRule>
  </conditionalFormatting>
  <conditionalFormatting sqref="B50:D51 B67:D67 B42:AF42">
    <cfRule type="expression" dxfId="3065" priority="128">
      <formula>B$9&gt;=20/24</formula>
    </cfRule>
    <cfRule type="expression" dxfId="3064" priority="129">
      <formula>AND(B$9&gt;=14/24,B$9&lt;20/24)</formula>
    </cfRule>
    <cfRule type="expression" dxfId="3063" priority="130">
      <formula>AND(B$9&gt;=8/24,B$9&lt;14/24)</formula>
    </cfRule>
    <cfRule type="expression" dxfId="3062" priority="131">
      <formula>B$9&lt;8/24</formula>
    </cfRule>
  </conditionalFormatting>
  <conditionalFormatting sqref="B49:C49">
    <cfRule type="expression" dxfId="3061" priority="124">
      <formula>B$9&gt;=20/24</formula>
    </cfRule>
    <cfRule type="expression" dxfId="3060" priority="125">
      <formula>AND(B$9&gt;=14/24,B$9&lt;20/24)</formula>
    </cfRule>
    <cfRule type="expression" dxfId="3059" priority="126">
      <formula>AND(B$9&gt;=8/24,B$9&lt;14/24)</formula>
    </cfRule>
    <cfRule type="expression" dxfId="3058" priority="127">
      <formula>B$9&lt;8/24</formula>
    </cfRule>
  </conditionalFormatting>
  <conditionalFormatting sqref="B49:C51 D50:D51 B42:AF42">
    <cfRule type="expression" dxfId="3057" priority="123">
      <formula>B42&gt;$AG42</formula>
    </cfRule>
  </conditionalFormatting>
  <conditionalFormatting sqref="B79:B83 B92 B68:D69 C79:L81 B96:E102 R66:AG66 B85:AF85 C83:AG83 B63:Q66 R63:S65 B94:AF94 B12:AF14 B20:AF20 B33:AF33 B35:AF38 B28:AF31 B70:AF77">
    <cfRule type="expression" dxfId="3056" priority="119">
      <formula>B$9&gt;=20/24</formula>
    </cfRule>
    <cfRule type="expression" dxfId="3055" priority="120">
      <formula>AND(B$9&gt;=14/24,B$9&lt;20/24)</formula>
    </cfRule>
    <cfRule type="expression" dxfId="3054" priority="121">
      <formula>AND(B$9&gt;=8/24,B$9&lt;14/24)</formula>
    </cfRule>
    <cfRule type="expression" dxfId="3053" priority="122">
      <formula>B$9&lt;8/24</formula>
    </cfRule>
  </conditionalFormatting>
  <conditionalFormatting sqref="B39:AF39">
    <cfRule type="expression" dxfId="3052" priority="115">
      <formula>B$9&gt;=20/24</formula>
    </cfRule>
    <cfRule type="expression" dxfId="3051" priority="116">
      <formula>AND(B$9&gt;=14/24,B$9&lt;20/24)</formula>
    </cfRule>
    <cfRule type="expression" dxfId="3050" priority="117">
      <formula>AND(B$9&gt;=8/24,B$9&lt;14/24)</formula>
    </cfRule>
    <cfRule type="expression" dxfId="3049" priority="118">
      <formula>B$9&lt;8/24</formula>
    </cfRule>
  </conditionalFormatting>
  <conditionalFormatting sqref="B61:B66 B52:D53 R66:AG66 R62:AG62 B44:AG44 E53:Q53 C62:Q66 R63:S65 B35:AF39 B28:AF33">
    <cfRule type="expression" dxfId="3048" priority="114">
      <formula>B28&gt;$AG28</formula>
    </cfRule>
  </conditionalFormatting>
  <conditionalFormatting sqref="B41:AF41">
    <cfRule type="expression" dxfId="3047" priority="110">
      <formula>B$9&gt;=20/24</formula>
    </cfRule>
    <cfRule type="expression" dxfId="3046" priority="111">
      <formula>AND(B$9&gt;=14/24,B$9&lt;20/24)</formula>
    </cfRule>
    <cfRule type="expression" dxfId="3045" priority="112">
      <formula>AND(B$9&gt;=8/24,B$9&lt;14/24)</formula>
    </cfRule>
    <cfRule type="expression" dxfId="3044" priority="113">
      <formula>B$9&lt;8/24</formula>
    </cfRule>
  </conditionalFormatting>
  <conditionalFormatting sqref="B16:AF16">
    <cfRule type="expression" dxfId="3043" priority="106">
      <formula>B$9&gt;=20/24</formula>
    </cfRule>
    <cfRule type="expression" dxfId="3042" priority="107">
      <formula>AND(B$9&gt;=14/24,B$9&lt;20/24)</formula>
    </cfRule>
    <cfRule type="expression" dxfId="3041" priority="108">
      <formula>AND(B$9&gt;=8/24,B$9&lt;14/24)</formula>
    </cfRule>
    <cfRule type="expression" dxfId="3040" priority="109">
      <formula>B$9&lt;8/24</formula>
    </cfRule>
  </conditionalFormatting>
  <conditionalFormatting sqref="B40:AF40">
    <cfRule type="expression" dxfId="3039" priority="102">
      <formula>B$9&gt;=20/24</formula>
    </cfRule>
    <cfRule type="expression" dxfId="3038" priority="103">
      <formula>AND(B$9&gt;=14/24,B$9&lt;20/24)</formula>
    </cfRule>
    <cfRule type="expression" dxfId="3037" priority="104">
      <formula>AND(B$9&gt;=8/24,B$9&lt;14/24)</formula>
    </cfRule>
    <cfRule type="expression" dxfId="3036" priority="105">
      <formula>B$9&lt;8/24</formula>
    </cfRule>
  </conditionalFormatting>
  <conditionalFormatting sqref="B40:AF40">
    <cfRule type="expression" dxfId="3035" priority="101">
      <formula>B40&gt;$AG40</formula>
    </cfRule>
  </conditionalFormatting>
  <conditionalFormatting sqref="B54:Q60 R56:T60 U59:AF60">
    <cfRule type="expression" dxfId="3034" priority="97">
      <formula>B$9&gt;=20/24</formula>
    </cfRule>
    <cfRule type="expression" dxfId="3033" priority="98">
      <formula>AND(B$9&gt;=14/24,B$9&lt;20/24)</formula>
    </cfRule>
    <cfRule type="expression" dxfId="3032" priority="99">
      <formula>AND(B$9&gt;=8/24,B$9&lt;14/24)</formula>
    </cfRule>
    <cfRule type="expression" dxfId="3031" priority="100">
      <formula>B$9&lt;8/24</formula>
    </cfRule>
  </conditionalFormatting>
  <conditionalFormatting sqref="B54:Q60 R56:T60 U59:AF60">
    <cfRule type="expression" dxfId="3030" priority="96">
      <formula>B54&gt;$AG54</formula>
    </cfRule>
  </conditionalFormatting>
  <conditionalFormatting sqref="B32:AF32">
    <cfRule type="expression" dxfId="3029" priority="92">
      <formula>B$9&gt;=20/24</formula>
    </cfRule>
    <cfRule type="expression" dxfId="3028" priority="93">
      <formula>AND(B$9&gt;=14/24,B$9&lt;20/24)</formula>
    </cfRule>
    <cfRule type="expression" dxfId="3027" priority="94">
      <formula>AND(B$9&gt;=8/24,B$9&lt;14/24)</formula>
    </cfRule>
    <cfRule type="expression" dxfId="3026" priority="95">
      <formula>B$9&lt;8/24</formula>
    </cfRule>
  </conditionalFormatting>
  <conditionalFormatting sqref="B21:AF21 B27:AF27">
    <cfRule type="expression" dxfId="3025" priority="88">
      <formula>B$9&gt;=20/24</formula>
    </cfRule>
    <cfRule type="expression" dxfId="3024" priority="89">
      <formula>AND(B$9&gt;=14/24,B$9&lt;20/24)</formula>
    </cfRule>
    <cfRule type="expression" dxfId="3023" priority="90">
      <formula>AND(B$9&gt;=8/24,B$9&lt;14/24)</formula>
    </cfRule>
    <cfRule type="expression" dxfId="3022" priority="91">
      <formula>B$9&lt;8/24</formula>
    </cfRule>
  </conditionalFormatting>
  <conditionalFormatting sqref="B21:AF21 B27:AF27">
    <cfRule type="expression" dxfId="3021" priority="87">
      <formula>B21&gt;$AG21</formula>
    </cfRule>
  </conditionalFormatting>
  <conditionalFormatting sqref="A40">
    <cfRule type="expression" dxfId="3020" priority="86">
      <formula>$AH40=0</formula>
    </cfRule>
  </conditionalFormatting>
  <conditionalFormatting sqref="B78:AF78">
    <cfRule type="expression" dxfId="3019" priority="82">
      <formula>B$9&gt;=20/24</formula>
    </cfRule>
    <cfRule type="expression" dxfId="3018" priority="83">
      <formula>AND(B$9&gt;=14/24,B$9&lt;20/24)</formula>
    </cfRule>
    <cfRule type="expression" dxfId="3017" priority="84">
      <formula>AND(B$9&gt;=8/24,B$9&lt;14/24)</formula>
    </cfRule>
    <cfRule type="expression" dxfId="3016" priority="85">
      <formula>B$9&lt;8/24</formula>
    </cfRule>
  </conditionalFormatting>
  <conditionalFormatting sqref="B87:AF91">
    <cfRule type="expression" dxfId="3015" priority="78">
      <formula>B$9&gt;=20/24</formula>
    </cfRule>
    <cfRule type="expression" dxfId="3014" priority="79">
      <formula>AND(B$9&gt;=14/24,B$9&lt;20/24)</formula>
    </cfRule>
    <cfRule type="expression" dxfId="3013" priority="80">
      <formula>AND(B$9&gt;=8/24,B$9&lt;14/24)</formula>
    </cfRule>
    <cfRule type="expression" dxfId="3012" priority="81">
      <formula>B$9&lt;8/24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3011" priority="74">
      <formula>C$9&gt;=20/24</formula>
    </cfRule>
    <cfRule type="expression" dxfId="3010" priority="75">
      <formula>AND(C$9&gt;=14/24,C$9&lt;20/24)</formula>
    </cfRule>
    <cfRule type="expression" dxfId="3009" priority="76">
      <formula>AND(C$9&gt;=8/24,C$9&lt;14/24)</formula>
    </cfRule>
    <cfRule type="expression" dxfId="3008" priority="77">
      <formula>C$9&lt;8/24</formula>
    </cfRule>
  </conditionalFormatting>
  <conditionalFormatting sqref="C45:AF47">
    <cfRule type="expression" dxfId="3007" priority="73">
      <formula>C45&gt;$AG45</formula>
    </cfRule>
  </conditionalFormatting>
  <conditionalFormatting sqref="B45:B48 C48:AG48">
    <cfRule type="expression" dxfId="3006" priority="69">
      <formula>B$9&gt;=20/24</formula>
    </cfRule>
    <cfRule type="expression" dxfId="3005" priority="70">
      <formula>AND(B$9&gt;=14/24,B$9&lt;20/24)</formula>
    </cfRule>
    <cfRule type="expression" dxfId="3004" priority="71">
      <formula>AND(B$9&gt;=8/24,B$9&lt;14/24)</formula>
    </cfRule>
    <cfRule type="expression" dxfId="3003" priority="72">
      <formula>B$9&lt;8/24</formula>
    </cfRule>
  </conditionalFormatting>
  <conditionalFormatting sqref="B45:B48 C48:AG48">
    <cfRule type="expression" dxfId="3002" priority="68">
      <formula>B45&gt;$AG45</formula>
    </cfRule>
  </conditionalFormatting>
  <conditionalFormatting sqref="C103:AF103">
    <cfRule type="expression" dxfId="3001" priority="64">
      <formula>C$9&gt;=20/24</formula>
    </cfRule>
    <cfRule type="expression" dxfId="3000" priority="65">
      <formula>AND(C$9&gt;=14/24,C$9&lt;20/24)</formula>
    </cfRule>
    <cfRule type="expression" dxfId="2999" priority="66">
      <formula>AND(C$9&gt;=8/24,C$9&lt;14/24)</formula>
    </cfRule>
    <cfRule type="expression" dxfId="2998" priority="67">
      <formula>C$9&lt;8/24</formula>
    </cfRule>
  </conditionalFormatting>
  <conditionalFormatting sqref="B103">
    <cfRule type="expression" dxfId="2997" priority="60">
      <formula>B$9&gt;=20/24</formula>
    </cfRule>
    <cfRule type="expression" dxfId="2996" priority="61">
      <formula>AND(B$9&gt;=14/24,B$9&lt;20/24)</formula>
    </cfRule>
    <cfRule type="expression" dxfId="2995" priority="62">
      <formula>AND(B$9&gt;=8/24,B$9&lt;14/24)</formula>
    </cfRule>
    <cfRule type="expression" dxfId="2994" priority="63">
      <formula>B$9&lt;8/24</formula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993" priority="54">
      <formula>$AH37=0</formula>
    </cfRule>
  </conditionalFormatting>
  <conditionalFormatting sqref="A86">
    <cfRule type="expression" dxfId="2992" priority="52">
      <formula>$AH86=0</formula>
    </cfRule>
  </conditionalFormatting>
  <conditionalFormatting sqref="A83">
    <cfRule type="expression" dxfId="2991" priority="53">
      <formula>$AH83=0</formula>
    </cfRule>
  </conditionalFormatting>
  <conditionalFormatting sqref="A113">
    <cfRule type="expression" dxfId="2990" priority="43">
      <formula>$AH113=0</formula>
    </cfRule>
  </conditionalFormatting>
  <conditionalFormatting sqref="C106:AF106">
    <cfRule type="expression" dxfId="2989" priority="39">
      <formula>C$9&gt;=20/24</formula>
    </cfRule>
    <cfRule type="expression" dxfId="2988" priority="40">
      <formula>AND(C$9&gt;=14/24,C$9&lt;20/24)</formula>
    </cfRule>
    <cfRule type="expression" dxfId="2987" priority="41">
      <formula>AND(C$9&gt;=8/24,C$9&lt;14/24)</formula>
    </cfRule>
    <cfRule type="expression" dxfId="2986" priority="42">
      <formula>C$9&lt;8/24</formula>
    </cfRule>
  </conditionalFormatting>
  <conditionalFormatting sqref="A106">
    <cfRule type="expression" dxfId="2985" priority="38">
      <formula>$AH106=0</formula>
    </cfRule>
  </conditionalFormatting>
  <conditionalFormatting sqref="B106">
    <cfRule type="expression" dxfId="2984" priority="34">
      <formula>B$9&gt;=20/24</formula>
    </cfRule>
    <cfRule type="expression" dxfId="2983" priority="35">
      <formula>AND(B$9&gt;=14/24,B$9&lt;20/24)</formula>
    </cfRule>
    <cfRule type="expression" dxfId="2982" priority="36">
      <formula>AND(B$9&gt;=8/24,B$9&lt;14/24)</formula>
    </cfRule>
    <cfRule type="expression" dxfId="2981" priority="37">
      <formula>B$9&lt;8/24</formula>
    </cfRule>
  </conditionalFormatting>
  <conditionalFormatting sqref="U56:AF58">
    <cfRule type="expression" dxfId="2980" priority="30">
      <formula>U$9&gt;=20/24</formula>
    </cfRule>
    <cfRule type="expression" dxfId="2979" priority="31">
      <formula>AND(U$9&gt;=14/24,U$9&lt;20/24)</formula>
    </cfRule>
    <cfRule type="expression" dxfId="2978" priority="32">
      <formula>AND(U$9&gt;=8/24,U$9&lt;14/24)</formula>
    </cfRule>
    <cfRule type="expression" dxfId="2977" priority="33">
      <formula>U$9&lt;8/24</formula>
    </cfRule>
  </conditionalFormatting>
  <conditionalFormatting sqref="U56:AF58">
    <cfRule type="expression" dxfId="2976" priority="29">
      <formula>U56&gt;$AG56</formula>
    </cfRule>
  </conditionalFormatting>
  <conditionalFormatting sqref="B19:AF19">
    <cfRule type="expression" dxfId="2975" priority="27">
      <formula>B19&gt;$AG19</formula>
    </cfRule>
  </conditionalFormatting>
  <conditionalFormatting sqref="A19">
    <cfRule type="expression" dxfId="2974" priority="26">
      <formula>$AH19=0</formula>
    </cfRule>
  </conditionalFormatting>
  <conditionalFormatting sqref="B19:AF19">
    <cfRule type="expression" dxfId="2973" priority="18">
      <formula>B$9&gt;=20/24</formula>
    </cfRule>
    <cfRule type="expression" dxfId="2972" priority="19">
      <formula>AND(B$9&gt;=14/24,B$9&lt;20/24)</formula>
    </cfRule>
    <cfRule type="expression" dxfId="2971" priority="20">
      <formula>AND(B$9&gt;=8/24,B$9&lt;14/24)</formula>
    </cfRule>
    <cfRule type="expression" dxfId="2970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969" priority="16">
      <formula>$AH34=0</formula>
    </cfRule>
  </conditionalFormatting>
  <conditionalFormatting sqref="B34:AF34">
    <cfRule type="expression" dxfId="2968" priority="2">
      <formula>B$9&gt;=20/24</formula>
    </cfRule>
    <cfRule type="expression" dxfId="2967" priority="3">
      <formula>AND(B$9&gt;=14/24,B$9&lt;20/24)</formula>
    </cfRule>
    <cfRule type="expression" dxfId="2966" priority="4">
      <formula>AND(B$9&gt;=8/24,B$9&lt;14/24)</formula>
    </cfRule>
    <cfRule type="expression" dxfId="2965" priority="5">
      <formula>B$9&lt;8/24</formula>
    </cfRule>
  </conditionalFormatting>
  <conditionalFormatting sqref="B34:AF34">
    <cfRule type="expression" dxfId="2964" priority="1">
      <formula>B34&gt;$AG34</formula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DCA7F626-A414-4E1E-8872-7856F29D2F0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05A79BA3-5462-407C-BB6C-2A07CD945DA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345F3648-9759-4AF9-B347-58531EA1BCE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8988D141-16BB-451F-A786-D22B72605B9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8" id="{BAFBD0AF-4266-4622-89A2-2EE8CEFC6D9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FBDE3A8A-E59B-49D8-B4F7-31F8683EB2C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CD67E5B3-07B7-4847-8EA2-D0DBE6EF0D9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E92DB7C3-FF28-4D85-83A5-FAE426CB9D9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44" id="{829FEA65-CFBC-43BA-9CC1-AF2B595E995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9D8036CA-FD45-4499-ACF6-385DCD7D3BE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ECA986AF-832A-4A9C-8115-EB32CD60C8F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EC97FE4B-A3ED-4325-B6F4-5347FACCF6D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27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D113" sqref="AD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5" width="6.42578125" style="1" bestFit="1" customWidth="1"/>
    <col min="6" max="6" width="6.42578125" style="1" customWidth="1"/>
    <col min="7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2079/08/25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35</v>
      </c>
      <c r="C5" s="30">
        <f t="shared" si="0"/>
        <v>40</v>
      </c>
      <c r="D5" s="30">
        <f t="shared" si="0"/>
        <v>35</v>
      </c>
      <c r="E5" s="30">
        <f t="shared" si="0"/>
        <v>40</v>
      </c>
      <c r="F5" s="30">
        <f t="shared" si="0"/>
        <v>40</v>
      </c>
      <c r="G5" s="30">
        <f t="shared" si="0"/>
        <v>42</v>
      </c>
      <c r="H5" s="30">
        <f t="shared" si="0"/>
        <v>0</v>
      </c>
      <c r="I5" s="30">
        <f t="shared" si="0"/>
        <v>16</v>
      </c>
      <c r="J5" s="30">
        <f t="shared" si="0"/>
        <v>15</v>
      </c>
      <c r="K5" s="30">
        <f t="shared" si="0"/>
        <v>35</v>
      </c>
      <c r="L5" s="30">
        <f t="shared" si="0"/>
        <v>48</v>
      </c>
      <c r="M5" s="30">
        <f t="shared" si="0"/>
        <v>44</v>
      </c>
      <c r="N5" s="30">
        <f t="shared" si="0"/>
        <v>44.9</v>
      </c>
      <c r="O5" s="30">
        <f t="shared" si="0"/>
        <v>46.6</v>
      </c>
      <c r="P5" s="30">
        <f t="shared" si="0"/>
        <v>64.599999999999994</v>
      </c>
      <c r="Q5" s="30">
        <f t="shared" si="0"/>
        <v>58.4</v>
      </c>
      <c r="R5" s="30">
        <f t="shared" si="0"/>
        <v>59.5</v>
      </c>
      <c r="S5" s="30">
        <f t="shared" si="0"/>
        <v>47</v>
      </c>
      <c r="T5" s="30">
        <f t="shared" si="0"/>
        <v>72</v>
      </c>
      <c r="U5" s="30">
        <f t="shared" si="0"/>
        <v>94.7</v>
      </c>
      <c r="V5" s="30">
        <f t="shared" si="0"/>
        <v>177.8</v>
      </c>
      <c r="W5" s="30">
        <f t="shared" si="0"/>
        <v>54.6</v>
      </c>
      <c r="X5" s="30">
        <f t="shared" si="0"/>
        <v>49.1</v>
      </c>
      <c r="Y5" s="30">
        <f t="shared" si="0"/>
        <v>45.2</v>
      </c>
      <c r="Z5" s="30">
        <f t="shared" si="0"/>
        <v>39</v>
      </c>
      <c r="AA5" s="30">
        <f t="shared" si="0"/>
        <v>35.299999999999997</v>
      </c>
      <c r="AB5" s="30">
        <f t="shared" si="0"/>
        <v>30</v>
      </c>
      <c r="AC5" s="30">
        <f t="shared" si="0"/>
        <v>15.1</v>
      </c>
      <c r="AD5" s="30">
        <f t="shared" si="0"/>
        <v>14.5</v>
      </c>
      <c r="AE5" s="30">
        <f t="shared" si="0"/>
        <v>196.2</v>
      </c>
      <c r="AF5" s="30">
        <f>B78</f>
        <v>17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1528MW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Load=872</v>
      </c>
      <c r="B7" s="35">
        <f t="shared" ref="B7:AF7" si="1">B85</f>
        <v>930.24</v>
      </c>
      <c r="C7" s="35">
        <f t="shared" si="1"/>
        <v>883.54</v>
      </c>
      <c r="D7" s="35">
        <f t="shared" si="1"/>
        <v>871.54</v>
      </c>
      <c r="E7" s="35">
        <f t="shared" si="1"/>
        <v>881.34</v>
      </c>
      <c r="F7" s="35">
        <f t="shared" si="1"/>
        <v>884.24</v>
      </c>
      <c r="G7" s="35">
        <f t="shared" si="1"/>
        <v>960.6400000000001</v>
      </c>
      <c r="H7" s="35">
        <f t="shared" si="1"/>
        <v>1018.64</v>
      </c>
      <c r="I7" s="35">
        <f t="shared" si="1"/>
        <v>1129.24</v>
      </c>
      <c r="J7" s="35">
        <f t="shared" si="1"/>
        <v>1191.24</v>
      </c>
      <c r="K7" s="35">
        <f t="shared" si="1"/>
        <v>1411.1399999999999</v>
      </c>
      <c r="L7" s="35">
        <f t="shared" si="1"/>
        <v>1471.1399999999999</v>
      </c>
      <c r="M7" s="35">
        <f t="shared" si="1"/>
        <v>1508.5399999999997</v>
      </c>
      <c r="N7" s="35">
        <f t="shared" si="1"/>
        <v>1528.34</v>
      </c>
      <c r="O7" s="35">
        <f t="shared" si="1"/>
        <v>1553.8400000000001</v>
      </c>
      <c r="P7" s="35">
        <f t="shared" si="1"/>
        <v>1278.04</v>
      </c>
      <c r="Q7" s="35">
        <f t="shared" si="1"/>
        <v>1220.54</v>
      </c>
      <c r="R7" s="35">
        <f t="shared" si="1"/>
        <v>1185.3400000000001</v>
      </c>
      <c r="S7" s="35">
        <f t="shared" si="1"/>
        <v>1186.9399999999998</v>
      </c>
      <c r="T7" s="35">
        <f t="shared" si="1"/>
        <v>1325.84</v>
      </c>
      <c r="U7" s="35">
        <f t="shared" si="1"/>
        <v>1478.94</v>
      </c>
      <c r="V7" s="35">
        <f t="shared" si="1"/>
        <v>1289.0400000000002</v>
      </c>
      <c r="W7" s="35">
        <f t="shared" si="1"/>
        <v>1713.9399999999998</v>
      </c>
      <c r="X7" s="35">
        <f t="shared" si="1"/>
        <v>1651.84</v>
      </c>
      <c r="Y7" s="35">
        <f t="shared" si="1"/>
        <v>1585.74</v>
      </c>
      <c r="Z7" s="35">
        <f t="shared" si="1"/>
        <v>1501.8400000000001</v>
      </c>
      <c r="AA7" s="35">
        <f t="shared" si="1"/>
        <v>1453.64</v>
      </c>
      <c r="AB7" s="35">
        <f t="shared" si="1"/>
        <v>1413.14</v>
      </c>
      <c r="AC7" s="35">
        <f t="shared" si="1"/>
        <v>1362.8400000000001</v>
      </c>
      <c r="AD7" s="35">
        <f t="shared" si="1"/>
        <v>1277.1400000000001</v>
      </c>
      <c r="AE7" s="35">
        <f t="shared" si="1"/>
        <v>988.04000000000019</v>
      </c>
      <c r="AF7" s="35">
        <f t="shared" si="1"/>
        <v>1097.44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26.6</v>
      </c>
      <c r="C11" s="45">
        <v>26.6</v>
      </c>
      <c r="D11" s="45">
        <v>26.6</v>
      </c>
      <c r="E11" s="45">
        <v>26.4</v>
      </c>
      <c r="F11" s="45">
        <v>26.4</v>
      </c>
      <c r="G11" s="45">
        <v>26.4</v>
      </c>
      <c r="H11" s="45">
        <v>26.4</v>
      </c>
      <c r="I11" s="45">
        <v>26.4</v>
      </c>
      <c r="J11" s="45">
        <v>26.4</v>
      </c>
      <c r="K11" s="45">
        <v>26.4</v>
      </c>
      <c r="L11" s="45">
        <v>26.4</v>
      </c>
      <c r="M11" s="45">
        <v>25.2</v>
      </c>
      <c r="N11" s="45">
        <v>26.9</v>
      </c>
      <c r="O11" s="45">
        <v>27</v>
      </c>
      <c r="P11" s="45">
        <v>27</v>
      </c>
      <c r="Q11" s="45">
        <v>27</v>
      </c>
      <c r="R11" s="45">
        <v>27</v>
      </c>
      <c r="S11" s="45">
        <v>26.6</v>
      </c>
      <c r="T11" s="45">
        <v>26.6</v>
      </c>
      <c r="U11" s="45">
        <v>26.6</v>
      </c>
      <c r="V11" s="45">
        <v>26.6</v>
      </c>
      <c r="W11" s="45">
        <v>26.6</v>
      </c>
      <c r="X11" s="46">
        <v>27.6</v>
      </c>
      <c r="Y11" s="46">
        <v>27.6</v>
      </c>
      <c r="Z11" s="46">
        <v>27.6</v>
      </c>
      <c r="AA11" s="46">
        <v>27.6</v>
      </c>
      <c r="AB11" s="46">
        <v>27.6</v>
      </c>
      <c r="AC11" s="46">
        <v>27.6</v>
      </c>
      <c r="AD11" s="46">
        <v>27.8</v>
      </c>
      <c r="AE11" s="46">
        <v>27.8</v>
      </c>
      <c r="AF11" s="46">
        <v>27.8</v>
      </c>
      <c r="AG11" s="47">
        <v>52.4</v>
      </c>
      <c r="AH11" s="48">
        <f>MAX(B11:AF11)</f>
        <v>27.8</v>
      </c>
      <c r="AI11" s="49">
        <f>MIN(B11:AF11)</f>
        <v>25.2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50.7</v>
      </c>
      <c r="F12" s="45">
        <v>50.7</v>
      </c>
      <c r="G12" s="45">
        <v>50.7</v>
      </c>
      <c r="H12" s="45">
        <v>50.7</v>
      </c>
      <c r="I12" s="45">
        <v>50.7</v>
      </c>
      <c r="J12" s="45">
        <v>50.7</v>
      </c>
      <c r="K12" s="45">
        <v>50.7</v>
      </c>
      <c r="L12" s="45">
        <v>50.7</v>
      </c>
      <c r="M12" s="45">
        <v>50.6</v>
      </c>
      <c r="N12" s="45">
        <v>50.5</v>
      </c>
      <c r="O12" s="45">
        <v>50.4</v>
      </c>
      <c r="P12" s="45">
        <v>50.4</v>
      </c>
      <c r="Q12" s="45">
        <v>50.4</v>
      </c>
      <c r="R12" s="45">
        <v>50.4</v>
      </c>
      <c r="S12" s="45">
        <v>50.4</v>
      </c>
      <c r="T12" s="45">
        <v>50.4</v>
      </c>
      <c r="U12" s="45">
        <v>50.4</v>
      </c>
      <c r="V12" s="45">
        <v>50.4</v>
      </c>
      <c r="W12" s="45">
        <v>50.4</v>
      </c>
      <c r="X12" s="45">
        <v>50.4</v>
      </c>
      <c r="Y12" s="45">
        <v>50.4</v>
      </c>
      <c r="Z12" s="45">
        <v>50.4</v>
      </c>
      <c r="AA12" s="45">
        <v>50.4</v>
      </c>
      <c r="AB12" s="45">
        <v>50.4</v>
      </c>
      <c r="AC12" s="45">
        <v>50.4</v>
      </c>
      <c r="AD12" s="45">
        <v>50.4</v>
      </c>
      <c r="AE12" s="45">
        <v>50.4</v>
      </c>
      <c r="AF12" s="45">
        <v>50.5</v>
      </c>
      <c r="AG12" s="51">
        <v>50</v>
      </c>
      <c r="AH12" s="48">
        <f t="shared" ref="AH12:AH79" si="2">MAX(B12:AF12)</f>
        <v>50.7</v>
      </c>
      <c r="AI12" s="49">
        <f t="shared" ref="AI12:AI79" si="3">MIN(B12:AF12)</f>
        <v>50.4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23.9</v>
      </c>
      <c r="C13" s="45">
        <v>23.9</v>
      </c>
      <c r="D13" s="45">
        <v>23.9</v>
      </c>
      <c r="E13" s="45">
        <v>23.9</v>
      </c>
      <c r="F13" s="45">
        <v>23.9</v>
      </c>
      <c r="G13" s="45">
        <v>23.9</v>
      </c>
      <c r="H13" s="45">
        <v>23.9</v>
      </c>
      <c r="I13" s="45">
        <v>23.9</v>
      </c>
      <c r="J13" s="45">
        <v>23.9</v>
      </c>
      <c r="K13" s="45">
        <v>23.9</v>
      </c>
      <c r="L13" s="45">
        <v>23.9</v>
      </c>
      <c r="M13" s="45">
        <v>24.4</v>
      </c>
      <c r="N13" s="45">
        <v>24.4</v>
      </c>
      <c r="O13" s="45">
        <v>24</v>
      </c>
      <c r="P13" s="45">
        <v>24</v>
      </c>
      <c r="Q13" s="45">
        <v>0</v>
      </c>
      <c r="R13" s="45">
        <v>0</v>
      </c>
      <c r="S13" s="45">
        <v>0</v>
      </c>
      <c r="T13" s="45">
        <v>0</v>
      </c>
      <c r="U13" s="45">
        <v>25.1</v>
      </c>
      <c r="V13" s="45">
        <v>25.1</v>
      </c>
      <c r="W13" s="45">
        <v>25.1</v>
      </c>
      <c r="X13" s="45">
        <v>27.1</v>
      </c>
      <c r="Y13" s="45">
        <v>27.1</v>
      </c>
      <c r="Z13" s="45">
        <v>27.1</v>
      </c>
      <c r="AA13" s="45">
        <v>27.1</v>
      </c>
      <c r="AB13" s="45">
        <v>27.1</v>
      </c>
      <c r="AC13" s="45">
        <v>27.1</v>
      </c>
      <c r="AD13" s="45">
        <v>27.1</v>
      </c>
      <c r="AE13" s="45">
        <v>27.1</v>
      </c>
      <c r="AF13" s="45">
        <v>26.4</v>
      </c>
      <c r="AG13" s="51">
        <v>45</v>
      </c>
      <c r="AH13" s="48">
        <f t="shared" si="2"/>
        <v>27.1</v>
      </c>
      <c r="AI13" s="49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22</v>
      </c>
      <c r="C15" s="45">
        <v>22</v>
      </c>
      <c r="D15" s="45">
        <v>10</v>
      </c>
      <c r="E15" s="45">
        <v>10</v>
      </c>
      <c r="F15" s="45">
        <v>10</v>
      </c>
      <c r="G15" s="45">
        <v>10</v>
      </c>
      <c r="H15" s="45">
        <v>10</v>
      </c>
      <c r="I15" s="45">
        <v>10</v>
      </c>
      <c r="J15" s="45">
        <v>10</v>
      </c>
      <c r="K15" s="45">
        <v>10</v>
      </c>
      <c r="L15" s="45">
        <v>10</v>
      </c>
      <c r="M15" s="45">
        <v>22</v>
      </c>
      <c r="N15" s="45">
        <v>22</v>
      </c>
      <c r="O15" s="45">
        <v>22</v>
      </c>
      <c r="P15" s="45">
        <v>22</v>
      </c>
      <c r="Q15" s="45">
        <v>0</v>
      </c>
      <c r="R15" s="45">
        <v>0</v>
      </c>
      <c r="S15" s="45">
        <v>0</v>
      </c>
      <c r="T15" s="45">
        <v>0</v>
      </c>
      <c r="U15" s="45">
        <v>22</v>
      </c>
      <c r="V15" s="45">
        <v>22</v>
      </c>
      <c r="W15" s="45">
        <v>22</v>
      </c>
      <c r="X15" s="45">
        <v>22</v>
      </c>
      <c r="Y15" s="45">
        <v>22</v>
      </c>
      <c r="Z15" s="45">
        <v>22</v>
      </c>
      <c r="AA15" s="45">
        <v>22</v>
      </c>
      <c r="AB15" s="45">
        <v>22</v>
      </c>
      <c r="AC15" s="45">
        <v>22</v>
      </c>
      <c r="AD15" s="45">
        <v>22</v>
      </c>
      <c r="AE15" s="45">
        <v>22</v>
      </c>
      <c r="AF15" s="45">
        <v>22</v>
      </c>
      <c r="AG15" s="51">
        <v>36</v>
      </c>
      <c r="AH15" s="48">
        <f t="shared" si="2"/>
        <v>22</v>
      </c>
      <c r="AI15" s="49">
        <f t="shared" si="3"/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13.7</v>
      </c>
      <c r="C16" s="45">
        <v>10</v>
      </c>
      <c r="D16" s="45">
        <v>10</v>
      </c>
      <c r="E16" s="45">
        <v>10.7</v>
      </c>
      <c r="F16" s="45">
        <v>5</v>
      </c>
      <c r="G16" s="45">
        <v>5</v>
      </c>
      <c r="H16" s="45">
        <v>5</v>
      </c>
      <c r="I16" s="45">
        <v>17</v>
      </c>
      <c r="J16" s="45">
        <v>17</v>
      </c>
      <c r="K16" s="45">
        <v>17</v>
      </c>
      <c r="L16" s="45">
        <v>17</v>
      </c>
      <c r="M16" s="45">
        <v>14.1</v>
      </c>
      <c r="N16" s="45">
        <v>14.6</v>
      </c>
      <c r="O16" s="45">
        <v>14.6</v>
      </c>
      <c r="P16" s="45">
        <v>14.6</v>
      </c>
      <c r="Q16" s="45">
        <v>14.6</v>
      </c>
      <c r="R16" s="45">
        <v>14.6</v>
      </c>
      <c r="S16" s="45">
        <v>13.9</v>
      </c>
      <c r="T16" s="45">
        <v>13.9</v>
      </c>
      <c r="U16" s="45">
        <v>13.9</v>
      </c>
      <c r="V16" s="45">
        <v>13.9</v>
      </c>
      <c r="W16" s="45">
        <v>13.9</v>
      </c>
      <c r="X16" s="45">
        <v>14.4</v>
      </c>
      <c r="Y16" s="45">
        <v>14.4</v>
      </c>
      <c r="Z16" s="45">
        <v>14.4</v>
      </c>
      <c r="AA16" s="45">
        <v>14.4</v>
      </c>
      <c r="AB16" s="45">
        <v>14.4</v>
      </c>
      <c r="AC16" s="45">
        <v>14.4</v>
      </c>
      <c r="AD16" s="45">
        <v>15.4</v>
      </c>
      <c r="AE16" s="45">
        <v>15.4</v>
      </c>
      <c r="AF16" s="45">
        <v>15.2</v>
      </c>
      <c r="AG16" s="52">
        <v>30</v>
      </c>
      <c r="AH16" s="48">
        <f t="shared" si="2"/>
        <v>17</v>
      </c>
      <c r="AI16" s="49">
        <f t="shared" si="3"/>
        <v>5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13.3</v>
      </c>
      <c r="C17" s="45">
        <v>13.3</v>
      </c>
      <c r="D17" s="45">
        <v>13.3</v>
      </c>
      <c r="E17" s="45">
        <v>13.3</v>
      </c>
      <c r="F17" s="45">
        <v>13.3</v>
      </c>
      <c r="G17" s="45">
        <v>13.3</v>
      </c>
      <c r="H17" s="45">
        <v>13.3</v>
      </c>
      <c r="I17" s="45">
        <v>13.3</v>
      </c>
      <c r="J17" s="45">
        <v>13.3</v>
      </c>
      <c r="K17" s="45">
        <v>13.3</v>
      </c>
      <c r="L17" s="45">
        <v>13.3</v>
      </c>
      <c r="M17" s="45">
        <v>13</v>
      </c>
      <c r="N17" s="45">
        <v>13</v>
      </c>
      <c r="O17" s="45">
        <v>13</v>
      </c>
      <c r="P17" s="45">
        <v>13</v>
      </c>
      <c r="Q17" s="45">
        <v>13</v>
      </c>
      <c r="R17" s="45">
        <v>13</v>
      </c>
      <c r="S17" s="45">
        <v>12.8</v>
      </c>
      <c r="T17" s="45">
        <v>12.8</v>
      </c>
      <c r="U17" s="45">
        <v>12.8</v>
      </c>
      <c r="V17" s="45">
        <v>12.8</v>
      </c>
      <c r="W17" s="45">
        <v>12.8</v>
      </c>
      <c r="X17" s="45">
        <v>13.3</v>
      </c>
      <c r="Y17" s="45">
        <v>13.3</v>
      </c>
      <c r="Z17" s="45">
        <v>13.3</v>
      </c>
      <c r="AA17" s="45">
        <v>13.3</v>
      </c>
      <c r="AB17" s="45">
        <v>13.3</v>
      </c>
      <c r="AC17" s="45">
        <v>13.3</v>
      </c>
      <c r="AD17" s="45">
        <v>13.3</v>
      </c>
      <c r="AE17" s="45">
        <v>13.3</v>
      </c>
      <c r="AF17" s="45">
        <v>13.3</v>
      </c>
      <c r="AG17" s="51">
        <v>24.2</v>
      </c>
      <c r="AH17" s="48">
        <f t="shared" si="2"/>
        <v>13.3</v>
      </c>
      <c r="AI17" s="49">
        <f t="shared" si="3"/>
        <v>12.8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14</v>
      </c>
      <c r="C18" s="45">
        <v>14</v>
      </c>
      <c r="D18" s="45">
        <v>14</v>
      </c>
      <c r="E18" s="45">
        <v>13.3</v>
      </c>
      <c r="F18" s="45">
        <v>13.3</v>
      </c>
      <c r="G18" s="45">
        <v>13.3</v>
      </c>
      <c r="H18" s="45">
        <v>13.3</v>
      </c>
      <c r="I18" s="45">
        <v>13.3</v>
      </c>
      <c r="J18" s="45">
        <v>13.3</v>
      </c>
      <c r="K18" s="45">
        <v>13.3</v>
      </c>
      <c r="L18" s="45">
        <v>13.3</v>
      </c>
      <c r="M18" s="45">
        <v>13.3</v>
      </c>
      <c r="N18" s="45">
        <v>13.3</v>
      </c>
      <c r="O18" s="45">
        <v>13.3</v>
      </c>
      <c r="P18" s="45">
        <v>13.3</v>
      </c>
      <c r="Q18" s="45">
        <v>13.3</v>
      </c>
      <c r="R18" s="45">
        <v>13.3</v>
      </c>
      <c r="S18" s="45">
        <v>13.3</v>
      </c>
      <c r="T18" s="45">
        <v>13.3</v>
      </c>
      <c r="U18" s="45">
        <v>13.3</v>
      </c>
      <c r="V18" s="45">
        <v>13.3</v>
      </c>
      <c r="W18" s="45">
        <v>13.3</v>
      </c>
      <c r="X18" s="45">
        <v>13.3</v>
      </c>
      <c r="Y18" s="45">
        <v>13.3</v>
      </c>
      <c r="Z18" s="45">
        <v>13.3</v>
      </c>
      <c r="AA18" s="45">
        <v>13.3</v>
      </c>
      <c r="AB18" s="45">
        <v>13.3</v>
      </c>
      <c r="AC18" s="45">
        <v>13.3</v>
      </c>
      <c r="AD18" s="45">
        <v>13.3</v>
      </c>
      <c r="AE18" s="45">
        <v>13.3</v>
      </c>
      <c r="AF18" s="45">
        <v>13.3</v>
      </c>
      <c r="AG18" s="51">
        <v>28</v>
      </c>
      <c r="AH18" s="48">
        <f t="shared" si="2"/>
        <v>14</v>
      </c>
      <c r="AI18" s="49">
        <f t="shared" si="3"/>
        <v>13.3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</v>
      </c>
      <c r="C19" s="45">
        <v>7</v>
      </c>
      <c r="D19" s="45">
        <v>7</v>
      </c>
      <c r="E19" s="45">
        <v>7</v>
      </c>
      <c r="F19" s="45">
        <v>7</v>
      </c>
      <c r="G19" s="45">
        <v>7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7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14</v>
      </c>
      <c r="C20" s="45">
        <v>14</v>
      </c>
      <c r="D20" s="45">
        <v>14</v>
      </c>
      <c r="E20" s="45">
        <v>14</v>
      </c>
      <c r="F20" s="45">
        <v>14</v>
      </c>
      <c r="G20" s="45">
        <v>14</v>
      </c>
      <c r="H20" s="45">
        <v>14</v>
      </c>
      <c r="I20" s="45">
        <v>14</v>
      </c>
      <c r="J20" s="45">
        <v>14</v>
      </c>
      <c r="K20" s="45">
        <v>14</v>
      </c>
      <c r="L20" s="45">
        <v>14</v>
      </c>
      <c r="M20" s="45">
        <v>14.5</v>
      </c>
      <c r="N20" s="45">
        <v>14.5</v>
      </c>
      <c r="O20" s="45">
        <v>14.5</v>
      </c>
      <c r="P20" s="45">
        <v>14.5</v>
      </c>
      <c r="Q20" s="45">
        <v>14.5</v>
      </c>
      <c r="R20" s="45">
        <v>14.5</v>
      </c>
      <c r="S20" s="45">
        <v>14.5</v>
      </c>
      <c r="T20" s="45">
        <v>14.5</v>
      </c>
      <c r="U20" s="45">
        <v>14.5</v>
      </c>
      <c r="V20" s="45">
        <v>14.5</v>
      </c>
      <c r="W20" s="45">
        <v>14.5</v>
      </c>
      <c r="X20" s="45">
        <v>13.2</v>
      </c>
      <c r="Y20" s="45">
        <v>13.2</v>
      </c>
      <c r="Z20" s="45">
        <v>13.2</v>
      </c>
      <c r="AA20" s="45">
        <v>13.2</v>
      </c>
      <c r="AB20" s="45">
        <v>13.2</v>
      </c>
      <c r="AC20" s="45">
        <v>13.2</v>
      </c>
      <c r="AD20" s="45">
        <v>13.2</v>
      </c>
      <c r="AE20" s="45">
        <v>13.2</v>
      </c>
      <c r="AF20" s="45">
        <v>13.2</v>
      </c>
      <c r="AG20" s="51">
        <v>25</v>
      </c>
      <c r="AH20" s="48">
        <f t="shared" si="2"/>
        <v>14.5</v>
      </c>
      <c r="AI20" s="49">
        <f t="shared" si="3"/>
        <v>13.2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11</v>
      </c>
      <c r="O22" s="45">
        <v>11</v>
      </c>
      <c r="P22" s="45">
        <v>11</v>
      </c>
      <c r="Q22" s="45">
        <v>0</v>
      </c>
      <c r="R22" s="45">
        <v>0</v>
      </c>
      <c r="S22" s="45">
        <v>0</v>
      </c>
      <c r="T22" s="45">
        <v>0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13</v>
      </c>
      <c r="C23" s="45">
        <v>7</v>
      </c>
      <c r="D23" s="45">
        <v>7</v>
      </c>
      <c r="E23" s="45">
        <v>7</v>
      </c>
      <c r="F23" s="45">
        <v>7</v>
      </c>
      <c r="G23" s="45">
        <v>7</v>
      </c>
      <c r="H23" s="45">
        <v>7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7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10.199999999999999</v>
      </c>
      <c r="C24" s="45">
        <v>10.199999999999999</v>
      </c>
      <c r="D24" s="45">
        <v>10.199999999999999</v>
      </c>
      <c r="E24" s="45">
        <v>10.199999999999999</v>
      </c>
      <c r="F24" s="45">
        <v>10.199999999999999</v>
      </c>
      <c r="G24" s="45">
        <v>10.199999999999999</v>
      </c>
      <c r="H24" s="45">
        <v>10.199999999999999</v>
      </c>
      <c r="I24" s="45">
        <v>10.199999999999999</v>
      </c>
      <c r="J24" s="45">
        <v>10.199999999999999</v>
      </c>
      <c r="K24" s="45">
        <v>10.199999999999999</v>
      </c>
      <c r="L24" s="45">
        <v>10.199999999999999</v>
      </c>
      <c r="M24" s="45">
        <v>10.199999999999999</v>
      </c>
      <c r="N24" s="45">
        <v>10.199999999999999</v>
      </c>
      <c r="O24" s="45">
        <v>10.199999999999999</v>
      </c>
      <c r="P24" s="45">
        <v>10.199999999999999</v>
      </c>
      <c r="Q24" s="45">
        <v>12.4</v>
      </c>
      <c r="R24" s="45">
        <v>12.4</v>
      </c>
      <c r="S24" s="45">
        <v>12.5</v>
      </c>
      <c r="T24" s="45">
        <v>12.5</v>
      </c>
      <c r="U24" s="45">
        <v>12.5</v>
      </c>
      <c r="V24" s="45">
        <v>12.5</v>
      </c>
      <c r="W24" s="45">
        <v>12.5</v>
      </c>
      <c r="X24" s="45">
        <v>12.5</v>
      </c>
      <c r="Y24" s="45">
        <v>12.5</v>
      </c>
      <c r="Z24" s="45">
        <v>12.5</v>
      </c>
      <c r="AA24" s="45">
        <v>12.5</v>
      </c>
      <c r="AB24" s="45">
        <v>12.5</v>
      </c>
      <c r="AC24" s="45">
        <v>12.5</v>
      </c>
      <c r="AD24" s="45">
        <v>12.7</v>
      </c>
      <c r="AE24" s="45">
        <v>12.7</v>
      </c>
      <c r="AF24" s="45">
        <v>12.7</v>
      </c>
      <c r="AG24" s="51">
        <v>23.5</v>
      </c>
      <c r="AH24" s="48">
        <f t="shared" si="2"/>
        <v>12.7</v>
      </c>
      <c r="AI24" s="49">
        <f t="shared" si="3"/>
        <v>10.199999999999999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7.5</v>
      </c>
      <c r="O25" s="45">
        <v>7.5</v>
      </c>
      <c r="P25" s="45">
        <v>7.5</v>
      </c>
      <c r="Q25" s="45">
        <v>0</v>
      </c>
      <c r="R25" s="45">
        <v>0</v>
      </c>
      <c r="S25" s="45">
        <v>0</v>
      </c>
      <c r="T25" s="45">
        <v>0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10</v>
      </c>
      <c r="C28" s="45">
        <v>10</v>
      </c>
      <c r="D28" s="45">
        <v>10</v>
      </c>
      <c r="E28" s="45">
        <v>10</v>
      </c>
      <c r="F28" s="45">
        <v>10</v>
      </c>
      <c r="G28" s="45">
        <v>10</v>
      </c>
      <c r="H28" s="45">
        <v>10</v>
      </c>
      <c r="I28" s="45">
        <v>10</v>
      </c>
      <c r="J28" s="45">
        <v>10</v>
      </c>
      <c r="K28" s="45">
        <v>10</v>
      </c>
      <c r="L28" s="45">
        <v>10</v>
      </c>
      <c r="M28" s="45">
        <v>10</v>
      </c>
      <c r="N28" s="45">
        <v>10</v>
      </c>
      <c r="O28" s="45">
        <v>10</v>
      </c>
      <c r="P28" s="45">
        <v>10</v>
      </c>
      <c r="Q28" s="45">
        <v>10</v>
      </c>
      <c r="R28" s="45">
        <v>10</v>
      </c>
      <c r="S28" s="45">
        <v>10</v>
      </c>
      <c r="T28" s="45">
        <v>10</v>
      </c>
      <c r="U28" s="45">
        <v>10</v>
      </c>
      <c r="V28" s="45">
        <v>10</v>
      </c>
      <c r="W28" s="45">
        <v>10</v>
      </c>
      <c r="X28" s="45">
        <v>10</v>
      </c>
      <c r="Y28" s="45">
        <v>10</v>
      </c>
      <c r="Z28" s="45">
        <v>10</v>
      </c>
      <c r="AA28" s="45">
        <v>10</v>
      </c>
      <c r="AB28" s="45">
        <v>10</v>
      </c>
      <c r="AC28" s="45">
        <v>10</v>
      </c>
      <c r="AD28" s="45">
        <v>14</v>
      </c>
      <c r="AE28" s="45">
        <v>14</v>
      </c>
      <c r="AF28" s="45">
        <v>14</v>
      </c>
      <c r="AG28" s="51">
        <v>22</v>
      </c>
      <c r="AH28" s="48">
        <f t="shared" si="2"/>
        <v>14</v>
      </c>
      <c r="AI28" s="49">
        <f t="shared" si="3"/>
        <v>10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5</v>
      </c>
      <c r="E29" s="45">
        <v>5</v>
      </c>
      <c r="F29" s="45">
        <v>5</v>
      </c>
      <c r="G29" s="45">
        <v>5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6</v>
      </c>
      <c r="C34" s="45">
        <v>3</v>
      </c>
      <c r="D34" s="45">
        <v>3</v>
      </c>
      <c r="E34" s="45">
        <v>3</v>
      </c>
      <c r="F34" s="45">
        <v>3</v>
      </c>
      <c r="G34" s="45">
        <v>3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3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2</v>
      </c>
      <c r="T41" s="45">
        <v>2</v>
      </c>
      <c r="U41" s="45">
        <v>2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2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220</v>
      </c>
      <c r="C42" s="57">
        <v>220</v>
      </c>
      <c r="D42" s="57">
        <v>220</v>
      </c>
      <c r="E42" s="57">
        <v>220</v>
      </c>
      <c r="F42" s="57">
        <v>220</v>
      </c>
      <c r="G42" s="57">
        <v>220</v>
      </c>
      <c r="H42" s="57">
        <v>220</v>
      </c>
      <c r="I42" s="57">
        <v>220</v>
      </c>
      <c r="J42" s="57">
        <v>220</v>
      </c>
      <c r="K42" s="57">
        <v>220</v>
      </c>
      <c r="L42" s="57">
        <v>220</v>
      </c>
      <c r="M42" s="57">
        <v>220</v>
      </c>
      <c r="N42" s="57">
        <v>220</v>
      </c>
      <c r="O42" s="57">
        <v>220</v>
      </c>
      <c r="P42" s="57">
        <v>220</v>
      </c>
      <c r="Q42" s="57">
        <v>220</v>
      </c>
      <c r="R42" s="57">
        <v>220</v>
      </c>
      <c r="S42" s="57">
        <v>220</v>
      </c>
      <c r="T42" s="57">
        <v>220</v>
      </c>
      <c r="U42" s="57">
        <v>220</v>
      </c>
      <c r="V42" s="57">
        <v>220</v>
      </c>
      <c r="W42" s="57">
        <v>220</v>
      </c>
      <c r="X42" s="57">
        <v>220</v>
      </c>
      <c r="Y42" s="57">
        <v>220</v>
      </c>
      <c r="Z42" s="57">
        <v>220</v>
      </c>
      <c r="AA42" s="57">
        <v>220</v>
      </c>
      <c r="AB42" s="57">
        <v>220</v>
      </c>
      <c r="AC42" s="57">
        <v>220</v>
      </c>
      <c r="AD42" s="57">
        <v>220</v>
      </c>
      <c r="AE42" s="57">
        <v>220</v>
      </c>
      <c r="AF42" s="57">
        <v>220</v>
      </c>
      <c r="AG42" s="55">
        <v>85</v>
      </c>
      <c r="AH42" s="48">
        <f t="shared" si="2"/>
        <v>220</v>
      </c>
      <c r="AI42" s="49">
        <f t="shared" si="3"/>
        <v>220</v>
      </c>
      <c r="AK42" s="50"/>
    </row>
    <row r="43" spans="1:88" ht="15.75" thickBot="1" x14ac:dyDescent="0.3">
      <c r="A43" s="58" t="s">
        <v>47</v>
      </c>
      <c r="B43" s="59">
        <v>69</v>
      </c>
      <c r="C43" s="59">
        <v>69</v>
      </c>
      <c r="D43" s="59">
        <v>64</v>
      </c>
      <c r="E43" s="59">
        <f>32.8+35.4</f>
        <v>68.199999999999989</v>
      </c>
      <c r="F43" s="59">
        <f t="shared" ref="F43:G43" si="4">32.8+35.4</f>
        <v>68.199999999999989</v>
      </c>
      <c r="G43" s="59">
        <f t="shared" si="4"/>
        <v>68.199999999999989</v>
      </c>
      <c r="H43" s="59">
        <f>32.4+31.4</f>
        <v>63.8</v>
      </c>
      <c r="I43" s="59">
        <f>32.4+31.4</f>
        <v>63.8</v>
      </c>
      <c r="J43" s="59">
        <f>32.4+31.4</f>
        <v>63.8</v>
      </c>
      <c r="K43" s="59">
        <f>32.4+31.4</f>
        <v>63.8</v>
      </c>
      <c r="L43" s="59">
        <f>32.1+31.7</f>
        <v>63.8</v>
      </c>
      <c r="M43" s="57">
        <v>65.3</v>
      </c>
      <c r="N43" s="57">
        <v>67.8</v>
      </c>
      <c r="O43" s="57">
        <v>77.599999999999994</v>
      </c>
      <c r="P43" s="57">
        <v>77.599999999999994</v>
      </c>
      <c r="Q43" s="57">
        <v>70.7</v>
      </c>
      <c r="R43" s="57">
        <v>71.400000000000006</v>
      </c>
      <c r="S43" s="59">
        <f>32+36.4</f>
        <v>68.400000000000006</v>
      </c>
      <c r="T43" s="59">
        <f>31.3+36</f>
        <v>67.3</v>
      </c>
      <c r="U43" s="59">
        <f>31+34.3</f>
        <v>65.3</v>
      </c>
      <c r="V43" s="59">
        <f>29.7+34.8</f>
        <v>64.5</v>
      </c>
      <c r="W43" s="59">
        <f>29+36</f>
        <v>65</v>
      </c>
      <c r="X43" s="59">
        <f>28.2+35.6</f>
        <v>63.8</v>
      </c>
      <c r="Y43" s="59">
        <f>28.6+42.1</f>
        <v>70.7</v>
      </c>
      <c r="Z43" s="59">
        <f>28.9+42</f>
        <v>70.900000000000006</v>
      </c>
      <c r="AA43" s="59">
        <f>30+40</f>
        <v>70</v>
      </c>
      <c r="AB43" s="59">
        <f>29.7+37.9</f>
        <v>67.599999999999994</v>
      </c>
      <c r="AC43" s="59">
        <f>30.1+37.3</f>
        <v>67.400000000000006</v>
      </c>
      <c r="AD43" s="59">
        <f>30.4+38.1</f>
        <v>68.5</v>
      </c>
      <c r="AE43" s="59">
        <f>31.2+38</f>
        <v>69.2</v>
      </c>
      <c r="AF43" s="59">
        <f>31.5+38.3</f>
        <v>69.8</v>
      </c>
      <c r="AG43" s="55">
        <v>240</v>
      </c>
      <c r="AH43" s="48">
        <f t="shared" si="2"/>
        <v>77.599999999999994</v>
      </c>
      <c r="AI43" s="49">
        <f t="shared" si="3"/>
        <v>63.8</v>
      </c>
      <c r="AK43" s="50"/>
    </row>
    <row r="44" spans="1:88" ht="15.75" thickBot="1" x14ac:dyDescent="0.3">
      <c r="A44" s="60" t="s">
        <v>48</v>
      </c>
      <c r="B44" s="61">
        <f t="shared" ref="B44:AG44" si="5">SUM(B11:B42)</f>
        <v>577.09999999999991</v>
      </c>
      <c r="C44" s="61">
        <f t="shared" si="5"/>
        <v>557.4</v>
      </c>
      <c r="D44" s="61">
        <f t="shared" si="5"/>
        <v>540.4</v>
      </c>
      <c r="E44" s="61">
        <f t="shared" si="5"/>
        <v>540.29999999999995</v>
      </c>
      <c r="F44" s="61">
        <f t="shared" si="5"/>
        <v>534.6</v>
      </c>
      <c r="G44" s="61">
        <f t="shared" si="5"/>
        <v>534.6</v>
      </c>
      <c r="H44" s="61">
        <f t="shared" si="5"/>
        <v>550.59999999999991</v>
      </c>
      <c r="I44" s="61">
        <f t="shared" si="5"/>
        <v>570.59999999999991</v>
      </c>
      <c r="J44" s="61">
        <f t="shared" si="5"/>
        <v>570.59999999999991</v>
      </c>
      <c r="K44" s="61">
        <f t="shared" si="5"/>
        <v>570.59999999999991</v>
      </c>
      <c r="L44" s="61">
        <f t="shared" si="5"/>
        <v>570.59999999999991</v>
      </c>
      <c r="M44" s="61">
        <f t="shared" si="5"/>
        <v>579.09999999999991</v>
      </c>
      <c r="N44" s="61">
        <f t="shared" si="5"/>
        <v>599.70000000000005</v>
      </c>
      <c r="O44" s="61">
        <f t="shared" si="5"/>
        <v>599.29999999999995</v>
      </c>
      <c r="P44" s="61">
        <f t="shared" si="5"/>
        <v>599.29999999999995</v>
      </c>
      <c r="Q44" s="61">
        <f t="shared" si="5"/>
        <v>537</v>
      </c>
      <c r="R44" s="61">
        <f t="shared" si="5"/>
        <v>537</v>
      </c>
      <c r="S44" s="61">
        <f t="shared" si="5"/>
        <v>537.79999999999995</v>
      </c>
      <c r="T44" s="61">
        <f t="shared" si="5"/>
        <v>537.79999999999995</v>
      </c>
      <c r="U44" s="61">
        <f t="shared" si="5"/>
        <v>603.40000000000009</v>
      </c>
      <c r="V44" s="61">
        <f t="shared" si="5"/>
        <v>601.40000000000009</v>
      </c>
      <c r="W44" s="61">
        <f t="shared" si="5"/>
        <v>601.40000000000009</v>
      </c>
      <c r="X44" s="61">
        <f t="shared" si="5"/>
        <v>604.1</v>
      </c>
      <c r="Y44" s="61">
        <f t="shared" si="5"/>
        <v>604.1</v>
      </c>
      <c r="Z44" s="61">
        <f t="shared" si="5"/>
        <v>604.1</v>
      </c>
      <c r="AA44" s="61">
        <f t="shared" si="5"/>
        <v>604.1</v>
      </c>
      <c r="AB44" s="61">
        <f t="shared" si="5"/>
        <v>604.1</v>
      </c>
      <c r="AC44" s="61">
        <f t="shared" si="5"/>
        <v>604.1</v>
      </c>
      <c r="AD44" s="61">
        <f t="shared" si="5"/>
        <v>609.5</v>
      </c>
      <c r="AE44" s="61">
        <f t="shared" si="5"/>
        <v>609.5</v>
      </c>
      <c r="AF44" s="61">
        <f t="shared" si="5"/>
        <v>608.70000000000005</v>
      </c>
      <c r="AG44" s="62">
        <f t="shared" si="5"/>
        <v>814.78000000000009</v>
      </c>
      <c r="AH44" s="48">
        <f t="shared" si="2"/>
        <v>609.5</v>
      </c>
      <c r="AI44" s="49">
        <f t="shared" si="3"/>
        <v>534.6</v>
      </c>
      <c r="AK44" s="50"/>
    </row>
    <row r="45" spans="1:88" x14ac:dyDescent="0.25">
      <c r="A45" s="63" t="s">
        <v>49</v>
      </c>
      <c r="B45" s="45">
        <v>15</v>
      </c>
      <c r="C45" s="45">
        <v>15</v>
      </c>
      <c r="D45" s="45">
        <v>15</v>
      </c>
      <c r="E45" s="45">
        <v>15</v>
      </c>
      <c r="F45" s="45">
        <v>10</v>
      </c>
      <c r="G45" s="45">
        <v>20</v>
      </c>
      <c r="H45" s="45">
        <v>40</v>
      </c>
      <c r="I45" s="45">
        <v>80</v>
      </c>
      <c r="J45" s="45">
        <v>115</v>
      </c>
      <c r="K45" s="45">
        <v>330</v>
      </c>
      <c r="L45" s="45">
        <v>370</v>
      </c>
      <c r="M45" s="45">
        <v>290</v>
      </c>
      <c r="N45" s="45">
        <v>380</v>
      </c>
      <c r="O45" s="45">
        <v>365</v>
      </c>
      <c r="P45" s="45">
        <v>160</v>
      </c>
      <c r="Q45" s="45">
        <v>140</v>
      </c>
      <c r="R45" s="45">
        <v>130</v>
      </c>
      <c r="S45" s="45">
        <v>125</v>
      </c>
      <c r="T45" s="45">
        <f>76*3</f>
        <v>228</v>
      </c>
      <c r="U45" s="45">
        <v>340</v>
      </c>
      <c r="V45" s="45">
        <v>180</v>
      </c>
      <c r="W45" s="45">
        <v>456</v>
      </c>
      <c r="X45" s="45">
        <v>456</v>
      </c>
      <c r="Y45" s="45">
        <v>350</v>
      </c>
      <c r="Z45" s="45">
        <v>270</v>
      </c>
      <c r="AA45" s="45">
        <f>76*3</f>
        <v>228</v>
      </c>
      <c r="AB45" s="45">
        <v>190</v>
      </c>
      <c r="AC45" s="45">
        <v>170</v>
      </c>
      <c r="AD45" s="45">
        <v>130</v>
      </c>
      <c r="AE45" s="45">
        <v>15</v>
      </c>
      <c r="AF45" s="45">
        <v>15</v>
      </c>
      <c r="AG45" s="52">
        <v>456</v>
      </c>
      <c r="AH45" s="48">
        <f t="shared" si="2"/>
        <v>456</v>
      </c>
      <c r="AI45" s="49">
        <f t="shared" si="3"/>
        <v>10</v>
      </c>
      <c r="AK45" s="50"/>
    </row>
    <row r="46" spans="1:88" x14ac:dyDescent="0.25">
      <c r="A46" s="64" t="s">
        <v>50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48</v>
      </c>
      <c r="N46" s="65">
        <v>48</v>
      </c>
      <c r="O46" s="65">
        <v>48</v>
      </c>
      <c r="P46" s="65">
        <v>48</v>
      </c>
      <c r="Q46" s="65">
        <v>48</v>
      </c>
      <c r="R46" s="65">
        <v>48</v>
      </c>
      <c r="S46" s="65">
        <v>48</v>
      </c>
      <c r="T46" s="65">
        <v>48</v>
      </c>
      <c r="U46" s="65">
        <v>48</v>
      </c>
      <c r="V46" s="65">
        <v>48</v>
      </c>
      <c r="W46" s="65">
        <v>48</v>
      </c>
      <c r="X46" s="65">
        <v>48</v>
      </c>
      <c r="Y46" s="65">
        <v>48</v>
      </c>
      <c r="Z46" s="65">
        <v>48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48</v>
      </c>
      <c r="AI46" s="49">
        <f t="shared" si="3"/>
        <v>48</v>
      </c>
      <c r="AK46" s="50"/>
    </row>
    <row r="47" spans="1:88" ht="15.75" thickBot="1" x14ac:dyDescent="0.3">
      <c r="A47" s="66" t="s">
        <v>51</v>
      </c>
      <c r="B47" s="67">
        <v>19.2</v>
      </c>
      <c r="C47" s="67">
        <v>19.2</v>
      </c>
      <c r="D47" s="67">
        <v>19.2</v>
      </c>
      <c r="E47" s="67">
        <v>19.2</v>
      </c>
      <c r="F47" s="67">
        <v>19.2</v>
      </c>
      <c r="G47" s="67">
        <v>19.2</v>
      </c>
      <c r="H47" s="67">
        <v>19.2</v>
      </c>
      <c r="I47" s="67">
        <v>19.2</v>
      </c>
      <c r="J47" s="67">
        <v>19.2</v>
      </c>
      <c r="K47" s="67">
        <v>19.2</v>
      </c>
      <c r="L47" s="67">
        <v>19.2</v>
      </c>
      <c r="M47" s="67">
        <v>17.3</v>
      </c>
      <c r="N47" s="67">
        <v>17.3</v>
      </c>
      <c r="O47" s="67">
        <v>17</v>
      </c>
      <c r="P47" s="67">
        <v>17</v>
      </c>
      <c r="Q47" s="67">
        <v>17</v>
      </c>
      <c r="R47" s="67">
        <v>17</v>
      </c>
      <c r="S47" s="67">
        <v>17.3</v>
      </c>
      <c r="T47" s="67">
        <v>17.3</v>
      </c>
      <c r="U47" s="67">
        <v>17.3</v>
      </c>
      <c r="V47" s="67">
        <v>17.3</v>
      </c>
      <c r="W47" s="67">
        <v>17.3</v>
      </c>
      <c r="X47" s="67">
        <v>22.1</v>
      </c>
      <c r="Y47" s="67">
        <v>22.1</v>
      </c>
      <c r="Z47" s="67">
        <v>22.1</v>
      </c>
      <c r="AA47" s="67">
        <v>22.1</v>
      </c>
      <c r="AB47" s="67">
        <v>18.5</v>
      </c>
      <c r="AC47" s="67">
        <v>18.5</v>
      </c>
      <c r="AD47" s="67">
        <v>18.5</v>
      </c>
      <c r="AE47" s="67">
        <v>18.5</v>
      </c>
      <c r="AF47" s="67">
        <v>18.5</v>
      </c>
      <c r="AG47" s="68">
        <v>22.1</v>
      </c>
      <c r="AH47" s="48">
        <f t="shared" si="2"/>
        <v>22.1</v>
      </c>
      <c r="AI47" s="49">
        <f t="shared" si="3"/>
        <v>17</v>
      </c>
      <c r="AK47" s="50"/>
    </row>
    <row r="48" spans="1:88" ht="15.75" thickBot="1" x14ac:dyDescent="0.3">
      <c r="A48" s="69" t="s">
        <v>52</v>
      </c>
      <c r="B48" s="61">
        <f t="shared" ref="B48:AG48" si="6">SUM(B45:B47)</f>
        <v>82.2</v>
      </c>
      <c r="C48" s="61">
        <f t="shared" si="6"/>
        <v>82.2</v>
      </c>
      <c r="D48" s="61">
        <f t="shared" si="6"/>
        <v>82.2</v>
      </c>
      <c r="E48" s="61">
        <f t="shared" si="6"/>
        <v>82.2</v>
      </c>
      <c r="F48" s="61">
        <f t="shared" si="6"/>
        <v>77.2</v>
      </c>
      <c r="G48" s="61">
        <f t="shared" si="6"/>
        <v>87.2</v>
      </c>
      <c r="H48" s="61">
        <f t="shared" si="6"/>
        <v>107.2</v>
      </c>
      <c r="I48" s="61">
        <f t="shared" si="6"/>
        <v>147.19999999999999</v>
      </c>
      <c r="J48" s="61">
        <f t="shared" si="6"/>
        <v>182.2</v>
      </c>
      <c r="K48" s="61">
        <f t="shared" si="6"/>
        <v>397.2</v>
      </c>
      <c r="L48" s="61">
        <f t="shared" si="6"/>
        <v>437.2</v>
      </c>
      <c r="M48" s="61">
        <f t="shared" si="6"/>
        <v>355.3</v>
      </c>
      <c r="N48" s="61">
        <f t="shared" si="6"/>
        <v>445.3</v>
      </c>
      <c r="O48" s="61">
        <f t="shared" si="6"/>
        <v>430</v>
      </c>
      <c r="P48" s="61">
        <f t="shared" si="6"/>
        <v>225</v>
      </c>
      <c r="Q48" s="61">
        <f t="shared" si="6"/>
        <v>205</v>
      </c>
      <c r="R48" s="61">
        <f t="shared" si="6"/>
        <v>195</v>
      </c>
      <c r="S48" s="61">
        <f t="shared" si="6"/>
        <v>190.3</v>
      </c>
      <c r="T48" s="61">
        <f t="shared" si="6"/>
        <v>293.3</v>
      </c>
      <c r="U48" s="61">
        <f t="shared" si="6"/>
        <v>405.3</v>
      </c>
      <c r="V48" s="61">
        <f t="shared" si="6"/>
        <v>245.3</v>
      </c>
      <c r="W48" s="61">
        <f t="shared" si="6"/>
        <v>521.29999999999995</v>
      </c>
      <c r="X48" s="61">
        <f t="shared" si="6"/>
        <v>526.1</v>
      </c>
      <c r="Y48" s="61">
        <f t="shared" si="6"/>
        <v>420.1</v>
      </c>
      <c r="Z48" s="61">
        <f t="shared" si="6"/>
        <v>340.1</v>
      </c>
      <c r="AA48" s="61">
        <f t="shared" si="6"/>
        <v>298.10000000000002</v>
      </c>
      <c r="AB48" s="61">
        <f t="shared" si="6"/>
        <v>256.5</v>
      </c>
      <c r="AC48" s="61">
        <f t="shared" si="6"/>
        <v>236.5</v>
      </c>
      <c r="AD48" s="61">
        <f t="shared" si="6"/>
        <v>196.5</v>
      </c>
      <c r="AE48" s="61">
        <f t="shared" si="6"/>
        <v>81.5</v>
      </c>
      <c r="AF48" s="61">
        <f t="shared" si="6"/>
        <v>81.5</v>
      </c>
      <c r="AG48" s="62">
        <f t="shared" si="6"/>
        <v>538.1</v>
      </c>
      <c r="AH48" s="48">
        <f t="shared" si="2"/>
        <v>526.1</v>
      </c>
      <c r="AI48" s="49">
        <f t="shared" si="3"/>
        <v>77.2</v>
      </c>
      <c r="AK48" s="50"/>
    </row>
    <row r="49" spans="1:41" x14ac:dyDescent="0.25">
      <c r="A49" s="44" t="s">
        <v>53</v>
      </c>
      <c r="B49" s="45">
        <v>40</v>
      </c>
      <c r="C49" s="45">
        <v>40</v>
      </c>
      <c r="D49" s="45">
        <v>40</v>
      </c>
      <c r="E49" s="45">
        <v>40</v>
      </c>
      <c r="F49" s="45">
        <v>30</v>
      </c>
      <c r="G49" s="45">
        <v>90</v>
      </c>
      <c r="H49" s="45">
        <v>110</v>
      </c>
      <c r="I49" s="45">
        <v>144</v>
      </c>
      <c r="J49" s="45">
        <v>144</v>
      </c>
      <c r="K49" s="45">
        <v>143</v>
      </c>
      <c r="L49" s="45">
        <v>143</v>
      </c>
      <c r="M49" s="45">
        <v>143</v>
      </c>
      <c r="N49" s="45">
        <v>142.80000000000001</v>
      </c>
      <c r="O49" s="45">
        <v>142.80000000000001</v>
      </c>
      <c r="P49" s="45">
        <v>142.30000000000001</v>
      </c>
      <c r="Q49" s="45">
        <v>133</v>
      </c>
      <c r="R49" s="45">
        <v>132.69999999999999</v>
      </c>
      <c r="S49" s="45">
        <v>132.69999999999999</v>
      </c>
      <c r="T49" s="45">
        <v>141</v>
      </c>
      <c r="U49" s="45">
        <v>141</v>
      </c>
      <c r="V49" s="45">
        <v>95</v>
      </c>
      <c r="W49" s="45">
        <v>95</v>
      </c>
      <c r="X49" s="45">
        <v>93.6</v>
      </c>
      <c r="Y49" s="45">
        <v>136</v>
      </c>
      <c r="Z49" s="45">
        <v>136</v>
      </c>
      <c r="AA49" s="45">
        <v>136</v>
      </c>
      <c r="AB49" s="45">
        <v>139</v>
      </c>
      <c r="AC49" s="45">
        <v>139.30000000000001</v>
      </c>
      <c r="AD49" s="45">
        <v>139.30000000000001</v>
      </c>
      <c r="AE49" s="45">
        <v>75</v>
      </c>
      <c r="AF49" s="45">
        <v>40.1</v>
      </c>
      <c r="AG49" s="52">
        <v>144</v>
      </c>
      <c r="AH49" s="48">
        <f t="shared" si="2"/>
        <v>144</v>
      </c>
      <c r="AI49" s="49">
        <f t="shared" si="3"/>
        <v>30</v>
      </c>
      <c r="AK49" s="50"/>
    </row>
    <row r="50" spans="1:41" x14ac:dyDescent="0.25">
      <c r="A50" s="54" t="s">
        <v>54</v>
      </c>
      <c r="B50" s="65">
        <v>34</v>
      </c>
      <c r="C50" s="65">
        <v>22</v>
      </c>
      <c r="D50" s="65">
        <v>22</v>
      </c>
      <c r="E50" s="65">
        <v>22.6</v>
      </c>
      <c r="F50" s="65">
        <v>34.5</v>
      </c>
      <c r="G50" s="65">
        <v>40.6</v>
      </c>
      <c r="H50" s="65">
        <v>40.6</v>
      </c>
      <c r="I50" s="65">
        <v>68</v>
      </c>
      <c r="J50" s="65">
        <v>68</v>
      </c>
      <c r="K50" s="65">
        <v>70.900000000000006</v>
      </c>
      <c r="L50" s="65">
        <v>70.900000000000006</v>
      </c>
      <c r="M50" s="65">
        <v>70.900000000000006</v>
      </c>
      <c r="N50" s="45">
        <v>71.400000000000006</v>
      </c>
      <c r="O50" s="45">
        <v>71.400000000000006</v>
      </c>
      <c r="P50" s="45">
        <v>59.2</v>
      </c>
      <c r="Q50" s="45">
        <v>39</v>
      </c>
      <c r="R50" s="45">
        <v>40.299999999999997</v>
      </c>
      <c r="S50" s="45">
        <v>42</v>
      </c>
      <c r="T50" s="45">
        <v>70.3</v>
      </c>
      <c r="U50" s="45">
        <v>70.3</v>
      </c>
      <c r="V50" s="45">
        <v>60</v>
      </c>
      <c r="W50" s="45">
        <v>72</v>
      </c>
      <c r="X50" s="65">
        <v>71.599999999999994</v>
      </c>
      <c r="Y50" s="65">
        <v>71.599999999999994</v>
      </c>
      <c r="Z50" s="65">
        <v>71.599999999999994</v>
      </c>
      <c r="AA50" s="65">
        <v>71.599999999999994</v>
      </c>
      <c r="AB50" s="65">
        <v>71.599999999999994</v>
      </c>
      <c r="AC50" s="65">
        <v>71.2</v>
      </c>
      <c r="AD50" s="65">
        <v>72.7</v>
      </c>
      <c r="AE50" s="65">
        <v>35</v>
      </c>
      <c r="AF50" s="65">
        <v>0</v>
      </c>
      <c r="AG50" s="55">
        <v>70</v>
      </c>
      <c r="AH50" s="48">
        <f t="shared" si="2"/>
        <v>72.7</v>
      </c>
      <c r="AI50" s="49">
        <f t="shared" si="3"/>
        <v>0</v>
      </c>
      <c r="AK50" s="50"/>
    </row>
    <row r="51" spans="1:41" x14ac:dyDescent="0.25">
      <c r="A51" s="54" t="s">
        <v>55</v>
      </c>
      <c r="B51" s="65">
        <v>65</v>
      </c>
      <c r="C51" s="65">
        <v>32</v>
      </c>
      <c r="D51" s="65">
        <v>32</v>
      </c>
      <c r="E51" s="65">
        <v>46.3</v>
      </c>
      <c r="F51" s="65">
        <v>53</v>
      </c>
      <c r="G51" s="65">
        <v>52.8</v>
      </c>
      <c r="H51" s="65">
        <v>52.8</v>
      </c>
      <c r="I51" s="65">
        <v>69</v>
      </c>
      <c r="J51" s="65">
        <v>69</v>
      </c>
      <c r="K51" s="65">
        <v>70</v>
      </c>
      <c r="L51" s="65">
        <v>70</v>
      </c>
      <c r="M51" s="65">
        <v>70</v>
      </c>
      <c r="N51" s="45">
        <v>68.400000000000006</v>
      </c>
      <c r="O51" s="45">
        <v>68.400000000000006</v>
      </c>
      <c r="P51" s="45">
        <v>69.599999999999994</v>
      </c>
      <c r="Q51" s="45">
        <v>55</v>
      </c>
      <c r="R51" s="45">
        <v>51.2</v>
      </c>
      <c r="S51" s="45">
        <v>53.2</v>
      </c>
      <c r="T51" s="45">
        <v>65</v>
      </c>
      <c r="U51" s="45">
        <v>65</v>
      </c>
      <c r="V51" s="45">
        <v>67</v>
      </c>
      <c r="W51" s="45">
        <v>67</v>
      </c>
      <c r="X51" s="65">
        <v>69</v>
      </c>
      <c r="Y51" s="65">
        <v>69</v>
      </c>
      <c r="Z51" s="65">
        <v>69</v>
      </c>
      <c r="AA51" s="65">
        <v>69</v>
      </c>
      <c r="AB51" s="65">
        <v>69</v>
      </c>
      <c r="AC51" s="65">
        <v>69.3</v>
      </c>
      <c r="AD51" s="65">
        <v>69.5</v>
      </c>
      <c r="AE51" s="65">
        <v>58.9</v>
      </c>
      <c r="AF51" s="65">
        <v>57.3</v>
      </c>
      <c r="AG51" s="55">
        <v>69</v>
      </c>
      <c r="AH51" s="48">
        <f t="shared" si="2"/>
        <v>70</v>
      </c>
      <c r="AI51" s="49">
        <f t="shared" si="3"/>
        <v>32</v>
      </c>
      <c r="AK51" s="50"/>
    </row>
    <row r="52" spans="1:41" x14ac:dyDescent="0.25">
      <c r="A52" s="54" t="s">
        <v>56</v>
      </c>
      <c r="B52" s="57">
        <v>60.4</v>
      </c>
      <c r="C52" s="57">
        <v>60.4</v>
      </c>
      <c r="D52" s="57">
        <v>60.4</v>
      </c>
      <c r="E52" s="57">
        <v>60.4</v>
      </c>
      <c r="F52" s="57">
        <v>60.4</v>
      </c>
      <c r="G52" s="57">
        <v>60.9</v>
      </c>
      <c r="H52" s="57">
        <v>60.9</v>
      </c>
      <c r="I52" s="57">
        <v>60.9</v>
      </c>
      <c r="J52" s="57">
        <v>60.9</v>
      </c>
      <c r="K52" s="57">
        <v>60.9</v>
      </c>
      <c r="L52" s="57">
        <v>60.9</v>
      </c>
      <c r="M52" s="65">
        <v>60.9</v>
      </c>
      <c r="N52" s="45">
        <v>60.9</v>
      </c>
      <c r="O52" s="45">
        <v>60.9</v>
      </c>
      <c r="P52" s="45">
        <v>60.9</v>
      </c>
      <c r="Q52" s="45">
        <v>60.9</v>
      </c>
      <c r="R52" s="45">
        <v>60.9</v>
      </c>
      <c r="S52" s="45">
        <v>60.9</v>
      </c>
      <c r="T52" s="45">
        <v>60.9</v>
      </c>
      <c r="U52" s="45">
        <v>60.9</v>
      </c>
      <c r="V52" s="45">
        <v>60.9</v>
      </c>
      <c r="W52" s="45">
        <v>60.9</v>
      </c>
      <c r="X52" s="65">
        <v>60.4</v>
      </c>
      <c r="Y52" s="65">
        <v>60.4</v>
      </c>
      <c r="Z52" s="65">
        <v>60.4</v>
      </c>
      <c r="AA52" s="65">
        <v>60.4</v>
      </c>
      <c r="AB52" s="65">
        <v>60.4</v>
      </c>
      <c r="AC52" s="57">
        <v>60.4</v>
      </c>
      <c r="AD52" s="57">
        <v>60.4</v>
      </c>
      <c r="AE52" s="57">
        <v>60.4</v>
      </c>
      <c r="AF52" s="57">
        <v>60.4</v>
      </c>
      <c r="AG52" s="55">
        <v>60</v>
      </c>
      <c r="AH52" s="48">
        <f t="shared" si="2"/>
        <v>60.9</v>
      </c>
      <c r="AI52" s="49">
        <f t="shared" si="3"/>
        <v>60.4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15</v>
      </c>
      <c r="J53" s="57">
        <v>26</v>
      </c>
      <c r="K53" s="57">
        <v>29</v>
      </c>
      <c r="L53" s="57">
        <v>29</v>
      </c>
      <c r="M53" s="65">
        <v>29</v>
      </c>
      <c r="N53" s="45">
        <v>25</v>
      </c>
      <c r="O53" s="45">
        <v>29</v>
      </c>
      <c r="P53" s="45">
        <v>12.9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12.7</v>
      </c>
      <c r="W53" s="45">
        <v>15</v>
      </c>
      <c r="X53" s="65">
        <v>26.3</v>
      </c>
      <c r="Y53" s="65">
        <v>29.3</v>
      </c>
      <c r="Z53" s="65">
        <v>29.3</v>
      </c>
      <c r="AA53" s="65">
        <v>29.3</v>
      </c>
      <c r="AB53" s="65">
        <v>29.3</v>
      </c>
      <c r="AC53" s="57">
        <v>25.4</v>
      </c>
      <c r="AD53" s="57">
        <v>13.8</v>
      </c>
      <c r="AE53" s="57">
        <v>0</v>
      </c>
      <c r="AF53" s="57">
        <v>0</v>
      </c>
      <c r="AG53" s="55">
        <v>30</v>
      </c>
      <c r="AH53" s="48">
        <f t="shared" si="2"/>
        <v>29.3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8</v>
      </c>
      <c r="O54" s="65">
        <v>8</v>
      </c>
      <c r="P54" s="65">
        <v>8</v>
      </c>
      <c r="Q54" s="65">
        <v>8</v>
      </c>
      <c r="R54" s="65">
        <v>8</v>
      </c>
      <c r="S54" s="65">
        <v>8</v>
      </c>
      <c r="T54" s="65">
        <v>8</v>
      </c>
      <c r="U54" s="65">
        <v>8</v>
      </c>
      <c r="V54" s="65">
        <v>0</v>
      </c>
      <c r="W54" s="6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</v>
      </c>
      <c r="C55" s="65">
        <v>17.3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17.2</v>
      </c>
      <c r="N55" s="65">
        <v>17.2</v>
      </c>
      <c r="O55" s="65">
        <v>17.2</v>
      </c>
      <c r="P55" s="65">
        <v>17.2</v>
      </c>
      <c r="Q55" s="65">
        <v>17.2</v>
      </c>
      <c r="R55" s="65">
        <v>17.2</v>
      </c>
      <c r="S55" s="65">
        <v>17.2</v>
      </c>
      <c r="T55" s="65">
        <v>17.2</v>
      </c>
      <c r="U55" s="65">
        <v>17.2</v>
      </c>
      <c r="V55" s="65">
        <v>17.2</v>
      </c>
      <c r="W55" s="65">
        <v>17.2</v>
      </c>
      <c r="X55" s="45">
        <v>17</v>
      </c>
      <c r="Y55" s="45">
        <v>17</v>
      </c>
      <c r="Z55" s="45">
        <v>17</v>
      </c>
      <c r="AA55" s="45">
        <v>17</v>
      </c>
      <c r="AB55" s="45">
        <v>17</v>
      </c>
      <c r="AC55" s="65">
        <v>17.3</v>
      </c>
      <c r="AD55" s="65">
        <v>17.3</v>
      </c>
      <c r="AE55" s="65">
        <v>17.3</v>
      </c>
      <c r="AF55" s="65">
        <v>17.3</v>
      </c>
      <c r="AG55" s="55">
        <v>24</v>
      </c>
      <c r="AH55" s="48">
        <f t="shared" si="2"/>
        <v>17.3</v>
      </c>
      <c r="AI55" s="49">
        <f t="shared" si="3"/>
        <v>17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14.6</v>
      </c>
      <c r="C57" s="65">
        <v>14.6</v>
      </c>
      <c r="D57" s="65">
        <v>14.6</v>
      </c>
      <c r="E57" s="65">
        <v>14.6</v>
      </c>
      <c r="F57" s="65">
        <v>14.6</v>
      </c>
      <c r="G57" s="65">
        <v>14.6</v>
      </c>
      <c r="H57" s="65">
        <v>14.6</v>
      </c>
      <c r="I57" s="65">
        <v>14.6</v>
      </c>
      <c r="J57" s="65">
        <v>14.6</v>
      </c>
      <c r="K57" s="65">
        <v>14.6</v>
      </c>
      <c r="L57" s="65">
        <v>14.6</v>
      </c>
      <c r="M57" s="65">
        <v>14.4</v>
      </c>
      <c r="N57" s="65">
        <v>14.4</v>
      </c>
      <c r="O57" s="65">
        <v>14.4</v>
      </c>
      <c r="P57" s="65">
        <v>14.4</v>
      </c>
      <c r="Q57" s="65">
        <v>14.4</v>
      </c>
      <c r="R57" s="65">
        <v>14.4</v>
      </c>
      <c r="S57" s="65">
        <v>14.4</v>
      </c>
      <c r="T57" s="65">
        <v>14.4</v>
      </c>
      <c r="U57" s="65">
        <v>14.4</v>
      </c>
      <c r="V57" s="65">
        <v>14.4</v>
      </c>
      <c r="W57" s="65">
        <v>14.4</v>
      </c>
      <c r="X57" s="65">
        <v>14.3</v>
      </c>
      <c r="Y57" s="65">
        <v>14.3</v>
      </c>
      <c r="Z57" s="65">
        <v>14.3</v>
      </c>
      <c r="AA57" s="65">
        <v>14.3</v>
      </c>
      <c r="AB57" s="65">
        <v>14.3</v>
      </c>
      <c r="AC57" s="65">
        <v>14.3</v>
      </c>
      <c r="AD57" s="65">
        <v>14.1</v>
      </c>
      <c r="AE57" s="65">
        <v>14.6</v>
      </c>
      <c r="AF57" s="65">
        <v>14.6</v>
      </c>
      <c r="AG57" s="55">
        <v>14.1</v>
      </c>
      <c r="AH57" s="48">
        <f t="shared" si="2"/>
        <v>14.6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8.3000000000000007</v>
      </c>
      <c r="C58" s="65">
        <v>8.3000000000000007</v>
      </c>
      <c r="D58" s="65">
        <v>8.3000000000000007</v>
      </c>
      <c r="E58" s="65">
        <v>8.3000000000000007</v>
      </c>
      <c r="F58" s="65">
        <v>8.3000000000000007</v>
      </c>
      <c r="G58" s="65">
        <v>8.3000000000000007</v>
      </c>
      <c r="H58" s="65">
        <v>8.3000000000000007</v>
      </c>
      <c r="I58" s="65">
        <v>8.3000000000000007</v>
      </c>
      <c r="J58" s="65">
        <v>8.3000000000000007</v>
      </c>
      <c r="K58" s="65">
        <v>8.3000000000000007</v>
      </c>
      <c r="L58" s="65">
        <v>8.3000000000000007</v>
      </c>
      <c r="M58" s="65">
        <v>8.3000000000000007</v>
      </c>
      <c r="N58" s="65">
        <v>8.3000000000000007</v>
      </c>
      <c r="O58" s="65">
        <v>8.3000000000000007</v>
      </c>
      <c r="P58" s="65">
        <v>8.3000000000000007</v>
      </c>
      <c r="Q58" s="65">
        <v>8.3000000000000007</v>
      </c>
      <c r="R58" s="65">
        <v>8.3000000000000007</v>
      </c>
      <c r="S58" s="65">
        <v>7.1</v>
      </c>
      <c r="T58" s="65">
        <v>7.1</v>
      </c>
      <c r="U58" s="65">
        <v>7.1</v>
      </c>
      <c r="V58" s="65">
        <v>6.1</v>
      </c>
      <c r="W58" s="65">
        <v>9</v>
      </c>
      <c r="X58" s="65">
        <v>9</v>
      </c>
      <c r="Y58" s="65">
        <v>9</v>
      </c>
      <c r="Z58" s="65">
        <v>9</v>
      </c>
      <c r="AA58" s="65">
        <v>9</v>
      </c>
      <c r="AB58" s="65">
        <v>6.5</v>
      </c>
      <c r="AC58" s="65">
        <v>6.5</v>
      </c>
      <c r="AD58" s="65">
        <v>7</v>
      </c>
      <c r="AE58" s="65">
        <v>7.1</v>
      </c>
      <c r="AF58" s="65">
        <v>7.1</v>
      </c>
      <c r="AG58" s="55">
        <v>14</v>
      </c>
      <c r="AH58" s="48">
        <f t="shared" si="2"/>
        <v>9</v>
      </c>
      <c r="AI58" s="49">
        <f t="shared" si="3"/>
        <v>6.1</v>
      </c>
      <c r="AK58" s="50"/>
    </row>
    <row r="59" spans="1:41" x14ac:dyDescent="0.25">
      <c r="A59" s="54" t="s">
        <v>63</v>
      </c>
      <c r="B59" s="65">
        <v>7.2</v>
      </c>
      <c r="C59" s="65">
        <v>7.2</v>
      </c>
      <c r="D59" s="65">
        <v>7.2</v>
      </c>
      <c r="E59" s="65">
        <v>7.2</v>
      </c>
      <c r="F59" s="65">
        <v>7.2</v>
      </c>
      <c r="G59" s="65">
        <v>7.2</v>
      </c>
      <c r="H59" s="65">
        <v>7.2</v>
      </c>
      <c r="I59" s="65">
        <v>7.2</v>
      </c>
      <c r="J59" s="65">
        <v>7.2</v>
      </c>
      <c r="K59" s="65">
        <v>7.2</v>
      </c>
      <c r="L59" s="65">
        <v>7.2</v>
      </c>
      <c r="M59" s="65">
        <v>7.2</v>
      </c>
      <c r="N59" s="65">
        <v>7.2</v>
      </c>
      <c r="O59" s="65">
        <v>7.2</v>
      </c>
      <c r="P59" s="65">
        <v>7.2</v>
      </c>
      <c r="Q59" s="65">
        <v>7.2</v>
      </c>
      <c r="R59" s="65">
        <v>7.2</v>
      </c>
      <c r="S59" s="65">
        <v>7.2</v>
      </c>
      <c r="T59" s="65">
        <v>7.2</v>
      </c>
      <c r="U59" s="65">
        <v>7.2</v>
      </c>
      <c r="V59" s="65">
        <v>7.2</v>
      </c>
      <c r="W59" s="65">
        <v>7.2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7.1</v>
      </c>
      <c r="AE59" s="65">
        <v>7.1</v>
      </c>
      <c r="AF59" s="65">
        <v>7.1</v>
      </c>
      <c r="AG59" s="55">
        <v>10.050000000000001</v>
      </c>
      <c r="AH59" s="48">
        <f t="shared" si="2"/>
        <v>7.2</v>
      </c>
      <c r="AI59" s="49">
        <f t="shared" si="3"/>
        <v>5.2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7">SUM(B49:B61)</f>
        <v>253.94</v>
      </c>
      <c r="C62" s="61">
        <f t="shared" si="7"/>
        <v>208.94</v>
      </c>
      <c r="D62" s="61">
        <f>SUM(D49:D61)</f>
        <v>208.94</v>
      </c>
      <c r="E62" s="61">
        <f t="shared" si="7"/>
        <v>223.84</v>
      </c>
      <c r="F62" s="61">
        <f t="shared" si="7"/>
        <v>232.44</v>
      </c>
      <c r="G62" s="61">
        <f t="shared" si="7"/>
        <v>298.84000000000003</v>
      </c>
      <c r="H62" s="61">
        <f t="shared" si="7"/>
        <v>318.84000000000003</v>
      </c>
      <c r="I62" s="61">
        <f t="shared" si="7"/>
        <v>411.44000000000005</v>
      </c>
      <c r="J62" s="61">
        <f t="shared" si="7"/>
        <v>422.44000000000005</v>
      </c>
      <c r="K62" s="61">
        <f t="shared" si="7"/>
        <v>428.34000000000003</v>
      </c>
      <c r="L62" s="61">
        <f t="shared" si="7"/>
        <v>428.34000000000003</v>
      </c>
      <c r="M62" s="61">
        <f t="shared" si="7"/>
        <v>428.03999999999996</v>
      </c>
      <c r="N62" s="61">
        <f t="shared" si="7"/>
        <v>430.74</v>
      </c>
      <c r="O62" s="61">
        <f t="shared" si="7"/>
        <v>434.74</v>
      </c>
      <c r="P62" s="61">
        <f t="shared" si="7"/>
        <v>407.14</v>
      </c>
      <c r="Q62" s="61">
        <f t="shared" si="7"/>
        <v>350.14</v>
      </c>
      <c r="R62" s="61">
        <f t="shared" si="7"/>
        <v>347.34</v>
      </c>
      <c r="S62" s="61">
        <f t="shared" si="7"/>
        <v>349.84</v>
      </c>
      <c r="T62" s="61">
        <f t="shared" si="7"/>
        <v>398.24</v>
      </c>
      <c r="U62" s="61">
        <f t="shared" si="7"/>
        <v>398.24</v>
      </c>
      <c r="V62" s="61">
        <f t="shared" si="7"/>
        <v>347.64</v>
      </c>
      <c r="W62" s="61">
        <f t="shared" si="7"/>
        <v>364.84</v>
      </c>
      <c r="X62" s="61">
        <f t="shared" si="7"/>
        <v>373.54</v>
      </c>
      <c r="Y62" s="61">
        <f t="shared" si="7"/>
        <v>418.94000000000005</v>
      </c>
      <c r="Z62" s="61">
        <f t="shared" si="7"/>
        <v>418.94000000000005</v>
      </c>
      <c r="AA62" s="61">
        <f t="shared" si="7"/>
        <v>418.94000000000005</v>
      </c>
      <c r="AB62" s="61">
        <f t="shared" si="7"/>
        <v>419.44000000000005</v>
      </c>
      <c r="AC62" s="61">
        <f t="shared" si="7"/>
        <v>416.04</v>
      </c>
      <c r="AD62" s="61">
        <f t="shared" si="7"/>
        <v>408.34000000000009</v>
      </c>
      <c r="AE62" s="61">
        <f t="shared" si="7"/>
        <v>282.54000000000013</v>
      </c>
      <c r="AF62" s="61">
        <f t="shared" si="7"/>
        <v>211.04</v>
      </c>
      <c r="AG62" s="62">
        <f t="shared" si="7"/>
        <v>489.91</v>
      </c>
      <c r="AH62" s="48">
        <f t="shared" si="2"/>
        <v>434.74</v>
      </c>
      <c r="AI62" s="49">
        <f t="shared" si="3"/>
        <v>208.94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60.2</v>
      </c>
      <c r="N63" s="45">
        <v>0</v>
      </c>
      <c r="O63" s="45">
        <v>0</v>
      </c>
      <c r="P63" s="45">
        <v>0</v>
      </c>
      <c r="Q63" s="45">
        <v>40.5</v>
      </c>
      <c r="R63" s="45">
        <v>30</v>
      </c>
      <c r="S63" s="45">
        <v>29.8</v>
      </c>
      <c r="T63" s="45">
        <v>29.8</v>
      </c>
      <c r="U63" s="45">
        <v>0</v>
      </c>
      <c r="V63" s="45">
        <v>0</v>
      </c>
      <c r="W63" s="45">
        <v>29.2</v>
      </c>
      <c r="X63" s="45">
        <v>59</v>
      </c>
      <c r="Y63" s="45">
        <v>59</v>
      </c>
      <c r="Z63" s="45">
        <v>59</v>
      </c>
      <c r="AA63" s="45">
        <v>59</v>
      </c>
      <c r="AB63" s="45">
        <v>59.4</v>
      </c>
      <c r="AC63" s="45">
        <v>44.7</v>
      </c>
      <c r="AD63" s="45">
        <v>29.5</v>
      </c>
      <c r="AE63" s="45">
        <v>0</v>
      </c>
      <c r="AF63" s="45">
        <v>0</v>
      </c>
      <c r="AG63" s="52">
        <v>60</v>
      </c>
      <c r="AH63" s="48">
        <f t="shared" si="2"/>
        <v>60.2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27.8</v>
      </c>
      <c r="N64" s="65">
        <v>7.8</v>
      </c>
      <c r="O64" s="65">
        <v>0</v>
      </c>
      <c r="P64" s="65">
        <v>0</v>
      </c>
      <c r="Q64" s="65">
        <v>17.100000000000001</v>
      </c>
      <c r="R64" s="65">
        <v>12.9</v>
      </c>
      <c r="S64" s="65">
        <v>14.4</v>
      </c>
      <c r="T64" s="65">
        <v>14.4</v>
      </c>
      <c r="U64" s="65">
        <v>0</v>
      </c>
      <c r="V64" s="65">
        <v>0</v>
      </c>
      <c r="W64" s="65">
        <v>14.2</v>
      </c>
      <c r="X64" s="65">
        <v>27</v>
      </c>
      <c r="Y64" s="65">
        <v>27</v>
      </c>
      <c r="Z64" s="65">
        <v>27</v>
      </c>
      <c r="AA64" s="65">
        <v>27</v>
      </c>
      <c r="AB64" s="65">
        <v>28.1</v>
      </c>
      <c r="AC64" s="65">
        <v>23.1</v>
      </c>
      <c r="AD64" s="65">
        <v>13.3</v>
      </c>
      <c r="AE64" s="65">
        <v>0</v>
      </c>
      <c r="AF64" s="65">
        <v>0</v>
      </c>
      <c r="AG64" s="55">
        <v>32</v>
      </c>
      <c r="AH64" s="48">
        <f t="shared" si="2"/>
        <v>28.1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10.1</v>
      </c>
      <c r="N65" s="67">
        <v>0.8</v>
      </c>
      <c r="O65" s="67">
        <v>0</v>
      </c>
      <c r="P65" s="67">
        <v>0</v>
      </c>
      <c r="Q65" s="67">
        <v>6.2</v>
      </c>
      <c r="R65" s="67">
        <v>4.7</v>
      </c>
      <c r="S65" s="67">
        <v>5.3</v>
      </c>
      <c r="T65" s="67">
        <v>5.3</v>
      </c>
      <c r="U65" s="67">
        <v>0</v>
      </c>
      <c r="V65" s="67">
        <v>0</v>
      </c>
      <c r="W65" s="67">
        <v>5.2</v>
      </c>
      <c r="X65" s="67">
        <v>7.5</v>
      </c>
      <c r="Y65" s="67">
        <v>7.5</v>
      </c>
      <c r="Z65" s="67">
        <v>7.5</v>
      </c>
      <c r="AA65" s="67">
        <v>7.5</v>
      </c>
      <c r="AB65" s="67">
        <v>10.3</v>
      </c>
      <c r="AC65" s="67">
        <v>8.4</v>
      </c>
      <c r="AD65" s="67">
        <v>4.9000000000000004</v>
      </c>
      <c r="AE65" s="67">
        <v>0</v>
      </c>
      <c r="AF65" s="67">
        <v>0</v>
      </c>
      <c r="AG65" s="68">
        <v>14</v>
      </c>
      <c r="AH65" s="48">
        <f t="shared" si="2"/>
        <v>10.3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8">SUM(B63:B65)</f>
        <v>0</v>
      </c>
      <c r="C66" s="61">
        <f t="shared" si="8"/>
        <v>0</v>
      </c>
      <c r="D66" s="61">
        <f t="shared" si="8"/>
        <v>0</v>
      </c>
      <c r="E66" s="61">
        <f t="shared" si="8"/>
        <v>0</v>
      </c>
      <c r="F66" s="61">
        <f t="shared" si="8"/>
        <v>0</v>
      </c>
      <c r="G66" s="61">
        <f t="shared" si="8"/>
        <v>0</v>
      </c>
      <c r="H66" s="61">
        <f t="shared" si="8"/>
        <v>0</v>
      </c>
      <c r="I66" s="61">
        <f t="shared" si="8"/>
        <v>0</v>
      </c>
      <c r="J66" s="61">
        <f t="shared" si="8"/>
        <v>0</v>
      </c>
      <c r="K66" s="61">
        <f t="shared" si="8"/>
        <v>0</v>
      </c>
      <c r="L66" s="61">
        <f t="shared" si="8"/>
        <v>0</v>
      </c>
      <c r="M66" s="61">
        <f t="shared" si="8"/>
        <v>98.1</v>
      </c>
      <c r="N66" s="61">
        <f t="shared" si="8"/>
        <v>8.6</v>
      </c>
      <c r="O66" s="61">
        <v>44.9</v>
      </c>
      <c r="P66" s="61">
        <f t="shared" si="8"/>
        <v>0</v>
      </c>
      <c r="Q66" s="61">
        <f t="shared" si="8"/>
        <v>63.800000000000004</v>
      </c>
      <c r="R66" s="61">
        <f t="shared" si="8"/>
        <v>47.6</v>
      </c>
      <c r="S66" s="61">
        <f t="shared" si="8"/>
        <v>49.5</v>
      </c>
      <c r="T66" s="61">
        <f t="shared" si="8"/>
        <v>49.5</v>
      </c>
      <c r="U66" s="61">
        <f t="shared" si="8"/>
        <v>0</v>
      </c>
      <c r="V66" s="61">
        <f t="shared" si="8"/>
        <v>0</v>
      </c>
      <c r="W66" s="61">
        <f t="shared" si="8"/>
        <v>48.6</v>
      </c>
      <c r="X66" s="61">
        <f t="shared" si="8"/>
        <v>93.5</v>
      </c>
      <c r="Y66" s="61">
        <f t="shared" si="8"/>
        <v>93.5</v>
      </c>
      <c r="Z66" s="61">
        <f t="shared" si="8"/>
        <v>93.5</v>
      </c>
      <c r="AA66" s="61">
        <f t="shared" si="8"/>
        <v>93.5</v>
      </c>
      <c r="AB66" s="61">
        <f t="shared" si="8"/>
        <v>97.8</v>
      </c>
      <c r="AC66" s="61">
        <f t="shared" si="8"/>
        <v>76.200000000000017</v>
      </c>
      <c r="AD66" s="61">
        <f t="shared" si="8"/>
        <v>47.699999999999996</v>
      </c>
      <c r="AE66" s="61">
        <f t="shared" si="8"/>
        <v>0</v>
      </c>
      <c r="AF66" s="61">
        <f t="shared" si="8"/>
        <v>0</v>
      </c>
      <c r="AG66" s="62">
        <f t="shared" si="8"/>
        <v>106</v>
      </c>
      <c r="AH66" s="48">
        <f t="shared" si="2"/>
        <v>98.1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17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16</v>
      </c>
      <c r="K67" s="45">
        <v>15</v>
      </c>
      <c r="L67" s="45">
        <v>35</v>
      </c>
      <c r="M67" s="45">
        <v>48</v>
      </c>
      <c r="N67" s="45">
        <v>44</v>
      </c>
      <c r="O67" s="45">
        <v>44.9</v>
      </c>
      <c r="P67" s="45">
        <v>43.7</v>
      </c>
      <c r="Q67" s="45">
        <v>64.599999999999994</v>
      </c>
      <c r="R67" s="45">
        <v>58</v>
      </c>
      <c r="S67" s="45">
        <v>59.5</v>
      </c>
      <c r="T67" s="45">
        <v>47</v>
      </c>
      <c r="U67" s="45">
        <v>50</v>
      </c>
      <c r="V67" s="45">
        <v>50.1</v>
      </c>
      <c r="W67" s="45">
        <v>52.8</v>
      </c>
      <c r="X67" s="45">
        <v>54.6</v>
      </c>
      <c r="Y67" s="45">
        <v>49.1</v>
      </c>
      <c r="Z67" s="45">
        <v>45.2</v>
      </c>
      <c r="AA67" s="45">
        <v>39</v>
      </c>
      <c r="AB67" s="45">
        <v>35.299999999999997</v>
      </c>
      <c r="AC67" s="45">
        <v>30</v>
      </c>
      <c r="AD67" s="45">
        <v>15.1</v>
      </c>
      <c r="AE67" s="45">
        <v>14.5</v>
      </c>
      <c r="AF67" s="45">
        <v>138</v>
      </c>
      <c r="AG67" s="52"/>
      <c r="AH67" s="48">
        <f t="shared" si="2"/>
        <v>138</v>
      </c>
      <c r="AI67" s="49">
        <f t="shared" si="3"/>
        <v>0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/>
      <c r="T68" s="65"/>
      <c r="U68" s="65"/>
      <c r="V68" s="65"/>
      <c r="W68" s="65"/>
      <c r="X68" s="65"/>
      <c r="Y68" s="65"/>
      <c r="Z68" s="65"/>
      <c r="AA68" s="65"/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0</v>
      </c>
      <c r="C69" s="65">
        <v>35</v>
      </c>
      <c r="D69" s="65">
        <v>40</v>
      </c>
      <c r="E69" s="65">
        <v>35</v>
      </c>
      <c r="F69" s="65">
        <v>40</v>
      </c>
      <c r="G69" s="65">
        <v>40</v>
      </c>
      <c r="H69" s="65">
        <v>42</v>
      </c>
      <c r="I69" s="65">
        <v>0</v>
      </c>
      <c r="J69" s="65">
        <v>-6</v>
      </c>
      <c r="K69" s="65">
        <v>-99</v>
      </c>
      <c r="L69" s="65">
        <v>-126</v>
      </c>
      <c r="M69" s="65">
        <v>-182</v>
      </c>
      <c r="N69" s="65">
        <v>-181</v>
      </c>
      <c r="O69" s="65">
        <v>-180</v>
      </c>
      <c r="P69" s="65">
        <v>2.9</v>
      </c>
      <c r="Q69" s="65">
        <v>0</v>
      </c>
      <c r="R69" s="65">
        <v>0.4</v>
      </c>
      <c r="S69" s="65">
        <v>-5.4</v>
      </c>
      <c r="T69" s="65">
        <v>-97</v>
      </c>
      <c r="U69" s="65">
        <v>22</v>
      </c>
      <c r="V69" s="65">
        <v>44.6</v>
      </c>
      <c r="W69" s="65">
        <v>125</v>
      </c>
      <c r="X69" s="65">
        <v>-159</v>
      </c>
      <c r="Y69" s="65">
        <v>-127</v>
      </c>
      <c r="Z69" s="65">
        <v>-132</v>
      </c>
      <c r="AA69" s="65">
        <v>-112</v>
      </c>
      <c r="AB69" s="65">
        <v>-149</v>
      </c>
      <c r="AC69" s="65">
        <v>-149.19999999999999</v>
      </c>
      <c r="AD69" s="65">
        <v>-151.19999999999999</v>
      </c>
      <c r="AE69" s="65">
        <v>-2</v>
      </c>
      <c r="AF69" s="65">
        <v>58.2</v>
      </c>
      <c r="AG69" s="75"/>
      <c r="AH69" s="48">
        <f t="shared" si="2"/>
        <v>125</v>
      </c>
      <c r="AI69" s="49">
        <f t="shared" si="3"/>
        <v>-182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/>
      <c r="T70" s="76"/>
      <c r="U70" s="76"/>
      <c r="V70" s="76"/>
      <c r="W70" s="76"/>
      <c r="X70" s="76"/>
      <c r="Y70" s="76"/>
      <c r="Z70" s="76"/>
      <c r="AA70" s="76"/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/>
      <c r="T71" s="45"/>
      <c r="U71" s="45"/>
      <c r="V71" s="45"/>
      <c r="W71" s="45"/>
      <c r="X71" s="45"/>
      <c r="Y71" s="45"/>
      <c r="Z71" s="45"/>
      <c r="AA71" s="45"/>
      <c r="AB71" s="45">
        <v>0</v>
      </c>
      <c r="AC71" s="45">
        <v>0</v>
      </c>
      <c r="AD71" s="76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45">
        <v>0</v>
      </c>
      <c r="C72" s="45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/>
      <c r="T72" s="77"/>
      <c r="U72" s="77"/>
      <c r="V72" s="77"/>
      <c r="W72" s="77"/>
      <c r="X72" s="77"/>
      <c r="Y72" s="77"/>
      <c r="Z72" s="77"/>
      <c r="AA72" s="77"/>
      <c r="AB72" s="77">
        <v>0</v>
      </c>
      <c r="AC72" s="77">
        <v>0</v>
      </c>
      <c r="AD72" s="76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45">
        <v>0</v>
      </c>
      <c r="C73" s="45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/>
      <c r="T73" s="77"/>
      <c r="U73" s="77"/>
      <c r="V73" s="77"/>
      <c r="W73" s="77"/>
      <c r="X73" s="77"/>
      <c r="Y73" s="77"/>
      <c r="Z73" s="77"/>
      <c r="AA73" s="77"/>
      <c r="AB73" s="77">
        <v>0</v>
      </c>
      <c r="AC73" s="77">
        <v>0</v>
      </c>
      <c r="AD73" s="76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45">
        <v>0</v>
      </c>
      <c r="C74" s="45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/>
      <c r="T74" s="76"/>
      <c r="U74" s="76"/>
      <c r="V74" s="76"/>
      <c r="W74" s="76"/>
      <c r="X74" s="76"/>
      <c r="Y74" s="76"/>
      <c r="Z74" s="76"/>
      <c r="AA74" s="76"/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45">
        <v>0</v>
      </c>
      <c r="C75" s="45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/>
      <c r="T75" s="76"/>
      <c r="U75" s="76"/>
      <c r="V75" s="76"/>
      <c r="W75" s="76"/>
      <c r="X75" s="76"/>
      <c r="Y75" s="76"/>
      <c r="Z75" s="76"/>
      <c r="AA75" s="76"/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45">
        <v>0</v>
      </c>
      <c r="C76" s="45">
        <v>0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/>
      <c r="T76" s="79"/>
      <c r="U76" s="79"/>
      <c r="V76" s="79"/>
      <c r="W76" s="79"/>
      <c r="X76" s="79"/>
      <c r="Y76" s="79"/>
      <c r="Z76" s="79"/>
      <c r="AA76" s="79"/>
      <c r="AB76" s="79">
        <v>0</v>
      </c>
      <c r="AC76" s="79">
        <v>0</v>
      </c>
      <c r="AD76" s="76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45">
        <v>0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/>
      <c r="T77" s="79"/>
      <c r="U77" s="79"/>
      <c r="V77" s="79"/>
      <c r="W77" s="79"/>
      <c r="X77" s="79"/>
      <c r="Y77" s="79"/>
      <c r="Z77" s="79"/>
      <c r="AA77" s="79"/>
      <c r="AB77" s="79">
        <v>0</v>
      </c>
      <c r="AC77" s="79">
        <v>0</v>
      </c>
      <c r="AD77" s="76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9">SUMIF(B67:B77,"&gt;0")</f>
        <v>17</v>
      </c>
      <c r="C78" s="61">
        <f t="shared" si="9"/>
        <v>35</v>
      </c>
      <c r="D78" s="61">
        <f t="shared" si="9"/>
        <v>40</v>
      </c>
      <c r="E78" s="61">
        <f t="shared" si="9"/>
        <v>35</v>
      </c>
      <c r="F78" s="61">
        <f t="shared" si="9"/>
        <v>40</v>
      </c>
      <c r="G78" s="61">
        <f t="shared" si="9"/>
        <v>40</v>
      </c>
      <c r="H78" s="61">
        <f t="shared" si="9"/>
        <v>42</v>
      </c>
      <c r="I78" s="61">
        <f t="shared" si="9"/>
        <v>0</v>
      </c>
      <c r="J78" s="61">
        <f t="shared" si="9"/>
        <v>16</v>
      </c>
      <c r="K78" s="61">
        <f t="shared" si="9"/>
        <v>15</v>
      </c>
      <c r="L78" s="61">
        <f t="shared" si="9"/>
        <v>35</v>
      </c>
      <c r="M78" s="61">
        <f t="shared" si="9"/>
        <v>48</v>
      </c>
      <c r="N78" s="61">
        <f t="shared" si="9"/>
        <v>44</v>
      </c>
      <c r="O78" s="61">
        <f t="shared" si="9"/>
        <v>44.9</v>
      </c>
      <c r="P78" s="61">
        <f t="shared" si="9"/>
        <v>46.6</v>
      </c>
      <c r="Q78" s="61">
        <f t="shared" si="9"/>
        <v>64.599999999999994</v>
      </c>
      <c r="R78" s="61">
        <f t="shared" si="9"/>
        <v>58.4</v>
      </c>
      <c r="S78" s="61">
        <f t="shared" si="9"/>
        <v>59.5</v>
      </c>
      <c r="T78" s="61">
        <f t="shared" si="9"/>
        <v>47</v>
      </c>
      <c r="U78" s="61">
        <f t="shared" si="9"/>
        <v>72</v>
      </c>
      <c r="V78" s="61">
        <f t="shared" si="9"/>
        <v>94.7</v>
      </c>
      <c r="W78" s="61">
        <f t="shared" si="9"/>
        <v>177.8</v>
      </c>
      <c r="X78" s="61">
        <f t="shared" si="9"/>
        <v>54.6</v>
      </c>
      <c r="Y78" s="61">
        <f t="shared" si="9"/>
        <v>49.1</v>
      </c>
      <c r="Z78" s="61">
        <f t="shared" si="9"/>
        <v>45.2</v>
      </c>
      <c r="AA78" s="61">
        <f t="shared" si="9"/>
        <v>39</v>
      </c>
      <c r="AB78" s="61">
        <f t="shared" si="9"/>
        <v>35.299999999999997</v>
      </c>
      <c r="AC78" s="61">
        <f t="shared" si="9"/>
        <v>30</v>
      </c>
      <c r="AD78" s="61">
        <f t="shared" si="9"/>
        <v>15.1</v>
      </c>
      <c r="AE78" s="61">
        <f t="shared" si="9"/>
        <v>14.5</v>
      </c>
      <c r="AF78" s="61">
        <f t="shared" si="9"/>
        <v>196.2</v>
      </c>
      <c r="AG78" s="81">
        <f>SUM(AG67:AG77)</f>
        <v>0</v>
      </c>
      <c r="AH78" s="48">
        <f t="shared" si="2"/>
        <v>196.2</v>
      </c>
      <c r="AI78" s="49">
        <f t="shared" si="3"/>
        <v>0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8">
        <f t="shared" ref="AH80:AH113" si="10">MAX(B80:AF80)</f>
        <v>0</v>
      </c>
      <c r="AI80" s="49">
        <f t="shared" ref="AI80:AI113" si="11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>
        <v>0</v>
      </c>
      <c r="AC81" s="79">
        <v>0</v>
      </c>
      <c r="AD81" s="79">
        <v>0</v>
      </c>
      <c r="AE81" s="79">
        <v>0</v>
      </c>
      <c r="AF81" s="79">
        <v>0</v>
      </c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87</v>
      </c>
      <c r="B83" s="83">
        <f t="shared" ref="B83:AG83" si="12">B44+B48+B66+B62+B78+B82</f>
        <v>930.24</v>
      </c>
      <c r="C83" s="83">
        <f t="shared" si="12"/>
        <v>883.54</v>
      </c>
      <c r="D83" s="83">
        <f t="shared" si="12"/>
        <v>871.54</v>
      </c>
      <c r="E83" s="83">
        <f t="shared" si="12"/>
        <v>881.34</v>
      </c>
      <c r="F83" s="83">
        <f t="shared" si="12"/>
        <v>884.24</v>
      </c>
      <c r="G83" s="83">
        <f t="shared" si="12"/>
        <v>960.6400000000001</v>
      </c>
      <c r="H83" s="83">
        <f t="shared" si="12"/>
        <v>1018.64</v>
      </c>
      <c r="I83" s="83">
        <f t="shared" si="12"/>
        <v>1129.24</v>
      </c>
      <c r="J83" s="83">
        <f t="shared" si="12"/>
        <v>1191.24</v>
      </c>
      <c r="K83" s="83">
        <f t="shared" si="12"/>
        <v>1411.1399999999999</v>
      </c>
      <c r="L83" s="83">
        <f t="shared" si="12"/>
        <v>1471.1399999999999</v>
      </c>
      <c r="M83" s="83">
        <f t="shared" si="12"/>
        <v>1508.5399999999997</v>
      </c>
      <c r="N83" s="83">
        <f t="shared" si="12"/>
        <v>1528.34</v>
      </c>
      <c r="O83" s="83">
        <f t="shared" si="12"/>
        <v>1553.8400000000001</v>
      </c>
      <c r="P83" s="83">
        <f t="shared" si="12"/>
        <v>1278.04</v>
      </c>
      <c r="Q83" s="83">
        <f t="shared" si="12"/>
        <v>1220.54</v>
      </c>
      <c r="R83" s="83">
        <f t="shared" si="12"/>
        <v>1185.3400000000001</v>
      </c>
      <c r="S83" s="83">
        <f t="shared" si="12"/>
        <v>1186.9399999999998</v>
      </c>
      <c r="T83" s="83">
        <f t="shared" si="12"/>
        <v>1325.84</v>
      </c>
      <c r="U83" s="83">
        <f t="shared" si="12"/>
        <v>1478.94</v>
      </c>
      <c r="V83" s="83">
        <f t="shared" si="12"/>
        <v>1289.0400000000002</v>
      </c>
      <c r="W83" s="83">
        <f t="shared" si="12"/>
        <v>1713.9399999999998</v>
      </c>
      <c r="X83" s="83">
        <f t="shared" si="12"/>
        <v>1651.84</v>
      </c>
      <c r="Y83" s="83">
        <f t="shared" si="12"/>
        <v>1585.74</v>
      </c>
      <c r="Z83" s="83">
        <f t="shared" si="12"/>
        <v>1501.8400000000001</v>
      </c>
      <c r="AA83" s="83">
        <f t="shared" si="12"/>
        <v>1453.64</v>
      </c>
      <c r="AB83" s="83">
        <f t="shared" si="12"/>
        <v>1413.14</v>
      </c>
      <c r="AC83" s="83">
        <f t="shared" si="12"/>
        <v>1362.8400000000001</v>
      </c>
      <c r="AD83" s="83">
        <f t="shared" si="12"/>
        <v>1277.1400000000001</v>
      </c>
      <c r="AE83" s="83">
        <f t="shared" si="12"/>
        <v>988.04000000000019</v>
      </c>
      <c r="AF83" s="83">
        <f t="shared" si="12"/>
        <v>1097.44</v>
      </c>
      <c r="AG83" s="62">
        <f t="shared" si="12"/>
        <v>2004.1900000000003</v>
      </c>
      <c r="AH83" s="48">
        <f t="shared" si="10"/>
        <v>1713.9399999999998</v>
      </c>
      <c r="AI83" s="49">
        <f t="shared" si="11"/>
        <v>871.54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0"/>
        <v>0</v>
      </c>
      <c r="AI84" s="49">
        <f t="shared" si="11"/>
        <v>0</v>
      </c>
    </row>
    <row r="85" spans="1:37" ht="15.75" thickBot="1" x14ac:dyDescent="0.3">
      <c r="A85" s="74" t="s">
        <v>89</v>
      </c>
      <c r="B85" s="83">
        <f t="shared" ref="B85:AF85" si="13">B83+B84</f>
        <v>930.24</v>
      </c>
      <c r="C85" s="83">
        <f t="shared" si="13"/>
        <v>883.54</v>
      </c>
      <c r="D85" s="83">
        <f t="shared" si="13"/>
        <v>871.54</v>
      </c>
      <c r="E85" s="83">
        <f t="shared" si="13"/>
        <v>881.34</v>
      </c>
      <c r="F85" s="83">
        <f t="shared" si="13"/>
        <v>884.24</v>
      </c>
      <c r="G85" s="83">
        <f t="shared" si="13"/>
        <v>960.6400000000001</v>
      </c>
      <c r="H85" s="83">
        <f t="shared" si="13"/>
        <v>1018.64</v>
      </c>
      <c r="I85" s="83">
        <f t="shared" si="13"/>
        <v>1129.24</v>
      </c>
      <c r="J85" s="83">
        <f t="shared" si="13"/>
        <v>1191.24</v>
      </c>
      <c r="K85" s="83">
        <f t="shared" si="13"/>
        <v>1411.1399999999999</v>
      </c>
      <c r="L85" s="83">
        <f t="shared" si="13"/>
        <v>1471.1399999999999</v>
      </c>
      <c r="M85" s="83">
        <f t="shared" si="13"/>
        <v>1508.5399999999997</v>
      </c>
      <c r="N85" s="83">
        <f t="shared" si="13"/>
        <v>1528.34</v>
      </c>
      <c r="O85" s="83">
        <f t="shared" si="13"/>
        <v>1553.8400000000001</v>
      </c>
      <c r="P85" s="83">
        <f t="shared" si="13"/>
        <v>1278.04</v>
      </c>
      <c r="Q85" s="83">
        <f t="shared" si="13"/>
        <v>1220.54</v>
      </c>
      <c r="R85" s="83">
        <f t="shared" si="13"/>
        <v>1185.3400000000001</v>
      </c>
      <c r="S85" s="83">
        <f t="shared" si="13"/>
        <v>1186.9399999999998</v>
      </c>
      <c r="T85" s="83">
        <f t="shared" si="13"/>
        <v>1325.84</v>
      </c>
      <c r="U85" s="83">
        <f t="shared" si="13"/>
        <v>1478.94</v>
      </c>
      <c r="V85" s="83">
        <f t="shared" si="13"/>
        <v>1289.0400000000002</v>
      </c>
      <c r="W85" s="83">
        <f t="shared" si="13"/>
        <v>1713.9399999999998</v>
      </c>
      <c r="X85" s="83">
        <f t="shared" si="13"/>
        <v>1651.84</v>
      </c>
      <c r="Y85" s="83">
        <f t="shared" si="13"/>
        <v>1585.74</v>
      </c>
      <c r="Z85" s="83">
        <f t="shared" si="13"/>
        <v>1501.8400000000001</v>
      </c>
      <c r="AA85" s="83">
        <f t="shared" si="13"/>
        <v>1453.64</v>
      </c>
      <c r="AB85" s="83">
        <f t="shared" si="13"/>
        <v>1413.14</v>
      </c>
      <c r="AC85" s="83">
        <f t="shared" si="13"/>
        <v>1362.8400000000001</v>
      </c>
      <c r="AD85" s="83">
        <f t="shared" si="13"/>
        <v>1277.1400000000001</v>
      </c>
      <c r="AE85" s="83">
        <f t="shared" si="13"/>
        <v>988.04000000000019</v>
      </c>
      <c r="AF85" s="83">
        <f t="shared" si="13"/>
        <v>1097.44</v>
      </c>
      <c r="AG85" s="81">
        <f>AG82+AG78+AG66+AG62+AG44+AG84</f>
        <v>1466.0900000000001</v>
      </c>
      <c r="AH85" s="48">
        <f t="shared" si="10"/>
        <v>1713.9399999999998</v>
      </c>
      <c r="AI85" s="49">
        <f t="shared" si="11"/>
        <v>871.54</v>
      </c>
    </row>
    <row r="86" spans="1:37" ht="15.75" thickBot="1" x14ac:dyDescent="0.3">
      <c r="A86" s="74" t="s">
        <v>90</v>
      </c>
      <c r="B86" s="83">
        <f t="shared" ref="B86:AF86" si="14">B85-B93</f>
        <v>930.24</v>
      </c>
      <c r="C86" s="83">
        <f t="shared" si="14"/>
        <v>883.54</v>
      </c>
      <c r="D86" s="83">
        <f t="shared" si="14"/>
        <v>871.54</v>
      </c>
      <c r="E86" s="83">
        <f t="shared" si="14"/>
        <v>881.34</v>
      </c>
      <c r="F86" s="83">
        <f t="shared" si="14"/>
        <v>884.24</v>
      </c>
      <c r="G86" s="83">
        <f t="shared" si="14"/>
        <v>960.6400000000001</v>
      </c>
      <c r="H86" s="83">
        <f t="shared" si="14"/>
        <v>1018.64</v>
      </c>
      <c r="I86" s="83">
        <f t="shared" si="14"/>
        <v>1129.24</v>
      </c>
      <c r="J86" s="83">
        <f t="shared" si="14"/>
        <v>1185.24</v>
      </c>
      <c r="K86" s="83">
        <f t="shared" si="14"/>
        <v>1312.1399999999999</v>
      </c>
      <c r="L86" s="83">
        <f t="shared" si="14"/>
        <v>1345.1399999999999</v>
      </c>
      <c r="M86" s="83">
        <f t="shared" si="14"/>
        <v>1326.5399999999997</v>
      </c>
      <c r="N86" s="83">
        <f t="shared" si="14"/>
        <v>1347.34</v>
      </c>
      <c r="O86" s="83">
        <f t="shared" si="14"/>
        <v>1373.8400000000001</v>
      </c>
      <c r="P86" s="83">
        <f t="shared" si="14"/>
        <v>1278.04</v>
      </c>
      <c r="Q86" s="83">
        <f t="shared" si="14"/>
        <v>1220.54</v>
      </c>
      <c r="R86" s="83">
        <f t="shared" si="14"/>
        <v>1185.3400000000001</v>
      </c>
      <c r="S86" s="83">
        <f t="shared" si="14"/>
        <v>1181.5399999999997</v>
      </c>
      <c r="T86" s="83">
        <f t="shared" si="14"/>
        <v>1228.8399999999999</v>
      </c>
      <c r="U86" s="83">
        <f t="shared" si="14"/>
        <v>1478.94</v>
      </c>
      <c r="V86" s="83">
        <f t="shared" si="14"/>
        <v>1289.0400000000002</v>
      </c>
      <c r="W86" s="83">
        <f t="shared" si="14"/>
        <v>1713.9399999999998</v>
      </c>
      <c r="X86" s="83">
        <f t="shared" si="14"/>
        <v>1492.84</v>
      </c>
      <c r="Y86" s="83">
        <f t="shared" si="14"/>
        <v>1458.74</v>
      </c>
      <c r="Z86" s="83">
        <f t="shared" si="14"/>
        <v>1369.8400000000001</v>
      </c>
      <c r="AA86" s="83">
        <f t="shared" si="14"/>
        <v>1341.64</v>
      </c>
      <c r="AB86" s="83">
        <f t="shared" si="14"/>
        <v>1264.1400000000001</v>
      </c>
      <c r="AC86" s="83">
        <f t="shared" si="14"/>
        <v>1213.6400000000001</v>
      </c>
      <c r="AD86" s="83">
        <f t="shared" si="14"/>
        <v>1125.94</v>
      </c>
      <c r="AE86" s="83">
        <f t="shared" si="14"/>
        <v>986.04000000000019</v>
      </c>
      <c r="AF86" s="83">
        <f t="shared" si="14"/>
        <v>1097.44</v>
      </c>
      <c r="AG86" s="81"/>
      <c r="AH86" s="48">
        <f t="shared" si="10"/>
        <v>1713.9399999999998</v>
      </c>
      <c r="AI86" s="49">
        <f t="shared" si="11"/>
        <v>871.54</v>
      </c>
    </row>
    <row r="87" spans="1:37" x14ac:dyDescent="0.25">
      <c r="A87" s="44" t="s">
        <v>74</v>
      </c>
      <c r="B87" s="76">
        <f t="shared" ref="B87:AF87" si="15">IF(B70&lt;0,B70*-1,0)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f t="shared" si="15"/>
        <v>0</v>
      </c>
      <c r="Y87" s="76">
        <f t="shared" si="15"/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72</v>
      </c>
      <c r="B88" s="76">
        <f t="shared" ref="B88:AF88" si="16">IF(B68&lt;0,B68*-1,0)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f t="shared" si="16"/>
        <v>0</v>
      </c>
      <c r="Y88" s="76">
        <f t="shared" si="16"/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91</v>
      </c>
      <c r="B89" s="76">
        <f t="shared" ref="B89:AF89" si="17">IF(B71&lt;0,B71*-1,0)</f>
        <v>0</v>
      </c>
      <c r="C89" s="76">
        <f t="shared" si="17"/>
        <v>0</v>
      </c>
      <c r="D89" s="76">
        <f t="shared" si="17"/>
        <v>0</v>
      </c>
      <c r="E89" s="76">
        <f t="shared" si="17"/>
        <v>0</v>
      </c>
      <c r="F89" s="76">
        <f t="shared" si="17"/>
        <v>0</v>
      </c>
      <c r="G89" s="76">
        <f t="shared" si="17"/>
        <v>0</v>
      </c>
      <c r="H89" s="76">
        <f t="shared" si="17"/>
        <v>0</v>
      </c>
      <c r="I89" s="76">
        <f t="shared" si="17"/>
        <v>0</v>
      </c>
      <c r="J89" s="76">
        <f t="shared" si="17"/>
        <v>0</v>
      </c>
      <c r="K89" s="76">
        <f t="shared" si="17"/>
        <v>0</v>
      </c>
      <c r="L89" s="76">
        <f t="shared" si="17"/>
        <v>0</v>
      </c>
      <c r="M89" s="76">
        <f t="shared" si="17"/>
        <v>0</v>
      </c>
      <c r="N89" s="76">
        <f t="shared" si="17"/>
        <v>0</v>
      </c>
      <c r="O89" s="76">
        <f t="shared" si="17"/>
        <v>0</v>
      </c>
      <c r="P89" s="76">
        <f t="shared" si="17"/>
        <v>0</v>
      </c>
      <c r="Q89" s="76">
        <f t="shared" si="17"/>
        <v>0</v>
      </c>
      <c r="R89" s="76">
        <f t="shared" si="17"/>
        <v>0</v>
      </c>
      <c r="S89" s="76">
        <f t="shared" si="17"/>
        <v>0</v>
      </c>
      <c r="T89" s="76">
        <f t="shared" si="17"/>
        <v>0</v>
      </c>
      <c r="U89" s="76">
        <f t="shared" si="17"/>
        <v>0</v>
      </c>
      <c r="V89" s="76">
        <f t="shared" si="17"/>
        <v>0</v>
      </c>
      <c r="W89" s="76">
        <f t="shared" si="17"/>
        <v>0</v>
      </c>
      <c r="X89" s="76">
        <f t="shared" si="17"/>
        <v>0</v>
      </c>
      <c r="Y89" s="76">
        <f t="shared" si="17"/>
        <v>0</v>
      </c>
      <c r="Z89" s="76">
        <f t="shared" si="17"/>
        <v>0</v>
      </c>
      <c r="AA89" s="76">
        <f t="shared" si="17"/>
        <v>0</v>
      </c>
      <c r="AB89" s="76">
        <f t="shared" si="17"/>
        <v>0</v>
      </c>
      <c r="AC89" s="76">
        <f t="shared" si="17"/>
        <v>0</v>
      </c>
      <c r="AD89" s="76">
        <f t="shared" si="17"/>
        <v>0</v>
      </c>
      <c r="AE89" s="76">
        <f t="shared" si="17"/>
        <v>0</v>
      </c>
      <c r="AF89" s="76">
        <f t="shared" si="17"/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92</v>
      </c>
      <c r="B90" s="76">
        <f t="shared" ref="B90:AF90" si="18">IF(B69&lt;0,B69*-1,0)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6</v>
      </c>
      <c r="K90" s="76">
        <f t="shared" si="18"/>
        <v>99</v>
      </c>
      <c r="L90" s="76">
        <f t="shared" si="18"/>
        <v>126</v>
      </c>
      <c r="M90" s="76">
        <f t="shared" si="18"/>
        <v>182</v>
      </c>
      <c r="N90" s="76">
        <f t="shared" si="18"/>
        <v>181</v>
      </c>
      <c r="O90" s="76">
        <f t="shared" si="18"/>
        <v>180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5.4</v>
      </c>
      <c r="T90" s="76">
        <f t="shared" si="18"/>
        <v>97</v>
      </c>
      <c r="U90" s="76">
        <f t="shared" si="18"/>
        <v>0</v>
      </c>
      <c r="V90" s="76">
        <f t="shared" si="18"/>
        <v>0</v>
      </c>
      <c r="W90" s="76">
        <f t="shared" si="18"/>
        <v>0</v>
      </c>
      <c r="X90" s="76">
        <f t="shared" si="18"/>
        <v>159</v>
      </c>
      <c r="Y90" s="76">
        <f t="shared" si="18"/>
        <v>127</v>
      </c>
      <c r="Z90" s="76">
        <f t="shared" si="18"/>
        <v>132</v>
      </c>
      <c r="AA90" s="76">
        <f t="shared" si="18"/>
        <v>112</v>
      </c>
      <c r="AB90" s="76">
        <f t="shared" si="18"/>
        <v>149</v>
      </c>
      <c r="AC90" s="76">
        <f t="shared" si="18"/>
        <v>149.19999999999999</v>
      </c>
      <c r="AD90" s="76">
        <f t="shared" si="18"/>
        <v>151.19999999999999</v>
      </c>
      <c r="AE90" s="76">
        <f t="shared" si="18"/>
        <v>2</v>
      </c>
      <c r="AF90" s="76">
        <f t="shared" si="18"/>
        <v>0</v>
      </c>
      <c r="AG90" s="86"/>
      <c r="AH90" s="48">
        <f t="shared" si="10"/>
        <v>182</v>
      </c>
      <c r="AI90" s="49">
        <f t="shared" si="11"/>
        <v>0</v>
      </c>
    </row>
    <row r="91" spans="1:37" x14ac:dyDescent="0.25">
      <c r="A91" s="78" t="s">
        <v>71</v>
      </c>
      <c r="B91" s="76">
        <f t="shared" ref="B91:AF91" si="19">IF(B67&lt;0,B67*-1,0)</f>
        <v>0</v>
      </c>
      <c r="C91" s="76">
        <f t="shared" si="19"/>
        <v>0</v>
      </c>
      <c r="D91" s="76">
        <f t="shared" si="19"/>
        <v>0</v>
      </c>
      <c r="E91" s="76">
        <f t="shared" si="19"/>
        <v>0</v>
      </c>
      <c r="F91" s="76">
        <f t="shared" si="19"/>
        <v>0</v>
      </c>
      <c r="G91" s="76">
        <f t="shared" si="19"/>
        <v>0</v>
      </c>
      <c r="H91" s="76">
        <f t="shared" si="19"/>
        <v>0</v>
      </c>
      <c r="I91" s="76">
        <f t="shared" si="19"/>
        <v>0</v>
      </c>
      <c r="J91" s="76">
        <f t="shared" si="19"/>
        <v>0</v>
      </c>
      <c r="K91" s="76">
        <f t="shared" si="19"/>
        <v>0</v>
      </c>
      <c r="L91" s="76">
        <f t="shared" si="19"/>
        <v>0</v>
      </c>
      <c r="M91" s="76">
        <f t="shared" si="19"/>
        <v>0</v>
      </c>
      <c r="N91" s="76">
        <f t="shared" si="19"/>
        <v>0</v>
      </c>
      <c r="O91" s="76">
        <f t="shared" si="19"/>
        <v>0</v>
      </c>
      <c r="P91" s="76">
        <f t="shared" si="19"/>
        <v>0</v>
      </c>
      <c r="Q91" s="76">
        <f t="shared" si="19"/>
        <v>0</v>
      </c>
      <c r="R91" s="76">
        <f t="shared" si="19"/>
        <v>0</v>
      </c>
      <c r="S91" s="76">
        <f t="shared" si="19"/>
        <v>0</v>
      </c>
      <c r="T91" s="76">
        <f t="shared" si="19"/>
        <v>0</v>
      </c>
      <c r="U91" s="76">
        <f t="shared" si="19"/>
        <v>0</v>
      </c>
      <c r="V91" s="76">
        <f t="shared" si="19"/>
        <v>0</v>
      </c>
      <c r="W91" s="76">
        <f t="shared" si="19"/>
        <v>0</v>
      </c>
      <c r="X91" s="76">
        <f t="shared" si="19"/>
        <v>0</v>
      </c>
      <c r="Y91" s="76">
        <f t="shared" si="19"/>
        <v>0</v>
      </c>
      <c r="Z91" s="76">
        <f t="shared" si="19"/>
        <v>0</v>
      </c>
      <c r="AA91" s="76">
        <f t="shared" si="19"/>
        <v>0</v>
      </c>
      <c r="AB91" s="76">
        <f t="shared" si="19"/>
        <v>0</v>
      </c>
      <c r="AC91" s="76">
        <f t="shared" si="19"/>
        <v>0</v>
      </c>
      <c r="AD91" s="76">
        <f t="shared" si="19"/>
        <v>0</v>
      </c>
      <c r="AE91" s="76">
        <f t="shared" si="19"/>
        <v>0</v>
      </c>
      <c r="AF91" s="76">
        <f t="shared" si="19"/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94</v>
      </c>
      <c r="B93" s="61">
        <f t="shared" ref="B93:AF93" si="20">SUM(B87:B92)</f>
        <v>0</v>
      </c>
      <c r="C93" s="61">
        <f t="shared" si="20"/>
        <v>0</v>
      </c>
      <c r="D93" s="61">
        <f t="shared" si="20"/>
        <v>0</v>
      </c>
      <c r="E93" s="61">
        <f t="shared" si="20"/>
        <v>0</v>
      </c>
      <c r="F93" s="61">
        <f t="shared" si="20"/>
        <v>0</v>
      </c>
      <c r="G93" s="61">
        <f t="shared" si="20"/>
        <v>0</v>
      </c>
      <c r="H93" s="61">
        <f t="shared" si="20"/>
        <v>0</v>
      </c>
      <c r="I93" s="61">
        <f t="shared" si="20"/>
        <v>0</v>
      </c>
      <c r="J93" s="61">
        <f t="shared" si="20"/>
        <v>6</v>
      </c>
      <c r="K93" s="61">
        <f t="shared" si="20"/>
        <v>99</v>
      </c>
      <c r="L93" s="61">
        <f t="shared" si="20"/>
        <v>126</v>
      </c>
      <c r="M93" s="61">
        <f t="shared" si="20"/>
        <v>182</v>
      </c>
      <c r="N93" s="61">
        <f t="shared" si="20"/>
        <v>181</v>
      </c>
      <c r="O93" s="61">
        <f t="shared" si="20"/>
        <v>180</v>
      </c>
      <c r="P93" s="61">
        <f t="shared" si="20"/>
        <v>0</v>
      </c>
      <c r="Q93" s="61">
        <f t="shared" si="20"/>
        <v>0</v>
      </c>
      <c r="R93" s="61">
        <f t="shared" si="20"/>
        <v>0</v>
      </c>
      <c r="S93" s="61">
        <f t="shared" si="20"/>
        <v>5.4</v>
      </c>
      <c r="T93" s="61">
        <f t="shared" si="20"/>
        <v>97</v>
      </c>
      <c r="U93" s="61">
        <f t="shared" si="20"/>
        <v>0</v>
      </c>
      <c r="V93" s="61">
        <f t="shared" si="20"/>
        <v>0</v>
      </c>
      <c r="W93" s="61">
        <f t="shared" si="20"/>
        <v>0</v>
      </c>
      <c r="X93" s="61">
        <f t="shared" si="20"/>
        <v>159</v>
      </c>
      <c r="Y93" s="61">
        <f t="shared" si="20"/>
        <v>127</v>
      </c>
      <c r="Z93" s="61">
        <f t="shared" si="20"/>
        <v>132</v>
      </c>
      <c r="AA93" s="61">
        <f t="shared" si="20"/>
        <v>112</v>
      </c>
      <c r="AB93" s="61">
        <f t="shared" si="20"/>
        <v>149</v>
      </c>
      <c r="AC93" s="61">
        <f t="shared" si="20"/>
        <v>149.19999999999999</v>
      </c>
      <c r="AD93" s="61">
        <f t="shared" si="20"/>
        <v>151.19999999999999</v>
      </c>
      <c r="AE93" s="61">
        <f t="shared" si="20"/>
        <v>2</v>
      </c>
      <c r="AF93" s="61">
        <f t="shared" si="20"/>
        <v>0</v>
      </c>
      <c r="AG93" s="81"/>
      <c r="AH93" s="48">
        <f t="shared" si="10"/>
        <v>182</v>
      </c>
      <c r="AI93" s="49">
        <f t="shared" si="11"/>
        <v>0</v>
      </c>
      <c r="AK93" s="50"/>
    </row>
    <row r="94" spans="1:37" ht="15.75" thickBot="1" x14ac:dyDescent="0.3">
      <c r="A94" s="74" t="s">
        <v>95</v>
      </c>
      <c r="B94" s="61">
        <f t="shared" ref="B94:AF94" si="21">B78-B93</f>
        <v>17</v>
      </c>
      <c r="C94" s="61">
        <f t="shared" si="21"/>
        <v>35</v>
      </c>
      <c r="D94" s="61">
        <f t="shared" si="21"/>
        <v>40</v>
      </c>
      <c r="E94" s="61">
        <f t="shared" si="21"/>
        <v>35</v>
      </c>
      <c r="F94" s="61">
        <f t="shared" si="21"/>
        <v>40</v>
      </c>
      <c r="G94" s="61">
        <f t="shared" si="21"/>
        <v>40</v>
      </c>
      <c r="H94" s="61">
        <f t="shared" si="21"/>
        <v>42</v>
      </c>
      <c r="I94" s="61">
        <f t="shared" si="21"/>
        <v>0</v>
      </c>
      <c r="J94" s="61">
        <f t="shared" si="21"/>
        <v>10</v>
      </c>
      <c r="K94" s="61">
        <f t="shared" si="21"/>
        <v>-84</v>
      </c>
      <c r="L94" s="61">
        <f t="shared" si="21"/>
        <v>-91</v>
      </c>
      <c r="M94" s="61">
        <f t="shared" si="21"/>
        <v>-134</v>
      </c>
      <c r="N94" s="61">
        <f t="shared" si="21"/>
        <v>-137</v>
      </c>
      <c r="O94" s="61">
        <f t="shared" si="21"/>
        <v>-135.1</v>
      </c>
      <c r="P94" s="61">
        <f t="shared" si="21"/>
        <v>46.6</v>
      </c>
      <c r="Q94" s="61">
        <f t="shared" si="21"/>
        <v>64.599999999999994</v>
      </c>
      <c r="R94" s="61">
        <f t="shared" si="21"/>
        <v>58.4</v>
      </c>
      <c r="S94" s="61">
        <f t="shared" si="21"/>
        <v>54.1</v>
      </c>
      <c r="T94" s="61">
        <f t="shared" si="21"/>
        <v>-50</v>
      </c>
      <c r="U94" s="61">
        <f t="shared" si="21"/>
        <v>72</v>
      </c>
      <c r="V94" s="61">
        <f t="shared" si="21"/>
        <v>94.7</v>
      </c>
      <c r="W94" s="61">
        <f t="shared" si="21"/>
        <v>177.8</v>
      </c>
      <c r="X94" s="61">
        <f t="shared" si="21"/>
        <v>-104.4</v>
      </c>
      <c r="Y94" s="61">
        <f t="shared" si="21"/>
        <v>-77.900000000000006</v>
      </c>
      <c r="Z94" s="61">
        <f t="shared" si="21"/>
        <v>-86.8</v>
      </c>
      <c r="AA94" s="61">
        <f t="shared" si="21"/>
        <v>-73</v>
      </c>
      <c r="AB94" s="61">
        <f t="shared" si="21"/>
        <v>-113.7</v>
      </c>
      <c r="AC94" s="61">
        <f t="shared" si="21"/>
        <v>-119.19999999999999</v>
      </c>
      <c r="AD94" s="61">
        <f t="shared" si="21"/>
        <v>-136.1</v>
      </c>
      <c r="AE94" s="61">
        <f t="shared" si="21"/>
        <v>12.5</v>
      </c>
      <c r="AF94" s="61">
        <f t="shared" si="21"/>
        <v>196.2</v>
      </c>
      <c r="AG94" s="81"/>
      <c r="AH94" s="48">
        <f t="shared" si="10"/>
        <v>196.2</v>
      </c>
      <c r="AI94" s="49">
        <f t="shared" si="11"/>
        <v>-137</v>
      </c>
    </row>
    <row r="95" spans="1:37" x14ac:dyDescent="0.25">
      <c r="A95" s="88" t="s">
        <v>96</v>
      </c>
      <c r="B95" s="89">
        <v>49.95</v>
      </c>
      <c r="C95" s="89">
        <v>49.95</v>
      </c>
      <c r="D95" s="89">
        <v>49.95</v>
      </c>
      <c r="E95" s="89">
        <v>50.03</v>
      </c>
      <c r="F95" s="89">
        <v>50.01</v>
      </c>
      <c r="G95" s="89">
        <v>50</v>
      </c>
      <c r="H95" s="89">
        <v>49.99</v>
      </c>
      <c r="I95" s="89">
        <v>50.1</v>
      </c>
      <c r="J95" s="89">
        <v>50.13</v>
      </c>
      <c r="K95" s="89">
        <v>50.07</v>
      </c>
      <c r="L95" s="89">
        <v>49.51</v>
      </c>
      <c r="M95" s="89">
        <v>49.68</v>
      </c>
      <c r="N95" s="89">
        <v>49.962000000000003</v>
      </c>
      <c r="O95" s="89">
        <v>49.851999999999997</v>
      </c>
      <c r="P95" s="89">
        <v>50.082999999999998</v>
      </c>
      <c r="Q95" s="89">
        <v>50</v>
      </c>
      <c r="R95" s="89">
        <v>50.030999999999999</v>
      </c>
      <c r="S95" s="89">
        <v>50.085000000000001</v>
      </c>
      <c r="T95" s="89">
        <v>50.134</v>
      </c>
      <c r="U95" s="89">
        <v>49.923000000000002</v>
      </c>
      <c r="V95" s="89">
        <v>49.91</v>
      </c>
      <c r="W95" s="89">
        <v>50.03</v>
      </c>
      <c r="X95" s="89">
        <v>49.911999999999999</v>
      </c>
      <c r="Y95" s="89">
        <v>50.030999999999999</v>
      </c>
      <c r="Z95" s="89">
        <v>50.183999999999997</v>
      </c>
      <c r="AA95" s="89">
        <v>49.984999999999999</v>
      </c>
      <c r="AB95" s="89">
        <v>49.935000000000002</v>
      </c>
      <c r="AC95" s="89">
        <v>49.942999999999998</v>
      </c>
      <c r="AD95" s="89">
        <v>49.901000000000003</v>
      </c>
      <c r="AE95" s="89">
        <v>50.01</v>
      </c>
      <c r="AF95" s="89">
        <v>50.04</v>
      </c>
      <c r="AG95" s="90"/>
      <c r="AH95" s="48">
        <f t="shared" si="10"/>
        <v>50.183999999999997</v>
      </c>
      <c r="AI95" s="49">
        <f t="shared" si="11"/>
        <v>49.51</v>
      </c>
    </row>
    <row r="96" spans="1:37" x14ac:dyDescent="0.25">
      <c r="A96" s="91" t="s">
        <v>97</v>
      </c>
      <c r="B96" s="65">
        <v>128.4</v>
      </c>
      <c r="C96" s="65">
        <v>128.4</v>
      </c>
      <c r="D96" s="65">
        <v>130</v>
      </c>
      <c r="E96" s="65">
        <v>129.30000000000001</v>
      </c>
      <c r="F96" s="65">
        <v>1128.8</v>
      </c>
      <c r="G96" s="65">
        <v>128.6</v>
      </c>
      <c r="H96" s="65">
        <v>127.6</v>
      </c>
      <c r="I96" s="65">
        <v>126.6</v>
      </c>
      <c r="J96" s="65">
        <v>126.2</v>
      </c>
      <c r="K96" s="65">
        <v>123.4</v>
      </c>
      <c r="L96" s="65">
        <v>125.6</v>
      </c>
      <c r="M96" s="65">
        <v>126.6</v>
      </c>
      <c r="N96" s="65">
        <v>124.5</v>
      </c>
      <c r="O96" s="65">
        <v>123</v>
      </c>
      <c r="P96" s="65">
        <v>123.2</v>
      </c>
      <c r="Q96" s="65">
        <v>123.2</v>
      </c>
      <c r="R96" s="65">
        <v>125</v>
      </c>
      <c r="S96" s="65">
        <v>123.9</v>
      </c>
      <c r="T96" s="65">
        <v>124.8</v>
      </c>
      <c r="U96" s="65">
        <v>124.6</v>
      </c>
      <c r="V96" s="65">
        <v>125.7</v>
      </c>
      <c r="W96" s="65">
        <v>126.6</v>
      </c>
      <c r="X96" s="65">
        <v>127.2</v>
      </c>
      <c r="Y96" s="65">
        <v>128.69999999999999</v>
      </c>
      <c r="Z96" s="65">
        <v>129.19999999999999</v>
      </c>
      <c r="AA96" s="65">
        <v>129.1</v>
      </c>
      <c r="AB96" s="65">
        <v>129.9</v>
      </c>
      <c r="AC96" s="65">
        <v>128.4</v>
      </c>
      <c r="AD96" s="65">
        <v>128</v>
      </c>
      <c r="AE96" s="65">
        <v>130.9</v>
      </c>
      <c r="AF96" s="65">
        <v>129.9</v>
      </c>
      <c r="AG96" s="92"/>
      <c r="AH96" s="48">
        <f t="shared" si="10"/>
        <v>1128.8</v>
      </c>
      <c r="AI96" s="49">
        <f t="shared" si="11"/>
        <v>123</v>
      </c>
    </row>
    <row r="97" spans="1:35" x14ac:dyDescent="0.25">
      <c r="A97" s="91" t="s">
        <v>98</v>
      </c>
      <c r="B97" s="65">
        <v>131.80000000000001</v>
      </c>
      <c r="C97" s="65">
        <v>131.80000000000001</v>
      </c>
      <c r="D97" s="65">
        <v>132.80000000000001</v>
      </c>
      <c r="E97" s="65">
        <v>129.1</v>
      </c>
      <c r="F97" s="65">
        <v>132.19999999999999</v>
      </c>
      <c r="G97" s="65">
        <v>132.80000000000001</v>
      </c>
      <c r="H97" s="65">
        <v>130.6</v>
      </c>
      <c r="I97" s="65">
        <v>129.6</v>
      </c>
      <c r="J97" s="65">
        <v>128.80000000000001</v>
      </c>
      <c r="K97" s="65">
        <v>125.8</v>
      </c>
      <c r="L97" s="65">
        <v>127.7</v>
      </c>
      <c r="M97" s="65">
        <v>125.7</v>
      </c>
      <c r="N97" s="65">
        <v>126</v>
      </c>
      <c r="O97" s="65">
        <v>124.7</v>
      </c>
      <c r="P97" s="65">
        <v>125.8</v>
      </c>
      <c r="Q97" s="65">
        <v>125.8</v>
      </c>
      <c r="R97" s="65">
        <v>127</v>
      </c>
      <c r="S97" s="65">
        <v>125.7</v>
      </c>
      <c r="T97" s="65">
        <v>125.9</v>
      </c>
      <c r="U97" s="65">
        <v>127</v>
      </c>
      <c r="V97" s="65">
        <v>128.80000000000001</v>
      </c>
      <c r="W97" s="65">
        <v>129.19999999999999</v>
      </c>
      <c r="X97" s="65">
        <v>129.30000000000001</v>
      </c>
      <c r="Y97" s="65">
        <v>130.6</v>
      </c>
      <c r="Z97" s="65">
        <v>130.80000000000001</v>
      </c>
      <c r="AA97" s="65">
        <v>131.1</v>
      </c>
      <c r="AB97" s="65">
        <v>131.69999999999999</v>
      </c>
      <c r="AC97" s="65">
        <v>130.6</v>
      </c>
      <c r="AD97" s="65">
        <v>130.6</v>
      </c>
      <c r="AE97" s="65">
        <v>134</v>
      </c>
      <c r="AF97" s="65">
        <v>133.4</v>
      </c>
      <c r="AG97" s="92"/>
      <c r="AH97" s="48">
        <f t="shared" si="10"/>
        <v>134</v>
      </c>
      <c r="AI97" s="49">
        <f t="shared" si="11"/>
        <v>124.7</v>
      </c>
    </row>
    <row r="98" spans="1:35" x14ac:dyDescent="0.25">
      <c r="A98" s="91" t="s">
        <v>99</v>
      </c>
      <c r="B98" s="65">
        <v>133</v>
      </c>
      <c r="C98" s="65">
        <v>133</v>
      </c>
      <c r="D98" s="65">
        <v>133</v>
      </c>
      <c r="E98" s="65">
        <v>132.80000000000001</v>
      </c>
      <c r="F98" s="65">
        <v>132.80000000000001</v>
      </c>
      <c r="G98" s="65">
        <v>131</v>
      </c>
      <c r="H98" s="65">
        <v>130.69999999999999</v>
      </c>
      <c r="I98" s="65">
        <v>129.4</v>
      </c>
      <c r="J98" s="65">
        <v>130.9</v>
      </c>
      <c r="K98" s="65">
        <v>126.1</v>
      </c>
      <c r="L98" s="65">
        <v>126.8</v>
      </c>
      <c r="M98" s="65">
        <v>128.19999999999999</v>
      </c>
      <c r="N98" s="65">
        <v>127</v>
      </c>
      <c r="O98" s="65">
        <v>129</v>
      </c>
      <c r="P98" s="65">
        <v>130</v>
      </c>
      <c r="Q98" s="65">
        <v>130</v>
      </c>
      <c r="R98" s="65">
        <v>130.9</v>
      </c>
      <c r="S98" s="65">
        <v>129.5</v>
      </c>
      <c r="T98" s="65">
        <v>130.6</v>
      </c>
      <c r="U98" s="65">
        <v>131.4</v>
      </c>
      <c r="V98" s="65">
        <v>128.6</v>
      </c>
      <c r="W98" s="65">
        <v>129.4</v>
      </c>
      <c r="X98" s="65">
        <v>131.5</v>
      </c>
      <c r="Y98" s="65">
        <v>131.4</v>
      </c>
      <c r="Z98" s="65">
        <v>132.6</v>
      </c>
      <c r="AA98" s="65">
        <v>132.1</v>
      </c>
      <c r="AB98" s="65">
        <v>131.5</v>
      </c>
      <c r="AC98" s="65">
        <v>132.5</v>
      </c>
      <c r="AD98" s="65">
        <v>132.9</v>
      </c>
      <c r="AE98" s="65">
        <v>134.4</v>
      </c>
      <c r="AF98" s="65">
        <v>130.80000000000001</v>
      </c>
      <c r="AG98" s="92"/>
      <c r="AH98" s="48">
        <f t="shared" si="10"/>
        <v>134.4</v>
      </c>
      <c r="AI98" s="49">
        <f t="shared" si="11"/>
        <v>126.1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101</v>
      </c>
      <c r="B100" s="94">
        <v>130.5</v>
      </c>
      <c r="C100" s="94">
        <v>130.5</v>
      </c>
      <c r="D100" s="94">
        <v>132</v>
      </c>
      <c r="E100" s="94">
        <v>132.5</v>
      </c>
      <c r="F100" s="94">
        <v>130.30000000000001</v>
      </c>
      <c r="G100" s="94">
        <v>95</v>
      </c>
      <c r="H100" s="94">
        <v>133.80000000000001</v>
      </c>
      <c r="I100" s="94">
        <v>133.80000000000001</v>
      </c>
      <c r="J100" s="94">
        <v>134.30000000000001</v>
      </c>
      <c r="K100" s="94">
        <v>132.4</v>
      </c>
      <c r="L100" s="94">
        <v>132.9</v>
      </c>
      <c r="M100" s="94">
        <v>135.1</v>
      </c>
      <c r="N100" s="94">
        <v>134.6</v>
      </c>
      <c r="O100" s="94">
        <v>133</v>
      </c>
      <c r="P100" s="94">
        <v>131.69999999999999</v>
      </c>
      <c r="Q100" s="94">
        <v>131.69999999999999</v>
      </c>
      <c r="R100" s="94">
        <v>131.6</v>
      </c>
      <c r="S100" s="94">
        <v>132.9</v>
      </c>
      <c r="T100" s="94">
        <v>131.80000000000001</v>
      </c>
      <c r="U100" s="94">
        <v>132.6</v>
      </c>
      <c r="V100" s="94">
        <v>132.19999999999999</v>
      </c>
      <c r="W100" s="94">
        <v>132.1</v>
      </c>
      <c r="X100" s="94">
        <v>132.4</v>
      </c>
      <c r="Y100" s="94">
        <v>135.19999999999999</v>
      </c>
      <c r="Z100" s="94">
        <v>133.30000000000001</v>
      </c>
      <c r="AA100" s="94" t="s">
        <v>281</v>
      </c>
      <c r="AB100" s="94">
        <v>135.19999999999999</v>
      </c>
      <c r="AC100" s="94">
        <v>135.1</v>
      </c>
      <c r="AD100" s="94">
        <v>133</v>
      </c>
      <c r="AE100" s="94">
        <v>134.19999999999999</v>
      </c>
      <c r="AF100" s="94">
        <v>132.19999999999999</v>
      </c>
      <c r="AG100" s="95"/>
      <c r="AH100" s="48">
        <f t="shared" si="10"/>
        <v>135.19999999999999</v>
      </c>
      <c r="AI100" s="49">
        <f t="shared" si="11"/>
        <v>95</v>
      </c>
    </row>
    <row r="101" spans="1:35" x14ac:dyDescent="0.25">
      <c r="A101" s="91" t="s">
        <v>102</v>
      </c>
      <c r="B101" s="65">
        <v>128</v>
      </c>
      <c r="C101" s="65">
        <v>128</v>
      </c>
      <c r="D101" s="65">
        <v>131</v>
      </c>
      <c r="E101" s="65">
        <v>131.9</v>
      </c>
      <c r="F101" s="65">
        <v>128.1</v>
      </c>
      <c r="G101" s="65">
        <v>131.4</v>
      </c>
      <c r="H101" s="65">
        <v>134</v>
      </c>
      <c r="I101" s="65">
        <v>137.1</v>
      </c>
      <c r="J101" s="65">
        <v>138</v>
      </c>
      <c r="K101" s="65">
        <v>135.5</v>
      </c>
      <c r="L101" s="65">
        <v>132.5</v>
      </c>
      <c r="M101" s="65">
        <v>125.8</v>
      </c>
      <c r="N101" s="65">
        <v>134</v>
      </c>
      <c r="O101" s="65">
        <v>134.80000000000001</v>
      </c>
      <c r="P101" s="65">
        <v>134</v>
      </c>
      <c r="Q101" s="65">
        <v>134</v>
      </c>
      <c r="R101" s="65">
        <v>130.4</v>
      </c>
      <c r="S101" s="65">
        <v>132.1</v>
      </c>
      <c r="T101" s="65">
        <v>129.30000000000001</v>
      </c>
      <c r="U101" s="65">
        <v>129.19999999999999</v>
      </c>
      <c r="V101" s="65"/>
      <c r="W101" s="65"/>
      <c r="X101" s="65"/>
      <c r="Y101" s="65">
        <v>131.69999999999999</v>
      </c>
      <c r="Z101" s="65">
        <v>129.30000000000001</v>
      </c>
      <c r="AA101" s="65">
        <v>131.4</v>
      </c>
      <c r="AB101" s="65">
        <v>132.5</v>
      </c>
      <c r="AC101" s="65">
        <v>133.6</v>
      </c>
      <c r="AD101" s="65">
        <v>129.6</v>
      </c>
      <c r="AE101" s="65">
        <v>133</v>
      </c>
      <c r="AF101" s="65">
        <v>131.5</v>
      </c>
      <c r="AG101" s="92"/>
      <c r="AH101" s="48">
        <f t="shared" si="10"/>
        <v>138</v>
      </c>
      <c r="AI101" s="49">
        <f t="shared" si="11"/>
        <v>125.8</v>
      </c>
    </row>
    <row r="102" spans="1:35" ht="15.75" thickBot="1" x14ac:dyDescent="0.3">
      <c r="A102" s="91" t="s">
        <v>104</v>
      </c>
      <c r="B102" s="96">
        <v>66.3</v>
      </c>
      <c r="C102" s="96">
        <v>66.3</v>
      </c>
      <c r="D102" s="96">
        <v>66.7</v>
      </c>
      <c r="E102" s="96">
        <v>66.8</v>
      </c>
      <c r="F102" s="96">
        <v>66.5</v>
      </c>
      <c r="G102" s="96">
        <v>66.400000000000006</v>
      </c>
      <c r="H102" s="96">
        <v>65.5</v>
      </c>
      <c r="I102" s="96">
        <v>66</v>
      </c>
      <c r="J102" s="96">
        <v>65.099999999999994</v>
      </c>
      <c r="K102" s="96">
        <v>65.099999999999994</v>
      </c>
      <c r="L102" s="96">
        <v>64.099999999999994</v>
      </c>
      <c r="M102" s="96">
        <v>64.3</v>
      </c>
      <c r="N102" s="96">
        <v>62.5</v>
      </c>
      <c r="O102" s="96">
        <v>62.4</v>
      </c>
      <c r="P102" s="96">
        <v>63.3</v>
      </c>
      <c r="Q102" s="96">
        <v>63.3</v>
      </c>
      <c r="R102" s="96">
        <v>63.3</v>
      </c>
      <c r="S102" s="96">
        <v>63.1</v>
      </c>
      <c r="T102" s="96">
        <v>63.1</v>
      </c>
      <c r="U102" s="96">
        <v>63.9</v>
      </c>
      <c r="V102" s="96">
        <v>64.599999999999994</v>
      </c>
      <c r="W102" s="96">
        <v>65</v>
      </c>
      <c r="X102" s="96">
        <v>65</v>
      </c>
      <c r="Y102" s="96">
        <v>65.599999999999994</v>
      </c>
      <c r="Z102" s="96">
        <v>65.8</v>
      </c>
      <c r="AA102" s="96">
        <v>66</v>
      </c>
      <c r="AB102" s="96">
        <v>66.3</v>
      </c>
      <c r="AC102" s="96">
        <v>65.900000000000006</v>
      </c>
      <c r="AD102" s="96">
        <v>65.8</v>
      </c>
      <c r="AE102" s="96">
        <v>67.2</v>
      </c>
      <c r="AF102" s="96">
        <v>66.900000000000006</v>
      </c>
      <c r="AG102" s="97"/>
      <c r="AH102" s="48">
        <f t="shared" si="10"/>
        <v>67.2</v>
      </c>
      <c r="AI102" s="49">
        <f t="shared" si="11"/>
        <v>62.4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105</v>
      </c>
      <c r="B104" s="100">
        <f t="shared" ref="B104:AF104" si="22">SUM(B16,B22,B25:B26,B52,B54:B55,B57,B59,B105:B109,B131,B137,B143,B152,B154,B166,B173,B176:B177,B184,B186,B188,B192:B194,B196:B198,B203,B209:B210,B212:B214,B222,B227)</f>
        <v>101.79999999999998</v>
      </c>
      <c r="C104" s="100">
        <f>SUM(C16,C22,C25:C26,C52,C54:C55,C57,C59,C105:C109,C131,C137,C143,C152,C154,C166,C173,C176:C177,C184,C186,C188,C192:C194,C196:C198,C203,C209:C210,C212:C214,C222,C227)</f>
        <v>99.039999999999992</v>
      </c>
      <c r="D104" s="100">
        <f>SUM(D16,D22,D25:D26,D52,D54:D55,D57,D59,D105:D109,D131,D137,D143,D152,D154,D166,D173,D176:D177,D184,D186,D188,D192:D194,D196:D198,D203,D209:D210,D212:D214,D222,D227)</f>
        <v>98.039999999999992</v>
      </c>
      <c r="E104" s="100">
        <f t="shared" si="22"/>
        <v>86.439999999999984</v>
      </c>
      <c r="F104" s="100">
        <f t="shared" si="22"/>
        <v>91.04</v>
      </c>
      <c r="G104" s="100">
        <f t="shared" si="22"/>
        <v>119.53999999999999</v>
      </c>
      <c r="H104" s="100">
        <f t="shared" si="22"/>
        <v>108.33999999999997</v>
      </c>
      <c r="I104" s="100">
        <f t="shared" si="22"/>
        <v>220.64000000000001</v>
      </c>
      <c r="J104" s="100">
        <f t="shared" si="22"/>
        <v>232.64000000000004</v>
      </c>
      <c r="K104" s="100">
        <f t="shared" si="22"/>
        <v>300.04000000000002</v>
      </c>
      <c r="L104" s="100">
        <f t="shared" si="22"/>
        <v>305.73999999999995</v>
      </c>
      <c r="M104" s="100">
        <f t="shared" si="22"/>
        <v>256.33999999999997</v>
      </c>
      <c r="N104" s="100">
        <f t="shared" si="22"/>
        <v>279.83999999999997</v>
      </c>
      <c r="O104" s="100">
        <f t="shared" si="22"/>
        <v>281.03999999999996</v>
      </c>
      <c r="P104" s="100">
        <f t="shared" si="22"/>
        <v>264.84000000000003</v>
      </c>
      <c r="Q104" s="100">
        <f t="shared" si="22"/>
        <v>245.4</v>
      </c>
      <c r="R104" s="100">
        <f t="shared" si="22"/>
        <v>270.10000000000002</v>
      </c>
      <c r="S104" s="100">
        <f t="shared" si="22"/>
        <v>291</v>
      </c>
      <c r="T104" s="100">
        <f t="shared" si="22"/>
        <v>300.70000000000005</v>
      </c>
      <c r="U104" s="100">
        <f t="shared" si="22"/>
        <v>259.70000000000005</v>
      </c>
      <c r="V104" s="100">
        <f t="shared" si="22"/>
        <v>276.5</v>
      </c>
      <c r="W104" s="100">
        <f t="shared" si="22"/>
        <v>240.29999999999998</v>
      </c>
      <c r="X104" s="100">
        <f t="shared" si="22"/>
        <v>371</v>
      </c>
      <c r="Y104" s="100">
        <f t="shared" si="22"/>
        <v>365.80000000000007</v>
      </c>
      <c r="Z104" s="100">
        <f t="shared" si="22"/>
        <v>343.8</v>
      </c>
      <c r="AA104" s="100">
        <f t="shared" si="22"/>
        <v>328.6</v>
      </c>
      <c r="AB104" s="100">
        <f t="shared" si="22"/>
        <v>272</v>
      </c>
      <c r="AC104" s="100">
        <f t="shared" si="22"/>
        <v>250.7</v>
      </c>
      <c r="AD104" s="100">
        <f t="shared" si="22"/>
        <v>249.20000000000002</v>
      </c>
      <c r="AE104" s="100">
        <f t="shared" si="22"/>
        <v>137</v>
      </c>
      <c r="AF104" s="100">
        <f t="shared" si="22"/>
        <v>122.79999999999998</v>
      </c>
      <c r="AG104" s="101"/>
      <c r="AH104" s="48">
        <f t="shared" si="10"/>
        <v>371</v>
      </c>
      <c r="AI104" s="49">
        <f t="shared" si="11"/>
        <v>86.439999999999984</v>
      </c>
    </row>
    <row r="105" spans="1:35" x14ac:dyDescent="0.25">
      <c r="A105" s="88" t="s">
        <v>106</v>
      </c>
      <c r="B105" s="102">
        <v>25</v>
      </c>
      <c r="C105" s="102">
        <v>25</v>
      </c>
      <c r="D105" s="102">
        <v>13</v>
      </c>
      <c r="E105" s="102">
        <v>18</v>
      </c>
      <c r="F105" s="102">
        <v>16.8</v>
      </c>
      <c r="G105" s="102">
        <v>25.1</v>
      </c>
      <c r="H105" s="102" t="s">
        <v>280</v>
      </c>
      <c r="I105" s="102">
        <v>51.5</v>
      </c>
      <c r="J105" s="102">
        <v>49.2</v>
      </c>
      <c r="K105" s="102">
        <v>43.2</v>
      </c>
      <c r="L105" s="102">
        <v>42.9</v>
      </c>
      <c r="M105" s="102">
        <v>47.8</v>
      </c>
      <c r="N105" s="102">
        <v>56.6</v>
      </c>
      <c r="O105" s="102">
        <v>55.9</v>
      </c>
      <c r="P105" s="102">
        <v>54.4</v>
      </c>
      <c r="Q105" s="102">
        <v>54.4</v>
      </c>
      <c r="R105" s="102">
        <v>52.4</v>
      </c>
      <c r="S105" s="102">
        <v>57.4</v>
      </c>
      <c r="T105" s="102">
        <v>61.6</v>
      </c>
      <c r="U105" s="102">
        <v>48.3</v>
      </c>
      <c r="V105" s="102">
        <v>47.6</v>
      </c>
      <c r="W105" s="102">
        <v>36.9</v>
      </c>
      <c r="X105" s="102">
        <v>32.4</v>
      </c>
      <c r="Y105" s="102">
        <v>45.7</v>
      </c>
      <c r="Z105" s="102">
        <v>53</v>
      </c>
      <c r="AA105" s="102">
        <v>56.1</v>
      </c>
      <c r="AB105" s="102">
        <v>63.2</v>
      </c>
      <c r="AC105" s="102">
        <v>65.900000000000006</v>
      </c>
      <c r="AD105" s="102">
        <v>63</v>
      </c>
      <c r="AE105" s="102">
        <v>25.1</v>
      </c>
      <c r="AF105" s="102">
        <v>15.2</v>
      </c>
      <c r="AG105" s="103">
        <v>75</v>
      </c>
      <c r="AH105" s="48">
        <f t="shared" si="10"/>
        <v>65.900000000000006</v>
      </c>
      <c r="AI105" s="49">
        <f t="shared" si="11"/>
        <v>13</v>
      </c>
    </row>
    <row r="106" spans="1:35" x14ac:dyDescent="0.25">
      <c r="A106" s="91" t="s">
        <v>107</v>
      </c>
      <c r="B106" s="104">
        <v>41</v>
      </c>
      <c r="C106" s="104">
        <v>41</v>
      </c>
      <c r="D106" s="104">
        <v>24</v>
      </c>
      <c r="E106" s="104">
        <v>30.6</v>
      </c>
      <c r="F106" s="104">
        <v>30</v>
      </c>
      <c r="G106" s="104">
        <v>40.5</v>
      </c>
      <c r="H106" s="104">
        <v>58.3</v>
      </c>
      <c r="I106" s="104">
        <v>76.7</v>
      </c>
      <c r="J106" s="104">
        <v>73.3</v>
      </c>
      <c r="K106" s="104">
        <v>64.5</v>
      </c>
      <c r="L106" s="104">
        <v>62.7</v>
      </c>
      <c r="M106" s="104">
        <v>70.2</v>
      </c>
      <c r="N106" s="104">
        <v>81.900000000000006</v>
      </c>
      <c r="O106" s="104">
        <v>81</v>
      </c>
      <c r="P106" s="104">
        <v>78.7</v>
      </c>
      <c r="Q106" s="104">
        <v>78.7</v>
      </c>
      <c r="R106" s="104">
        <v>75.3</v>
      </c>
      <c r="S106" s="104">
        <v>82.4</v>
      </c>
      <c r="T106" s="104">
        <v>88.9</v>
      </c>
      <c r="U106" s="104">
        <v>71.099999999999994</v>
      </c>
      <c r="V106" s="104">
        <v>65.2</v>
      </c>
      <c r="W106" s="104">
        <v>53.1</v>
      </c>
      <c r="X106" s="104">
        <v>46</v>
      </c>
      <c r="Y106" s="104">
        <v>64.900000000000006</v>
      </c>
      <c r="Z106" s="104">
        <v>74.400000000000006</v>
      </c>
      <c r="AA106" s="104">
        <v>78.7</v>
      </c>
      <c r="AB106" s="104">
        <v>87.9</v>
      </c>
      <c r="AC106" s="104">
        <v>92.4</v>
      </c>
      <c r="AD106" s="104">
        <v>90.2</v>
      </c>
      <c r="AE106" s="104">
        <v>37.799999999999997</v>
      </c>
      <c r="AF106" s="104">
        <v>26.3</v>
      </c>
      <c r="AG106" s="103">
        <v>240</v>
      </c>
      <c r="AH106" s="48">
        <f t="shared" si="10"/>
        <v>92.4</v>
      </c>
      <c r="AI106" s="49">
        <f t="shared" si="11"/>
        <v>24</v>
      </c>
    </row>
    <row r="107" spans="1:35" x14ac:dyDescent="0.25">
      <c r="A107" s="91" t="s">
        <v>108</v>
      </c>
      <c r="B107" s="104">
        <v>-88</v>
      </c>
      <c r="C107" s="104">
        <v>-88</v>
      </c>
      <c r="D107" s="104">
        <v>-60</v>
      </c>
      <c r="E107" s="104">
        <f>-38.8-41.8</f>
        <v>-80.599999999999994</v>
      </c>
      <c r="F107" s="104">
        <f>-34.2-36.3</f>
        <v>-70.5</v>
      </c>
      <c r="G107" s="104">
        <f>-30.2-32.4</f>
        <v>-62.599999999999994</v>
      </c>
      <c r="H107" s="104">
        <f>-34-36.7</f>
        <v>-70.7</v>
      </c>
      <c r="I107" s="104">
        <f>-25.6-21.5</f>
        <v>-47.1</v>
      </c>
      <c r="J107" s="104">
        <f>-18.7-13</f>
        <v>-31.7</v>
      </c>
      <c r="K107" s="104">
        <f>3.5+4.2</f>
        <v>7.7</v>
      </c>
      <c r="L107" s="104">
        <f>10.2+3.4</f>
        <v>13.6</v>
      </c>
      <c r="M107" s="104">
        <v>-42</v>
      </c>
      <c r="N107" s="104">
        <v>-21</v>
      </c>
      <c r="O107" s="104">
        <v>-18.2</v>
      </c>
      <c r="P107" s="104">
        <v>-31.7</v>
      </c>
      <c r="Q107" s="104">
        <v>-31.7</v>
      </c>
      <c r="R107" s="104">
        <v>-29.4</v>
      </c>
      <c r="S107" s="104">
        <f>-7-13</f>
        <v>-20</v>
      </c>
      <c r="T107" s="104">
        <f>-8-13</f>
        <v>-21</v>
      </c>
      <c r="U107" s="104">
        <f>-11-13</f>
        <v>-24</v>
      </c>
      <c r="V107" s="104">
        <v>0</v>
      </c>
      <c r="W107" s="104">
        <f>-12-16</f>
        <v>-28</v>
      </c>
      <c r="X107" s="104">
        <v>-5.2</v>
      </c>
      <c r="Y107" s="104">
        <f>-4-13</f>
        <v>-17</v>
      </c>
      <c r="Z107" s="104">
        <f>-9-18</f>
        <v>-27</v>
      </c>
      <c r="AA107" s="104">
        <f>-11.2-21.5</f>
        <v>-32.700000000000003</v>
      </c>
      <c r="AB107" s="104">
        <v>-87</v>
      </c>
      <c r="AC107" s="104">
        <v>-86.5</v>
      </c>
      <c r="AD107" s="104">
        <f>-33.8-41</f>
        <v>-74.8</v>
      </c>
      <c r="AE107" s="104">
        <f>-39.8-42.8</f>
        <v>-82.6</v>
      </c>
      <c r="AF107" s="104">
        <f>-41.2-44.5</f>
        <v>-85.7</v>
      </c>
      <c r="AG107" s="103">
        <v>240</v>
      </c>
      <c r="AH107" s="48">
        <f t="shared" si="10"/>
        <v>13.6</v>
      </c>
      <c r="AI107" s="49">
        <f t="shared" si="11"/>
        <v>-88</v>
      </c>
    </row>
    <row r="108" spans="1:35" x14ac:dyDescent="0.25">
      <c r="A108" s="91" t="s">
        <v>109</v>
      </c>
      <c r="B108" s="104">
        <v>0</v>
      </c>
      <c r="C108" s="104">
        <v>0</v>
      </c>
      <c r="D108" s="104">
        <v>0</v>
      </c>
      <c r="E108" s="104">
        <v>-3.3</v>
      </c>
      <c r="F108" s="104">
        <v>-1.3</v>
      </c>
      <c r="G108" s="104">
        <v>0</v>
      </c>
      <c r="H108" s="104">
        <v>4.2</v>
      </c>
      <c r="I108" s="104">
        <v>11</v>
      </c>
      <c r="J108" s="104">
        <v>13.3</v>
      </c>
      <c r="K108" s="104">
        <v>56.1</v>
      </c>
      <c r="L108" s="104">
        <v>58</v>
      </c>
      <c r="M108" s="104">
        <v>55</v>
      </c>
      <c r="N108" s="104">
        <v>10</v>
      </c>
      <c r="O108" s="104">
        <v>10</v>
      </c>
      <c r="P108" s="104">
        <v>11.1</v>
      </c>
      <c r="Q108" s="104">
        <v>11.1</v>
      </c>
      <c r="R108" s="104">
        <v>38.9</v>
      </c>
      <c r="S108" s="104">
        <v>39</v>
      </c>
      <c r="T108" s="104">
        <v>39</v>
      </c>
      <c r="U108" s="104">
        <v>13.6</v>
      </c>
      <c r="V108" s="104">
        <v>21</v>
      </c>
      <c r="W108" s="104">
        <v>35.6</v>
      </c>
      <c r="X108" s="104">
        <v>57.9</v>
      </c>
      <c r="Y108" s="104">
        <v>59.4</v>
      </c>
      <c r="Z108" s="104">
        <v>58</v>
      </c>
      <c r="AA108" s="104">
        <v>56.5</v>
      </c>
      <c r="AB108" s="104">
        <v>55.3</v>
      </c>
      <c r="AC108" s="104">
        <v>28.5</v>
      </c>
      <c r="AD108" s="104">
        <v>27.4</v>
      </c>
      <c r="AE108" s="104">
        <v>2.2999999999999998</v>
      </c>
      <c r="AF108" s="104">
        <v>-4.5999999999999996</v>
      </c>
      <c r="AG108" s="103">
        <v>60</v>
      </c>
      <c r="AH108" s="48">
        <f t="shared" si="10"/>
        <v>59.4</v>
      </c>
      <c r="AI108" s="49">
        <f t="shared" si="11"/>
        <v>-4.5999999999999996</v>
      </c>
    </row>
    <row r="109" spans="1:35" x14ac:dyDescent="0.25">
      <c r="A109" s="105" t="s">
        <v>110</v>
      </c>
      <c r="B109" s="106">
        <v>0</v>
      </c>
      <c r="C109" s="106">
        <v>0</v>
      </c>
      <c r="D109" s="106">
        <v>0</v>
      </c>
      <c r="E109" s="106">
        <v>0</v>
      </c>
      <c r="F109" s="106">
        <v>0</v>
      </c>
      <c r="G109" s="106">
        <v>0</v>
      </c>
      <c r="H109" s="106">
        <v>0</v>
      </c>
      <c r="I109" s="106">
        <v>0</v>
      </c>
      <c r="J109" s="106">
        <v>0</v>
      </c>
      <c r="K109" s="106">
        <v>0</v>
      </c>
      <c r="L109" s="106">
        <v>0</v>
      </c>
      <c r="M109" s="106">
        <v>0</v>
      </c>
      <c r="N109" s="106">
        <v>0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99.5</v>
      </c>
      <c r="Y109" s="106">
        <v>72.400000000000006</v>
      </c>
      <c r="Z109" s="106">
        <v>45</v>
      </c>
      <c r="AA109" s="106">
        <v>29.6</v>
      </c>
      <c r="AB109" s="106">
        <v>12.2</v>
      </c>
      <c r="AC109" s="106">
        <v>9.6999999999999993</v>
      </c>
      <c r="AD109" s="106"/>
      <c r="AE109" s="106">
        <v>10.5</v>
      </c>
      <c r="AF109" s="106">
        <v>27.9</v>
      </c>
      <c r="AG109" s="107">
        <v>120</v>
      </c>
      <c r="AH109" s="48">
        <f t="shared" si="10"/>
        <v>99.5</v>
      </c>
      <c r="AI109" s="49">
        <f t="shared" si="11"/>
        <v>0</v>
      </c>
    </row>
    <row r="110" spans="1:35" x14ac:dyDescent="0.25">
      <c r="A110" s="105" t="s">
        <v>111</v>
      </c>
      <c r="B110" s="106">
        <v>14</v>
      </c>
      <c r="C110" s="106">
        <v>14</v>
      </c>
      <c r="D110" s="106">
        <v>44</v>
      </c>
      <c r="E110" s="106">
        <v>38.299999999999997</v>
      </c>
      <c r="F110" s="106">
        <v>35.9</v>
      </c>
      <c r="G110" s="106">
        <v>44.7</v>
      </c>
      <c r="H110" s="106">
        <v>28.4</v>
      </c>
      <c r="I110" s="106">
        <v>45.6</v>
      </c>
      <c r="J110" s="106">
        <v>64.400000000000006</v>
      </c>
      <c r="K110" s="106">
        <v>96.2</v>
      </c>
      <c r="L110" s="106">
        <v>84.2</v>
      </c>
      <c r="M110" s="106">
        <v>55.5</v>
      </c>
      <c r="N110" s="106">
        <v>57.8</v>
      </c>
      <c r="O110" s="106">
        <v>75.8</v>
      </c>
      <c r="P110" s="106">
        <v>69.400000000000006</v>
      </c>
      <c r="Q110" s="106">
        <v>69.400000000000006</v>
      </c>
      <c r="R110" s="106">
        <v>58.4</v>
      </c>
      <c r="S110" s="106">
        <v>49.1</v>
      </c>
      <c r="T110" s="106">
        <v>50</v>
      </c>
      <c r="U110" s="106">
        <v>64</v>
      </c>
      <c r="V110" s="106">
        <v>66.2</v>
      </c>
      <c r="W110" s="106">
        <v>56</v>
      </c>
      <c r="X110" s="106">
        <v>55.7</v>
      </c>
      <c r="Y110" s="106">
        <v>36</v>
      </c>
      <c r="Z110" s="106">
        <v>18</v>
      </c>
      <c r="AA110" s="106">
        <v>11.2</v>
      </c>
      <c r="AB110" s="106">
        <v>-6.4</v>
      </c>
      <c r="AC110" s="106">
        <v>-1.7</v>
      </c>
      <c r="AD110" s="106"/>
      <c r="AE110" s="106">
        <v>20.8</v>
      </c>
      <c r="AF110" s="106">
        <v>38.6</v>
      </c>
      <c r="AG110" s="107"/>
      <c r="AH110" s="48">
        <f t="shared" si="10"/>
        <v>96.2</v>
      </c>
      <c r="AI110" s="49">
        <f t="shared" si="11"/>
        <v>-6.4</v>
      </c>
    </row>
    <row r="111" spans="1:35" x14ac:dyDescent="0.25">
      <c r="A111" s="105" t="s">
        <v>112</v>
      </c>
      <c r="B111" s="106">
        <v>35</v>
      </c>
      <c r="C111" s="106">
        <v>35</v>
      </c>
      <c r="D111" s="106">
        <v>42</v>
      </c>
      <c r="E111" s="106">
        <v>35.700000000000003</v>
      </c>
      <c r="F111" s="106">
        <v>44.5</v>
      </c>
      <c r="G111" s="106">
        <v>24.1</v>
      </c>
      <c r="H111" s="106">
        <v>9.3000000000000007</v>
      </c>
      <c r="I111" s="106">
        <v>5</v>
      </c>
      <c r="J111" s="106">
        <v>5.5</v>
      </c>
      <c r="K111" s="106">
        <v>23.4</v>
      </c>
      <c r="L111" s="106">
        <v>26.8</v>
      </c>
      <c r="M111" s="106">
        <v>11</v>
      </c>
      <c r="N111" s="106">
        <v>-10.5</v>
      </c>
      <c r="O111" s="106">
        <v>-7.2</v>
      </c>
      <c r="P111" s="106">
        <v>-13</v>
      </c>
      <c r="Q111" s="106">
        <v>-13</v>
      </c>
      <c r="R111" s="106"/>
      <c r="S111" s="106">
        <v>-33</v>
      </c>
      <c r="T111" s="106">
        <v>-22</v>
      </c>
      <c r="U111" s="106">
        <v>-8.1999999999999993</v>
      </c>
      <c r="V111" s="106">
        <v>20</v>
      </c>
      <c r="W111" s="106">
        <v>36</v>
      </c>
      <c r="X111" s="106">
        <v>44.7</v>
      </c>
      <c r="Y111" s="106">
        <v>18</v>
      </c>
      <c r="Z111" s="106">
        <v>3.4</v>
      </c>
      <c r="AA111" s="106">
        <v>-3.4</v>
      </c>
      <c r="AB111" s="106">
        <v>-18.2</v>
      </c>
      <c r="AC111" s="106">
        <v>-24.5</v>
      </c>
      <c r="AD111" s="106"/>
      <c r="AE111" s="106">
        <v>20</v>
      </c>
      <c r="AF111" s="106">
        <v>43.1</v>
      </c>
      <c r="AG111" s="108"/>
      <c r="AH111" s="48">
        <f t="shared" si="10"/>
        <v>44.7</v>
      </c>
      <c r="AI111" s="49">
        <f t="shared" si="11"/>
        <v>-33</v>
      </c>
    </row>
    <row r="112" spans="1:35" x14ac:dyDescent="0.25">
      <c r="A112" s="109" t="s">
        <v>113</v>
      </c>
      <c r="B112" s="94">
        <v>41</v>
      </c>
      <c r="C112" s="94">
        <v>41</v>
      </c>
      <c r="D112" s="94">
        <v>39</v>
      </c>
      <c r="E112" s="94">
        <v>43.7</v>
      </c>
      <c r="F112" s="94">
        <v>43.8</v>
      </c>
      <c r="G112" s="94">
        <v>34.4</v>
      </c>
      <c r="H112" s="94">
        <v>30.4</v>
      </c>
      <c r="I112" s="94"/>
      <c r="J112" s="94">
        <v>21.4</v>
      </c>
      <c r="K112" s="94">
        <v>16.100000000000001</v>
      </c>
      <c r="L112" s="94">
        <v>12.4</v>
      </c>
      <c r="M112" s="94">
        <v>16</v>
      </c>
      <c r="N112" s="94">
        <v>26.1</v>
      </c>
      <c r="O112" s="94">
        <v>29.6</v>
      </c>
      <c r="P112" s="94">
        <v>25</v>
      </c>
      <c r="Q112" s="94">
        <v>25</v>
      </c>
      <c r="R112" s="94">
        <v>31.9</v>
      </c>
      <c r="S112" s="94">
        <v>28.5</v>
      </c>
      <c r="T112" s="94">
        <v>25</v>
      </c>
      <c r="U112" s="94">
        <v>18.399999999999999</v>
      </c>
      <c r="V112" s="94">
        <v>6.8</v>
      </c>
      <c r="W112" s="94">
        <v>0</v>
      </c>
      <c r="X112" s="94">
        <v>6.1</v>
      </c>
      <c r="Y112" s="94">
        <v>14.9</v>
      </c>
      <c r="Z112" s="94">
        <v>20</v>
      </c>
      <c r="AA112" s="94">
        <v>21.9</v>
      </c>
      <c r="AB112" s="94">
        <v>26.4</v>
      </c>
      <c r="AC112" s="94">
        <v>27.4</v>
      </c>
      <c r="AD112" s="94"/>
      <c r="AE112" s="94">
        <v>40.1</v>
      </c>
      <c r="AF112" s="94">
        <v>39.200000000000003</v>
      </c>
      <c r="AG112" s="108"/>
      <c r="AH112" s="48">
        <f t="shared" si="10"/>
        <v>43.8</v>
      </c>
      <c r="AI112" s="49">
        <f t="shared" si="11"/>
        <v>0</v>
      </c>
    </row>
    <row r="113" spans="1:37" ht="15.75" thickBot="1" x14ac:dyDescent="0.3">
      <c r="A113" s="109" t="s">
        <v>114</v>
      </c>
      <c r="B113" s="94">
        <v>61</v>
      </c>
      <c r="C113" s="94">
        <v>61</v>
      </c>
      <c r="D113" s="94">
        <v>36</v>
      </c>
      <c r="E113" s="94">
        <v>53.7</v>
      </c>
      <c r="F113" s="94">
        <v>48.9</v>
      </c>
      <c r="G113" s="94">
        <v>46.1</v>
      </c>
      <c r="H113" s="94">
        <v>57</v>
      </c>
      <c r="I113" s="94"/>
      <c r="J113" s="94">
        <v>31.6</v>
      </c>
      <c r="K113" s="94">
        <v>12</v>
      </c>
      <c r="L113" s="94">
        <v>20.399999999999999</v>
      </c>
      <c r="M113" s="94">
        <v>41.5</v>
      </c>
      <c r="N113" s="94">
        <v>33.1</v>
      </c>
      <c r="O113" s="94">
        <v>29.6</v>
      </c>
      <c r="P113" s="94">
        <v>39.299999999999997</v>
      </c>
      <c r="Q113" s="94">
        <v>39.299999999999997</v>
      </c>
      <c r="R113" s="94">
        <v>36.6</v>
      </c>
      <c r="S113" s="94">
        <v>42.7</v>
      </c>
      <c r="T113" s="94">
        <v>42</v>
      </c>
      <c r="U113" s="94">
        <v>27.7</v>
      </c>
      <c r="V113" s="94">
        <v>9.3000000000000007</v>
      </c>
      <c r="W113" s="94">
        <v>27.6</v>
      </c>
      <c r="X113" s="94">
        <v>22.4</v>
      </c>
      <c r="Y113" s="94">
        <v>42.3</v>
      </c>
      <c r="Z113" s="94">
        <v>57</v>
      </c>
      <c r="AA113" s="94">
        <v>63.7</v>
      </c>
      <c r="AB113" s="94">
        <v>74.900000000000006</v>
      </c>
      <c r="AC113" s="94">
        <v>73.3</v>
      </c>
      <c r="AD113" s="94"/>
      <c r="AE113" s="94">
        <v>43.2</v>
      </c>
      <c r="AF113" s="94">
        <v>53</v>
      </c>
      <c r="AG113" s="108"/>
      <c r="AH113" s="48">
        <f t="shared" si="10"/>
        <v>74.900000000000006</v>
      </c>
      <c r="AI113" s="49">
        <f t="shared" si="11"/>
        <v>9.3000000000000007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17">
        <f t="shared" si="25"/>
        <v>1.5</v>
      </c>
      <c r="J224" s="117">
        <f t="shared" si="25"/>
        <v>1.5</v>
      </c>
      <c r="K224" s="117">
        <f t="shared" si="25"/>
        <v>1.5</v>
      </c>
      <c r="L224" s="117">
        <f t="shared" si="25"/>
        <v>1.5</v>
      </c>
      <c r="M224" s="117">
        <f t="shared" si="25"/>
        <v>1.5</v>
      </c>
      <c r="N224" s="117">
        <f t="shared" si="25"/>
        <v>1.5</v>
      </c>
      <c r="O224" s="117">
        <f t="shared" si="25"/>
        <v>1.5</v>
      </c>
      <c r="P224" s="117">
        <f t="shared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6">SUM(B222:B227)</f>
        <v>0</v>
      </c>
      <c r="C228" s="125">
        <f t="shared" si="26"/>
        <v>3.54</v>
      </c>
      <c r="D228" s="125">
        <f t="shared" si="26"/>
        <v>3.54</v>
      </c>
      <c r="E228" s="125">
        <f t="shared" si="26"/>
        <v>3.54</v>
      </c>
      <c r="F228" s="125">
        <f t="shared" si="26"/>
        <v>3.54</v>
      </c>
      <c r="G228" s="125">
        <f t="shared" si="26"/>
        <v>3.54</v>
      </c>
      <c r="H228" s="125">
        <f t="shared" si="26"/>
        <v>3.54</v>
      </c>
      <c r="I228" s="125">
        <f t="shared" si="26"/>
        <v>3.54</v>
      </c>
      <c r="J228" s="125">
        <f t="shared" si="26"/>
        <v>3.54</v>
      </c>
      <c r="K228" s="125">
        <f t="shared" si="26"/>
        <v>3.54</v>
      </c>
      <c r="L228" s="125">
        <f t="shared" si="26"/>
        <v>3.54</v>
      </c>
      <c r="M228" s="125">
        <f t="shared" si="26"/>
        <v>3.54</v>
      </c>
      <c r="N228" s="125">
        <f t="shared" si="26"/>
        <v>3.54</v>
      </c>
      <c r="O228" s="125">
        <f t="shared" si="26"/>
        <v>3.54</v>
      </c>
      <c r="P228" s="125">
        <f t="shared" si="26"/>
        <v>3.54</v>
      </c>
      <c r="Q228" s="125">
        <f t="shared" si="26"/>
        <v>0</v>
      </c>
      <c r="R228" s="125">
        <f t="shared" si="26"/>
        <v>0</v>
      </c>
      <c r="S228" s="125">
        <f t="shared" si="26"/>
        <v>0</v>
      </c>
      <c r="T228" s="125">
        <f t="shared" si="26"/>
        <v>0</v>
      </c>
      <c r="U228" s="125">
        <f t="shared" si="26"/>
        <v>0</v>
      </c>
      <c r="V228" s="125">
        <f t="shared" si="26"/>
        <v>0</v>
      </c>
      <c r="W228" s="125">
        <f t="shared" si="26"/>
        <v>0</v>
      </c>
      <c r="X228" s="125">
        <f t="shared" si="26"/>
        <v>0</v>
      </c>
      <c r="Y228" s="125">
        <f t="shared" si="26"/>
        <v>0</v>
      </c>
      <c r="Z228" s="125">
        <f t="shared" si="26"/>
        <v>0</v>
      </c>
      <c r="AA228" s="125">
        <f t="shared" si="26"/>
        <v>0</v>
      </c>
      <c r="AB228" s="125">
        <f t="shared" si="26"/>
        <v>0</v>
      </c>
      <c r="AC228" s="125">
        <f t="shared" si="26"/>
        <v>0</v>
      </c>
      <c r="AD228" s="125">
        <f t="shared" si="26"/>
        <v>0</v>
      </c>
      <c r="AE228" s="125">
        <f t="shared" si="26"/>
        <v>0</v>
      </c>
      <c r="AF228" s="125">
        <f t="shared" si="26"/>
        <v>0</v>
      </c>
      <c r="AG228" s="134">
        <f t="shared" si="26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1528.34</v>
      </c>
      <c r="C237" s="150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2079/08/25)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27">B85</f>
        <v>930.24</v>
      </c>
      <c r="U242" s="159">
        <f t="shared" si="27"/>
        <v>883.54</v>
      </c>
      <c r="V242" s="159">
        <f t="shared" si="27"/>
        <v>871.54</v>
      </c>
      <c r="W242" s="159">
        <f t="shared" si="27"/>
        <v>881.34</v>
      </c>
      <c r="X242" s="159">
        <f t="shared" si="27"/>
        <v>884.24</v>
      </c>
      <c r="Y242" s="159">
        <f t="shared" si="27"/>
        <v>960.6400000000001</v>
      </c>
      <c r="Z242" s="159">
        <f t="shared" si="27"/>
        <v>1018.64</v>
      </c>
      <c r="AA242" s="159">
        <f t="shared" si="27"/>
        <v>1129.24</v>
      </c>
      <c r="AB242" s="159">
        <f t="shared" si="27"/>
        <v>1191.24</v>
      </c>
      <c r="AC242" s="159">
        <f t="shared" si="27"/>
        <v>1411.1399999999999</v>
      </c>
      <c r="AD242" s="159">
        <f t="shared" si="27"/>
        <v>1471.1399999999999</v>
      </c>
      <c r="AE242" s="159">
        <f t="shared" si="27"/>
        <v>1508.5399999999997</v>
      </c>
      <c r="AF242" s="159">
        <f t="shared" si="27"/>
        <v>1528.34</v>
      </c>
      <c r="AG242" s="159">
        <f t="shared" si="27"/>
        <v>1553.8400000000001</v>
      </c>
      <c r="AH242" s="159">
        <f t="shared" si="27"/>
        <v>1278.04</v>
      </c>
      <c r="AI242" s="159">
        <f t="shared" si="27"/>
        <v>1220.54</v>
      </c>
      <c r="AJ242" s="159">
        <f t="shared" si="27"/>
        <v>1185.3400000000001</v>
      </c>
      <c r="AK242" s="159">
        <f t="shared" si="27"/>
        <v>1186.9399999999998</v>
      </c>
      <c r="AL242" s="159">
        <f t="shared" si="27"/>
        <v>1325.84</v>
      </c>
      <c r="AM242" s="159">
        <f t="shared" si="27"/>
        <v>1478.94</v>
      </c>
      <c r="AN242" s="159">
        <f t="shared" si="27"/>
        <v>1289.0400000000002</v>
      </c>
      <c r="AO242" s="159">
        <f t="shared" si="27"/>
        <v>1713.9399999999998</v>
      </c>
      <c r="AP242" s="159">
        <f t="shared" si="27"/>
        <v>1651.84</v>
      </c>
      <c r="AQ242" s="159">
        <f t="shared" si="27"/>
        <v>1585.74</v>
      </c>
      <c r="AR242" s="159">
        <f t="shared" si="27"/>
        <v>1501.8400000000001</v>
      </c>
      <c r="AS242" s="159">
        <f t="shared" si="27"/>
        <v>1453.64</v>
      </c>
      <c r="AT242" s="159">
        <f t="shared" si="27"/>
        <v>1413.14</v>
      </c>
      <c r="AU242" s="159">
        <f t="shared" si="27"/>
        <v>1362.8400000000001</v>
      </c>
      <c r="AV242" s="159">
        <f t="shared" si="27"/>
        <v>1277.1400000000001</v>
      </c>
      <c r="AW242" s="159">
        <f t="shared" si="27"/>
        <v>988.04000000000019</v>
      </c>
      <c r="AX242" s="159">
        <f t="shared" si="27"/>
        <v>1097.44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28">C227</f>
        <v>0.64</v>
      </c>
      <c r="C263" s="162">
        <f t="shared" si="28"/>
        <v>0.64</v>
      </c>
      <c r="D263" s="162">
        <f t="shared" si="28"/>
        <v>0.64</v>
      </c>
      <c r="E263" s="162">
        <f t="shared" si="28"/>
        <v>0.64</v>
      </c>
      <c r="F263" s="162">
        <f t="shared" si="28"/>
        <v>0.64</v>
      </c>
      <c r="G263" s="162">
        <f t="shared" si="28"/>
        <v>0.64</v>
      </c>
      <c r="H263" s="162">
        <f t="shared" si="28"/>
        <v>0.64</v>
      </c>
      <c r="I263" s="162">
        <f t="shared" si="28"/>
        <v>0.64</v>
      </c>
      <c r="J263" s="162">
        <f t="shared" si="28"/>
        <v>0.64</v>
      </c>
      <c r="K263" s="162">
        <f t="shared" si="28"/>
        <v>0.64</v>
      </c>
      <c r="L263" s="162">
        <f t="shared" si="28"/>
        <v>0.64</v>
      </c>
      <c r="M263" s="162">
        <f t="shared" si="28"/>
        <v>0.64</v>
      </c>
      <c r="N263" s="162">
        <f t="shared" si="28"/>
        <v>0.64</v>
      </c>
      <c r="O263" s="162">
        <f t="shared" si="28"/>
        <v>0.64</v>
      </c>
      <c r="P263" s="162">
        <f t="shared" si="28"/>
        <v>0</v>
      </c>
      <c r="Q263" s="162">
        <f t="shared" si="28"/>
        <v>0</v>
      </c>
      <c r="R263" s="162">
        <f t="shared" si="28"/>
        <v>0</v>
      </c>
      <c r="S263" s="162">
        <f t="shared" si="28"/>
        <v>0</v>
      </c>
      <c r="T263" s="162">
        <f t="shared" si="28"/>
        <v>0</v>
      </c>
      <c r="U263" s="162">
        <f t="shared" si="28"/>
        <v>0</v>
      </c>
      <c r="V263" s="162">
        <f t="shared" si="28"/>
        <v>0</v>
      </c>
      <c r="W263" s="162">
        <f t="shared" si="28"/>
        <v>0</v>
      </c>
      <c r="X263" s="162">
        <f t="shared" si="28"/>
        <v>0</v>
      </c>
      <c r="Y263" s="162">
        <f t="shared" si="28"/>
        <v>0</v>
      </c>
      <c r="Z263" s="162">
        <f t="shared" si="28"/>
        <v>0</v>
      </c>
      <c r="AA263" s="162">
        <f t="shared" si="28"/>
        <v>0</v>
      </c>
      <c r="AB263" s="162">
        <f t="shared" si="28"/>
        <v>0</v>
      </c>
      <c r="AC263" s="162">
        <f t="shared" si="28"/>
        <v>0</v>
      </c>
      <c r="AD263" s="162">
        <f t="shared" si="28"/>
        <v>0</v>
      </c>
      <c r="AE263" s="162">
        <f t="shared" si="28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9">IF(B231&lt;100,"",B231-520)</f>
        <v/>
      </c>
      <c r="C264" s="163" t="str">
        <f t="shared" si="29"/>
        <v/>
      </c>
      <c r="D264" s="163" t="str">
        <f t="shared" si="29"/>
        <v/>
      </c>
      <c r="E264" s="163" t="str">
        <f t="shared" si="29"/>
        <v/>
      </c>
      <c r="F264" s="163" t="str">
        <f t="shared" si="29"/>
        <v/>
      </c>
      <c r="G264" s="163" t="str">
        <f t="shared" si="29"/>
        <v/>
      </c>
      <c r="H264" s="163" t="str">
        <f t="shared" si="29"/>
        <v/>
      </c>
      <c r="I264" s="163" t="str">
        <f t="shared" si="29"/>
        <v/>
      </c>
      <c r="J264" s="163" t="str">
        <f t="shared" si="29"/>
        <v/>
      </c>
      <c r="K264" s="163" t="str">
        <f t="shared" si="29"/>
        <v/>
      </c>
      <c r="L264" s="163" t="str">
        <f t="shared" si="29"/>
        <v/>
      </c>
      <c r="M264" s="163" t="str">
        <f t="shared" si="29"/>
        <v/>
      </c>
      <c r="N264" s="163" t="str">
        <f t="shared" si="29"/>
        <v/>
      </c>
      <c r="O264" s="163" t="str">
        <f t="shared" si="29"/>
        <v/>
      </c>
      <c r="P264" s="163" t="str">
        <f t="shared" si="29"/>
        <v/>
      </c>
      <c r="Q264" s="163" t="str">
        <f t="shared" si="29"/>
        <v/>
      </c>
      <c r="R264" s="163" t="str">
        <f t="shared" si="29"/>
        <v/>
      </c>
      <c r="S264" s="163" t="str">
        <f t="shared" si="29"/>
        <v/>
      </c>
      <c r="T264" s="163" t="str">
        <f t="shared" si="29"/>
        <v/>
      </c>
      <c r="U264" s="163" t="str">
        <f t="shared" si="29"/>
        <v/>
      </c>
      <c r="V264" s="163" t="str">
        <f t="shared" si="29"/>
        <v/>
      </c>
      <c r="W264" s="163" t="str">
        <f t="shared" si="29"/>
        <v/>
      </c>
      <c r="X264" s="163" t="str">
        <f t="shared" si="29"/>
        <v/>
      </c>
      <c r="Y264" s="163" t="str">
        <f t="shared" si="29"/>
        <v/>
      </c>
      <c r="Z264" s="163" t="str">
        <f t="shared" si="29"/>
        <v/>
      </c>
      <c r="AA264" s="163" t="str">
        <f t="shared" si="29"/>
        <v/>
      </c>
      <c r="AB264" s="163" t="str">
        <f t="shared" si="29"/>
        <v/>
      </c>
      <c r="AC264" s="163" t="str">
        <f t="shared" si="29"/>
        <v/>
      </c>
      <c r="AD264" s="163" t="str">
        <f t="shared" si="29"/>
        <v/>
      </c>
      <c r="AE264" s="163" t="str">
        <f t="shared" si="29"/>
        <v/>
      </c>
      <c r="AF264" s="163" t="str">
        <f t="shared" si="29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0">IF(B232&lt;100,"",B232-620)</f>
        <v/>
      </c>
      <c r="C265" s="163" t="str">
        <f t="shared" si="30"/>
        <v/>
      </c>
      <c r="D265" s="163" t="str">
        <f t="shared" si="30"/>
        <v/>
      </c>
      <c r="E265" s="163" t="str">
        <f t="shared" si="30"/>
        <v/>
      </c>
      <c r="F265" s="163" t="str">
        <f t="shared" si="30"/>
        <v/>
      </c>
      <c r="G265" s="163" t="str">
        <f t="shared" si="30"/>
        <v/>
      </c>
      <c r="H265" s="163" t="str">
        <f t="shared" si="30"/>
        <v/>
      </c>
      <c r="I265" s="163" t="str">
        <f t="shared" si="30"/>
        <v/>
      </c>
      <c r="J265" s="163" t="str">
        <f t="shared" si="30"/>
        <v/>
      </c>
      <c r="K265" s="163" t="str">
        <f t="shared" si="30"/>
        <v/>
      </c>
      <c r="L265" s="163" t="str">
        <f t="shared" si="30"/>
        <v/>
      </c>
      <c r="M265" s="163" t="str">
        <f t="shared" si="30"/>
        <v/>
      </c>
      <c r="N265" s="163" t="str">
        <f t="shared" si="30"/>
        <v/>
      </c>
      <c r="O265" s="163" t="str">
        <f t="shared" si="30"/>
        <v/>
      </c>
      <c r="P265" s="163" t="str">
        <f t="shared" si="30"/>
        <v/>
      </c>
      <c r="Q265" s="163" t="str">
        <f t="shared" si="30"/>
        <v/>
      </c>
      <c r="R265" s="163" t="str">
        <f t="shared" si="30"/>
        <v/>
      </c>
      <c r="S265" s="163" t="str">
        <f t="shared" si="30"/>
        <v/>
      </c>
      <c r="T265" s="163" t="str">
        <f t="shared" si="30"/>
        <v/>
      </c>
      <c r="U265" s="163" t="str">
        <f t="shared" si="30"/>
        <v/>
      </c>
      <c r="V265" s="163" t="str">
        <f t="shared" si="30"/>
        <v/>
      </c>
      <c r="W265" s="163" t="str">
        <f t="shared" si="30"/>
        <v/>
      </c>
      <c r="X265" s="163" t="str">
        <f t="shared" si="30"/>
        <v/>
      </c>
      <c r="Y265" s="163" t="str">
        <f t="shared" si="30"/>
        <v/>
      </c>
      <c r="Z265" s="163" t="str">
        <f t="shared" si="30"/>
        <v/>
      </c>
      <c r="AA265" s="163" t="str">
        <f t="shared" si="30"/>
        <v/>
      </c>
      <c r="AB265" s="163" t="str">
        <f t="shared" si="30"/>
        <v/>
      </c>
      <c r="AC265" s="163" t="str">
        <f t="shared" si="30"/>
        <v/>
      </c>
      <c r="AD265" s="163" t="str">
        <f t="shared" si="30"/>
        <v/>
      </c>
      <c r="AE265" s="163" t="str">
        <f t="shared" si="30"/>
        <v/>
      </c>
      <c r="AF265" s="163" t="str">
        <f t="shared" si="30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1">IF(B233&lt;100,"",B233-330)</f>
        <v/>
      </c>
      <c r="C266" s="163" t="str">
        <f t="shared" si="31"/>
        <v/>
      </c>
      <c r="D266" s="163" t="str">
        <f t="shared" si="31"/>
        <v/>
      </c>
      <c r="E266" s="163" t="str">
        <f t="shared" si="31"/>
        <v/>
      </c>
      <c r="F266" s="163" t="str">
        <f t="shared" si="31"/>
        <v/>
      </c>
      <c r="G266" s="163" t="str">
        <f t="shared" si="31"/>
        <v/>
      </c>
      <c r="H266" s="163" t="str">
        <f t="shared" si="31"/>
        <v/>
      </c>
      <c r="I266" s="163" t="str">
        <f t="shared" si="31"/>
        <v/>
      </c>
      <c r="J266" s="163" t="str">
        <f t="shared" si="31"/>
        <v/>
      </c>
      <c r="K266" s="163" t="str">
        <f t="shared" si="31"/>
        <v/>
      </c>
      <c r="L266" s="163" t="str">
        <f t="shared" si="31"/>
        <v/>
      </c>
      <c r="M266" s="163" t="str">
        <f t="shared" si="31"/>
        <v/>
      </c>
      <c r="N266" s="163" t="str">
        <f t="shared" si="31"/>
        <v/>
      </c>
      <c r="O266" s="163" t="str">
        <f t="shared" si="31"/>
        <v/>
      </c>
      <c r="P266" s="163" t="str">
        <f t="shared" si="31"/>
        <v/>
      </c>
      <c r="Q266" s="163" t="str">
        <f t="shared" si="31"/>
        <v/>
      </c>
      <c r="R266" s="163" t="str">
        <f t="shared" si="31"/>
        <v/>
      </c>
      <c r="S266" s="163" t="str">
        <f t="shared" si="31"/>
        <v/>
      </c>
      <c r="T266" s="163" t="str">
        <f t="shared" si="31"/>
        <v/>
      </c>
      <c r="U266" s="163" t="str">
        <f t="shared" si="31"/>
        <v/>
      </c>
      <c r="V266" s="163" t="str">
        <f t="shared" si="31"/>
        <v/>
      </c>
      <c r="W266" s="163" t="str">
        <f t="shared" si="31"/>
        <v/>
      </c>
      <c r="X266" s="163" t="str">
        <f t="shared" si="31"/>
        <v/>
      </c>
      <c r="Y266" s="163" t="str">
        <f t="shared" si="31"/>
        <v/>
      </c>
      <c r="Z266" s="163" t="str">
        <f t="shared" si="31"/>
        <v/>
      </c>
      <c r="AA266" s="163" t="str">
        <f t="shared" si="31"/>
        <v/>
      </c>
      <c r="AB266" s="163" t="str">
        <f t="shared" si="31"/>
        <v/>
      </c>
      <c r="AC266" s="163" t="str">
        <f t="shared" si="31"/>
        <v/>
      </c>
      <c r="AD266" s="163" t="str">
        <f t="shared" si="31"/>
        <v/>
      </c>
      <c r="AE266" s="163" t="str">
        <f t="shared" si="31"/>
        <v/>
      </c>
      <c r="AF266" s="163" t="str">
        <f t="shared" si="31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2">IF(B234&lt;100,"",B234-1500)</f>
        <v/>
      </c>
      <c r="C267" s="163" t="str">
        <f t="shared" si="32"/>
        <v/>
      </c>
      <c r="D267" s="163" t="str">
        <f t="shared" si="32"/>
        <v/>
      </c>
      <c r="E267" s="163" t="str">
        <f t="shared" si="32"/>
        <v/>
      </c>
      <c r="F267" s="163" t="str">
        <f t="shared" si="32"/>
        <v/>
      </c>
      <c r="G267" s="163" t="str">
        <f t="shared" si="32"/>
        <v/>
      </c>
      <c r="H267" s="163" t="str">
        <f t="shared" si="32"/>
        <v/>
      </c>
      <c r="I267" s="163" t="str">
        <f t="shared" si="32"/>
        <v/>
      </c>
      <c r="J267" s="163" t="str">
        <f t="shared" si="32"/>
        <v/>
      </c>
      <c r="K267" s="163" t="str">
        <f t="shared" si="32"/>
        <v/>
      </c>
      <c r="L267" s="163" t="str">
        <f t="shared" si="32"/>
        <v/>
      </c>
      <c r="M267" s="163" t="str">
        <f t="shared" si="32"/>
        <v/>
      </c>
      <c r="N267" s="163" t="str">
        <f t="shared" si="32"/>
        <v/>
      </c>
      <c r="O267" s="163" t="str">
        <f t="shared" si="32"/>
        <v/>
      </c>
      <c r="P267" s="163" t="str">
        <f t="shared" si="32"/>
        <v/>
      </c>
      <c r="Q267" s="163" t="str">
        <f t="shared" si="32"/>
        <v/>
      </c>
      <c r="R267" s="163" t="str">
        <f t="shared" si="32"/>
        <v/>
      </c>
      <c r="S267" s="163" t="str">
        <f t="shared" si="32"/>
        <v/>
      </c>
      <c r="T267" s="163" t="str">
        <f t="shared" si="32"/>
        <v/>
      </c>
      <c r="U267" s="163" t="str">
        <f t="shared" si="32"/>
        <v/>
      </c>
      <c r="V267" s="163" t="str">
        <f t="shared" si="32"/>
        <v/>
      </c>
      <c r="W267" s="163" t="str">
        <f t="shared" si="32"/>
        <v/>
      </c>
      <c r="X267" s="163" t="str">
        <f t="shared" si="32"/>
        <v/>
      </c>
      <c r="Y267" s="163" t="str">
        <f t="shared" si="32"/>
        <v/>
      </c>
      <c r="Z267" s="163" t="str">
        <f t="shared" si="32"/>
        <v/>
      </c>
      <c r="AA267" s="163" t="str">
        <f t="shared" si="32"/>
        <v/>
      </c>
      <c r="AB267" s="163" t="str">
        <f t="shared" si="32"/>
        <v/>
      </c>
      <c r="AC267" s="163" t="str">
        <f t="shared" si="32"/>
        <v/>
      </c>
      <c r="AD267" s="163" t="str">
        <f t="shared" si="32"/>
        <v/>
      </c>
      <c r="AE267" s="163" t="str">
        <f t="shared" si="32"/>
        <v/>
      </c>
      <c r="AF267" s="163" t="str">
        <f t="shared" si="3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D105:AF105 D107:AF112 B22:AF26 X11:AF11 B15:AF15 B17:AF18">
    <cfRule type="expression" dxfId="2951" priority="239">
      <formula>B$9&gt;=20/24</formula>
    </cfRule>
    <cfRule type="expression" dxfId="2950" priority="240">
      <formula>AND(B$9&gt;=14/24,B$9&lt;20/24)</formula>
    </cfRule>
    <cfRule type="expression" dxfId="2949" priority="241">
      <formula>AND(B$9&gt;=8/24,B$9&lt;14/24)</formula>
    </cfRule>
    <cfRule type="expression" dxfId="2948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2947" priority="234">
      <formula>S$9&gt;=20/24</formula>
    </cfRule>
    <cfRule type="expression" dxfId="2946" priority="235">
      <formula>AND(S$9&gt;=14/24,S$9&lt;20/24)</formula>
    </cfRule>
    <cfRule type="expression" dxfId="2945" priority="236">
      <formula>AND(S$9&gt;=8/24,S$9&lt;14/24)</formula>
    </cfRule>
    <cfRule type="expression" dxfId="2944" priority="237">
      <formula>S$9&lt;8/24</formula>
    </cfRule>
  </conditionalFormatting>
  <conditionalFormatting sqref="AG61 B12:R18 S43:AF43 B20:AF20 B22:AF26 B41:AF41 S11:AF18">
    <cfRule type="expression" dxfId="2943" priority="233">
      <formula>B11&gt;$AG11</formula>
    </cfRule>
  </conditionalFormatting>
  <conditionalFormatting sqref="A95:A105 A55:A82 A91:A93 A198:A228 A42:A53 A114:A185 A38:A39 A87:A89 A84:A85 A107:A109 A35:A36 A17:A18 A11:A15 A20:A33">
    <cfRule type="expression" dxfId="2942" priority="232">
      <formula>$AH11=0</formula>
    </cfRule>
  </conditionalFormatting>
  <conditionalFormatting sqref="A110">
    <cfRule type="expression" dxfId="2941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940" priority="229">
      <formula>$AH41=0</formula>
    </cfRule>
  </conditionalFormatting>
  <conditionalFormatting sqref="A94">
    <cfRule type="expression" dxfId="2939" priority="228">
      <formula>$AH94=0</formula>
    </cfRule>
  </conditionalFormatting>
  <conditionalFormatting sqref="A16">
    <cfRule type="expression" dxfId="2938" priority="227">
      <formula>$AH16=0</formula>
    </cfRule>
  </conditionalFormatting>
  <conditionalFormatting sqref="A192:A197">
    <cfRule type="expression" dxfId="2937" priority="226">
      <formula>$AH192=0</formula>
    </cfRule>
  </conditionalFormatting>
  <conditionalFormatting sqref="A186:A191">
    <cfRule type="expression" dxfId="2936" priority="225">
      <formula>$AH186=0</formula>
    </cfRule>
  </conditionalFormatting>
  <conditionalFormatting sqref="A54">
    <cfRule type="expression" dxfId="2935" priority="224">
      <formula>$AH54=0</formula>
    </cfRule>
  </conditionalFormatting>
  <conditionalFormatting sqref="A90">
    <cfRule type="expression" dxfId="2934" priority="223">
      <formula>$AH90=0</formula>
    </cfRule>
  </conditionalFormatting>
  <conditionalFormatting sqref="D95:AF95">
    <cfRule type="expression" dxfId="2933" priority="219">
      <formula>D$9&gt;=20/24</formula>
    </cfRule>
    <cfRule type="expression" dxfId="2932" priority="220">
      <formula>AND(D$9&gt;=14/24,D$9&lt;20/24)</formula>
    </cfRule>
    <cfRule type="expression" dxfId="2931" priority="221">
      <formula>AND(D$9&gt;=8/24,D$9&lt;14/24)</formula>
    </cfRule>
    <cfRule type="expression" dxfId="2930" priority="222">
      <formula>D$9&lt;8/24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929" priority="245">
      <formula>C$9&gt;=20/24</formula>
    </cfRule>
    <cfRule type="expression" dxfId="2928" priority="246">
      <formula>AND(C$9&gt;=14/24,C$9&lt;20/24)</formula>
    </cfRule>
    <cfRule type="expression" dxfId="2927" priority="247">
      <formula>AND(C$9&gt;=8/24,C$9&lt;14/24)</formula>
    </cfRule>
    <cfRule type="expression" dxfId="2926" priority="248">
      <formula>C$9&lt;8/24</formula>
    </cfRule>
  </conditionalFormatting>
  <conditionalFormatting sqref="A229">
    <cfRule type="expression" dxfId="2925" priority="249">
      <formula>$AH229=0</formula>
    </cfRule>
  </conditionalFormatting>
  <conditionalFormatting sqref="AG241">
    <cfRule type="expression" dxfId="2924" priority="250">
      <formula>B$9&gt;=20/24</formula>
    </cfRule>
    <cfRule type="expression" dxfId="2923" priority="251">
      <formula>AND(B$9&gt;=14/24,B$9&lt;20/24)</formula>
    </cfRule>
    <cfRule type="expression" dxfId="2922" priority="252">
      <formula>AND(B$9&gt;=8/24,B$9&lt;14/24)</formula>
    </cfRule>
    <cfRule type="expression" dxfId="2921" priority="253">
      <formula>B$9&lt;8/24</formula>
    </cfRule>
  </conditionalFormatting>
  <conditionalFormatting sqref="S8">
    <cfRule type="expression" dxfId="2920" priority="214">
      <formula>U$9&gt;=20/24</formula>
    </cfRule>
    <cfRule type="expression" dxfId="2919" priority="215">
      <formula>AND(U$9&gt;=14/24,U$9&lt;20/24)</formula>
    </cfRule>
    <cfRule type="expression" dxfId="2918" priority="216">
      <formula>AND(U$9&gt;=8/24,U$9&lt;14/24)</formula>
    </cfRule>
    <cfRule type="expression" dxfId="2917" priority="217">
      <formula>U$9&lt;8/24</formula>
    </cfRule>
  </conditionalFormatting>
  <conditionalFormatting sqref="AB8">
    <cfRule type="expression" dxfId="2916" priority="210">
      <formula>AD$9&gt;=20/24</formula>
    </cfRule>
    <cfRule type="expression" dxfId="2915" priority="211">
      <formula>AND(AD$9&gt;=14/24,AD$9&lt;20/24)</formula>
    </cfRule>
    <cfRule type="expression" dxfId="2914" priority="212">
      <formula>AND(AD$9&gt;=8/24,AD$9&lt;14/24)</formula>
    </cfRule>
    <cfRule type="expression" dxfId="2913" priority="213">
      <formula>AD$9&lt;8/24</formula>
    </cfRule>
  </conditionalFormatting>
  <conditionalFormatting sqref="AH241:AX241">
    <cfRule type="expression" dxfId="2912" priority="254">
      <formula>AG$9&gt;=20/24</formula>
    </cfRule>
    <cfRule type="expression" dxfId="2911" priority="255">
      <formula>AND(AG$9&gt;=14/24,AG$9&lt;20/24)</formula>
    </cfRule>
    <cfRule type="expression" dxfId="2910" priority="256">
      <formula>AND(AG$9&gt;=8/24,AG$9&lt;14/24)</formula>
    </cfRule>
    <cfRule type="expression" dxfId="2909" priority="257">
      <formula>AG$9&lt;8/24</formula>
    </cfRule>
  </conditionalFormatting>
  <conditionalFormatting sqref="T241">
    <cfRule type="expression" dxfId="2908" priority="258">
      <formula>AX$9&gt;=20/24</formula>
    </cfRule>
    <cfRule type="expression" dxfId="2907" priority="259">
      <formula>AND(AX$9&gt;=14/24,AX$9&lt;20/24)</formula>
    </cfRule>
    <cfRule type="expression" dxfId="2906" priority="260">
      <formula>AND(AX$9&gt;=8/24,AX$9&lt;14/24)</formula>
    </cfRule>
    <cfRule type="expression" dxfId="2905" priority="261">
      <formula>AX$9&lt;8/24</formula>
    </cfRule>
  </conditionalFormatting>
  <conditionalFormatting sqref="A111:A112">
    <cfRule type="expression" dxfId="2904" priority="209">
      <formula>$AH111=0</formula>
    </cfRule>
  </conditionalFormatting>
  <conditionalFormatting sqref="AC50:AF51 M67:AF67 M50:M53 G50:L51">
    <cfRule type="expression" dxfId="2903" priority="205">
      <formula>G$9&gt;=20/24</formula>
    </cfRule>
    <cfRule type="expression" dxfId="2902" priority="206">
      <formula>AND(G$9&gt;=14/24,G$9&lt;20/24)</formula>
    </cfRule>
    <cfRule type="expression" dxfId="2901" priority="207">
      <formula>AND(G$9&gt;=8/24,G$9&lt;14/24)</formula>
    </cfRule>
    <cfRule type="expression" dxfId="2900" priority="208">
      <formula>G$9&lt;8/24</formula>
    </cfRule>
  </conditionalFormatting>
  <conditionalFormatting sqref="E49:L49 Y49:AF49">
    <cfRule type="expression" dxfId="2899" priority="201">
      <formula>E$9&gt;=20/24</formula>
    </cfRule>
    <cfRule type="expression" dxfId="2898" priority="202">
      <formula>AND(E$9&gt;=14/24,E$9&lt;20/24)</formula>
    </cfRule>
    <cfRule type="expression" dxfId="2897" priority="203">
      <formula>AND(E$9&gt;=8/24,E$9&lt;14/24)</formula>
    </cfRule>
    <cfRule type="expression" dxfId="2896" priority="204">
      <formula>E$9&lt;8/24</formula>
    </cfRule>
  </conditionalFormatting>
  <conditionalFormatting sqref="G50:G51 E49:G49 M50:M53 H49:L51 AC49:AF51 Y49:AB49">
    <cfRule type="expression" dxfId="2895" priority="200">
      <formula>E49&gt;$AG49</formula>
    </cfRule>
  </conditionalFormatting>
  <conditionalFormatting sqref="C92:AF92 M68:S69 M43:R43 D96:AF102 S11:W14 C79:AF82 X28:AF31 X33:AF33 X35:AF38 S20:AF20 X12:AF14 S63:AF65 T68:AF77">
    <cfRule type="expression" dxfId="2894" priority="196">
      <formula>C$9&gt;=20/24</formula>
    </cfRule>
    <cfRule type="expression" dxfId="2893" priority="197">
      <formula>AND(C$9&gt;=14/24,C$9&lt;20/24)</formula>
    </cfRule>
    <cfRule type="expression" dxfId="2892" priority="198">
      <formula>AND(C$9&gt;=8/24,C$9&lt;14/24)</formula>
    </cfRule>
    <cfRule type="expression" dxfId="2891" priority="199">
      <formula>C$9&lt;8/24</formula>
    </cfRule>
  </conditionalFormatting>
  <conditionalFormatting sqref="X39:AF39">
    <cfRule type="expression" dxfId="2890" priority="192">
      <formula>X$9&gt;=20/24</formula>
    </cfRule>
    <cfRule type="expression" dxfId="2889" priority="193">
      <formula>AND(X$9&gt;=14/24,X$9&lt;20/24)</formula>
    </cfRule>
    <cfRule type="expression" dxfId="2888" priority="194">
      <formula>AND(X$9&gt;=8/24,X$9&lt;14/24)</formula>
    </cfRule>
    <cfRule type="expression" dxfId="2887" priority="195">
      <formula>X$9&lt;8/24</formula>
    </cfRule>
  </conditionalFormatting>
  <conditionalFormatting sqref="C61:AF61 G52:L52 M43:R43 S11:W11 X28:AF33 X35:AF39 AC52:AF53 S63:AF65">
    <cfRule type="expression" dxfId="2886" priority="191">
      <formula>C11&gt;$AG11</formula>
    </cfRule>
  </conditionalFormatting>
  <conditionalFormatting sqref="X41:AF41">
    <cfRule type="expression" dxfId="2885" priority="187">
      <formula>X$9&gt;=20/24</formula>
    </cfRule>
    <cfRule type="expression" dxfId="2884" priority="188">
      <formula>AND(X$9&gt;=14/24,X$9&lt;20/24)</formula>
    </cfRule>
    <cfRule type="expression" dxfId="2883" priority="189">
      <formula>AND(X$9&gt;=8/24,X$9&lt;14/24)</formula>
    </cfRule>
    <cfRule type="expression" dxfId="2882" priority="190">
      <formula>X$9&lt;8/24</formula>
    </cfRule>
  </conditionalFormatting>
  <conditionalFormatting sqref="S16:AF16">
    <cfRule type="expression" dxfId="2881" priority="183">
      <formula>S$9&gt;=20/24</formula>
    </cfRule>
    <cfRule type="expression" dxfId="2880" priority="184">
      <formula>AND(S$9&gt;=14/24,S$9&lt;20/24)</formula>
    </cfRule>
    <cfRule type="expression" dxfId="2879" priority="185">
      <formula>AND(S$9&gt;=8/24,S$9&lt;14/24)</formula>
    </cfRule>
    <cfRule type="expression" dxfId="2878" priority="186">
      <formula>S$9&lt;8/24</formula>
    </cfRule>
  </conditionalFormatting>
  <conditionalFormatting sqref="X40:AF40">
    <cfRule type="expression" dxfId="2877" priority="179">
      <formula>X$9&gt;=20/24</formula>
    </cfRule>
    <cfRule type="expression" dxfId="2876" priority="180">
      <formula>AND(X$9&gt;=14/24,X$9&lt;20/24)</formula>
    </cfRule>
    <cfRule type="expression" dxfId="2875" priority="181">
      <formula>AND(X$9&gt;=8/24,X$9&lt;14/24)</formula>
    </cfRule>
    <cfRule type="expression" dxfId="2874" priority="182">
      <formula>X$9&lt;8/24</formula>
    </cfRule>
  </conditionalFormatting>
  <conditionalFormatting sqref="X40:AF40">
    <cfRule type="expression" dxfId="2873" priority="178">
      <formula>X40&gt;$AG40</formula>
    </cfRule>
  </conditionalFormatting>
  <conditionalFormatting sqref="AC54:AE54 X52:AB53 AD56:AD60 AC55:AD55 AE55:AE60 AF54:AF60">
    <cfRule type="expression" dxfId="2872" priority="174">
      <formula>X$9&gt;=20/24</formula>
    </cfRule>
    <cfRule type="expression" dxfId="2871" priority="175">
      <formula>AND(X$9&gt;=14/24,X$9&lt;20/24)</formula>
    </cfRule>
    <cfRule type="expression" dxfId="2870" priority="176">
      <formula>AND(X$9&gt;=8/24,X$9&lt;14/24)</formula>
    </cfRule>
    <cfRule type="expression" dxfId="2869" priority="177">
      <formula>X$9&lt;8/24</formula>
    </cfRule>
  </conditionalFormatting>
  <conditionalFormatting sqref="AC54:AE54 X52:AB53 AD56:AD60 AC55:AD55 AE55:AE60 AF54:AF60">
    <cfRule type="expression" dxfId="2868" priority="173">
      <formula>X52&gt;$AG52</formula>
    </cfRule>
  </conditionalFormatting>
  <conditionalFormatting sqref="M49:N49 N50:N53 O49:W53 X54:AB55">
    <cfRule type="expression" dxfId="2867" priority="169">
      <formula>M$9&gt;=20/24</formula>
    </cfRule>
    <cfRule type="expression" dxfId="2866" priority="170">
      <formula>AND(M$9&gt;=14/24,M$9&lt;20/24)</formula>
    </cfRule>
    <cfRule type="expression" dxfId="2865" priority="171">
      <formula>AND(M$9&gt;=8/24,M$9&lt;14/24)</formula>
    </cfRule>
    <cfRule type="expression" dxfId="2864" priority="172">
      <formula>M$9&lt;8/24</formula>
    </cfRule>
  </conditionalFormatting>
  <conditionalFormatting sqref="M49:N49 N50:N53 O49:W53 X54:AB55">
    <cfRule type="expression" dxfId="2863" priority="168">
      <formula>M49&gt;$AG49</formula>
    </cfRule>
  </conditionalFormatting>
  <conditionalFormatting sqref="X32:AF32">
    <cfRule type="expression" dxfId="2862" priority="164">
      <formula>X$9&gt;=20/24</formula>
    </cfRule>
    <cfRule type="expression" dxfId="2861" priority="165">
      <formula>AND(X$9&gt;=14/24,X$9&lt;20/24)</formula>
    </cfRule>
    <cfRule type="expression" dxfId="2860" priority="166">
      <formula>AND(X$9&gt;=8/24,X$9&lt;14/24)</formula>
    </cfRule>
    <cfRule type="expression" dxfId="2859" priority="167">
      <formula>X$9&lt;8/24</formula>
    </cfRule>
  </conditionalFormatting>
  <conditionalFormatting sqref="S35:W35 X21:AF21 X27:AF27">
    <cfRule type="expression" dxfId="2858" priority="160">
      <formula>S$9&gt;=20/24</formula>
    </cfRule>
    <cfRule type="expression" dxfId="2857" priority="161">
      <formula>AND(S$9&gt;=14/24,S$9&lt;20/24)</formula>
    </cfRule>
    <cfRule type="expression" dxfId="2856" priority="162">
      <formula>AND(S$9&gt;=8/24,S$9&lt;14/24)</formula>
    </cfRule>
    <cfRule type="expression" dxfId="2855" priority="163">
      <formula>S$9&lt;8/24</formula>
    </cfRule>
  </conditionalFormatting>
  <conditionalFormatting sqref="S35:W35 X21:AF21 X27:AF27">
    <cfRule type="expression" dxfId="2854" priority="159">
      <formula>S21&gt;$AG21</formula>
    </cfRule>
  </conditionalFormatting>
  <conditionalFormatting sqref="X50:AB51">
    <cfRule type="expression" dxfId="2853" priority="150">
      <formula>X$9&gt;=20/24</formula>
    </cfRule>
    <cfRule type="expression" dxfId="2852" priority="151">
      <formula>AND(X$9&gt;=14/24,X$9&lt;20/24)</formula>
    </cfRule>
    <cfRule type="expression" dxfId="2851" priority="152">
      <formula>AND(X$9&gt;=8/24,X$9&lt;14/24)</formula>
    </cfRule>
    <cfRule type="expression" dxfId="2850" priority="153">
      <formula>X$9&lt;8/24</formula>
    </cfRule>
  </conditionalFormatting>
  <conditionalFormatting sqref="X49">
    <cfRule type="expression" dxfId="2849" priority="146">
      <formula>X$9&gt;=20/24</formula>
    </cfRule>
    <cfRule type="expression" dxfId="2848" priority="147">
      <formula>AND(X$9&gt;=14/24,X$9&lt;20/24)</formula>
    </cfRule>
    <cfRule type="expression" dxfId="2847" priority="148">
      <formula>AND(X$9&gt;=8/24,X$9&lt;14/24)</formula>
    </cfRule>
    <cfRule type="expression" dxfId="2846" priority="149">
      <formula>X$9&lt;8/24</formula>
    </cfRule>
  </conditionalFormatting>
  <conditionalFormatting sqref="X49:X51 Y50:AB51">
    <cfRule type="expression" dxfId="2845" priority="145">
      <formula>X49&gt;$AG49</formula>
    </cfRule>
  </conditionalFormatting>
  <conditionalFormatting sqref="B84:AF84 B93:AF93 B105:C105 B107:C112 B11:R11">
    <cfRule type="expression" dxfId="2844" priority="141">
      <formula>B$9&gt;=20/24</formula>
    </cfRule>
    <cfRule type="expression" dxfId="2843" priority="142">
      <formula>AND(B$9&gt;=14/24,B$9&lt;20/24)</formula>
    </cfRule>
    <cfRule type="expression" dxfId="2842" priority="143">
      <formula>AND(B$9&gt;=8/24,B$9&lt;14/24)</formula>
    </cfRule>
    <cfRule type="expression" dxfId="2841" priority="144">
      <formula>B$9&lt;8/24</formula>
    </cfRule>
  </conditionalFormatting>
  <conditionalFormatting sqref="B43:L43">
    <cfRule type="expression" dxfId="2840" priority="137">
      <formula>B$9&gt;=20/24</formula>
    </cfRule>
    <cfRule type="expression" dxfId="2839" priority="138">
      <formula>AND(B$9&gt;=14/24,B$9&lt;20/24)</formula>
    </cfRule>
    <cfRule type="expression" dxfId="2838" priority="139">
      <formula>AND(B$9&gt;=8/24,B$9&lt;14/24)</formula>
    </cfRule>
    <cfRule type="expression" dxfId="2837" priority="140">
      <formula>B$9&lt;8/24</formula>
    </cfRule>
  </conditionalFormatting>
  <conditionalFormatting sqref="B43:L43 B11:R11">
    <cfRule type="expression" dxfId="2836" priority="136">
      <formula>B11&gt;$AG11</formula>
    </cfRule>
  </conditionalFormatting>
  <conditionalFormatting sqref="B95:C95">
    <cfRule type="expression" dxfId="2835" priority="132">
      <formula>B$9&gt;=20/24</formula>
    </cfRule>
    <cfRule type="expression" dxfId="2834" priority="133">
      <formula>AND(B$9&gt;=14/24,B$9&lt;20/24)</formula>
    </cfRule>
    <cfRule type="expression" dxfId="2833" priority="134">
      <formula>AND(B$9&gt;=8/24,B$9&lt;14/24)</formula>
    </cfRule>
    <cfRule type="expression" dxfId="2832" priority="135">
      <formula>B$9&lt;8/24</formula>
    </cfRule>
  </conditionalFormatting>
  <conditionalFormatting sqref="B50:F51 B67:L67 B42:AF42">
    <cfRule type="expression" dxfId="2831" priority="128">
      <formula>B$9&gt;=20/24</formula>
    </cfRule>
    <cfRule type="expression" dxfId="2830" priority="129">
      <formula>AND(B$9&gt;=14/24,B$9&lt;20/24)</formula>
    </cfRule>
    <cfRule type="expression" dxfId="2829" priority="130">
      <formula>AND(B$9&gt;=8/24,B$9&lt;14/24)</formula>
    </cfRule>
    <cfRule type="expression" dxfId="2828" priority="131">
      <formula>B$9&lt;8/24</formula>
    </cfRule>
  </conditionalFormatting>
  <conditionalFormatting sqref="B49:D49">
    <cfRule type="expression" dxfId="2827" priority="124">
      <formula>B$9&gt;=20/24</formula>
    </cfRule>
    <cfRule type="expression" dxfId="2826" priority="125">
      <formula>AND(B$9&gt;=14/24,B$9&lt;20/24)</formula>
    </cfRule>
    <cfRule type="expression" dxfId="2825" priority="126">
      <formula>AND(B$9&gt;=8/24,B$9&lt;14/24)</formula>
    </cfRule>
    <cfRule type="expression" dxfId="2824" priority="127">
      <formula>B$9&lt;8/24</formula>
    </cfRule>
  </conditionalFormatting>
  <conditionalFormatting sqref="B49:D51 E50:F51 B42:AF42">
    <cfRule type="expression" dxfId="2823" priority="123">
      <formula>B42&gt;$AG42</formula>
    </cfRule>
  </conditionalFormatting>
  <conditionalFormatting sqref="B63:B66 B79:B83 B85:AF85 B92 C66:AG66 C83:AG83 B94:AF94 B96:C102 B68:L77 M70:S77 C63:R65 B12:R14 B20:R20 B35:R38 S36:W38 B33:W33 B28:W31">
    <cfRule type="expression" dxfId="2822" priority="119">
      <formula>B$9&gt;=20/24</formula>
    </cfRule>
    <cfRule type="expression" dxfId="2821" priority="120">
      <formula>AND(B$9&gt;=14/24,B$9&lt;20/24)</formula>
    </cfRule>
    <cfRule type="expression" dxfId="2820" priority="121">
      <formula>AND(B$9&gt;=8/24,B$9&lt;14/24)</formula>
    </cfRule>
    <cfRule type="expression" dxfId="2819" priority="122">
      <formula>B$9&lt;8/24</formula>
    </cfRule>
  </conditionalFormatting>
  <conditionalFormatting sqref="B39:W39">
    <cfRule type="expression" dxfId="2818" priority="115">
      <formula>B$9&gt;=20/24</formula>
    </cfRule>
    <cfRule type="expression" dxfId="2817" priority="116">
      <formula>AND(B$9&gt;=14/24,B$9&lt;20/24)</formula>
    </cfRule>
    <cfRule type="expression" dxfId="2816" priority="117">
      <formula>AND(B$9&gt;=8/24,B$9&lt;14/24)</formula>
    </cfRule>
    <cfRule type="expression" dxfId="2815" priority="118">
      <formula>B$9&lt;8/24</formula>
    </cfRule>
  </conditionalFormatting>
  <conditionalFormatting sqref="B61:B66 B44:AG44 C62:AG62 C66:AG66 B52:F53 G53:L53 C63:R65 B35:R39 S36:W39 B28:W33">
    <cfRule type="expression" dxfId="2814" priority="114">
      <formula>B28&gt;$AG28</formula>
    </cfRule>
  </conditionalFormatting>
  <conditionalFormatting sqref="B41:W41">
    <cfRule type="expression" dxfId="2813" priority="110">
      <formula>B$9&gt;=20/24</formula>
    </cfRule>
    <cfRule type="expression" dxfId="2812" priority="111">
      <formula>AND(B$9&gt;=14/24,B$9&lt;20/24)</formula>
    </cfRule>
    <cfRule type="expression" dxfId="2811" priority="112">
      <formula>AND(B$9&gt;=8/24,B$9&lt;14/24)</formula>
    </cfRule>
    <cfRule type="expression" dxfId="2810" priority="113">
      <formula>B$9&lt;8/24</formula>
    </cfRule>
  </conditionalFormatting>
  <conditionalFormatting sqref="B16:R16">
    <cfRule type="expression" dxfId="2809" priority="106">
      <formula>B$9&gt;=20/24</formula>
    </cfRule>
    <cfRule type="expression" dxfId="2808" priority="107">
      <formula>AND(B$9&gt;=14/24,B$9&lt;20/24)</formula>
    </cfRule>
    <cfRule type="expression" dxfId="2807" priority="108">
      <formula>AND(B$9&gt;=8/24,B$9&lt;14/24)</formula>
    </cfRule>
    <cfRule type="expression" dxfId="2806" priority="109">
      <formula>B$9&lt;8/24</formula>
    </cfRule>
  </conditionalFormatting>
  <conditionalFormatting sqref="B40:W40">
    <cfRule type="expression" dxfId="2805" priority="102">
      <formula>B$9&gt;=20/24</formula>
    </cfRule>
    <cfRule type="expression" dxfId="2804" priority="103">
      <formula>AND(B$9&gt;=14/24,B$9&lt;20/24)</formula>
    </cfRule>
    <cfRule type="expression" dxfId="2803" priority="104">
      <formula>AND(B$9&gt;=8/24,B$9&lt;14/24)</formula>
    </cfRule>
    <cfRule type="expression" dxfId="2802" priority="105">
      <formula>B$9&lt;8/24</formula>
    </cfRule>
  </conditionalFormatting>
  <conditionalFormatting sqref="B40:W40">
    <cfRule type="expression" dxfId="2801" priority="101">
      <formula>B40&gt;$AG40</formula>
    </cfRule>
  </conditionalFormatting>
  <conditionalFormatting sqref="B54:W60">
    <cfRule type="expression" dxfId="2800" priority="97">
      <formula>B$9&gt;=20/24</formula>
    </cfRule>
    <cfRule type="expression" dxfId="2799" priority="98">
      <formula>AND(B$9&gt;=14/24,B$9&lt;20/24)</formula>
    </cfRule>
    <cfRule type="expression" dxfId="2798" priority="99">
      <formula>AND(B$9&gt;=8/24,B$9&lt;14/24)</formula>
    </cfRule>
    <cfRule type="expression" dxfId="2797" priority="100">
      <formula>B$9&lt;8/24</formula>
    </cfRule>
  </conditionalFormatting>
  <conditionalFormatting sqref="B54:W60">
    <cfRule type="expression" dxfId="2796" priority="96">
      <formula>B54&gt;$AG54</formula>
    </cfRule>
  </conditionalFormatting>
  <conditionalFormatting sqref="B32:W32">
    <cfRule type="expression" dxfId="2795" priority="92">
      <formula>B$9&gt;=20/24</formula>
    </cfRule>
    <cfRule type="expression" dxfId="2794" priority="93">
      <formula>AND(B$9&gt;=14/24,B$9&lt;20/24)</formula>
    </cfRule>
    <cfRule type="expression" dxfId="2793" priority="94">
      <formula>AND(B$9&gt;=8/24,B$9&lt;14/24)</formula>
    </cfRule>
    <cfRule type="expression" dxfId="2792" priority="95">
      <formula>B$9&lt;8/24</formula>
    </cfRule>
  </conditionalFormatting>
  <conditionalFormatting sqref="B21:W21 B27:W27">
    <cfRule type="expression" dxfId="2791" priority="88">
      <formula>B$9&gt;=20/24</formula>
    </cfRule>
    <cfRule type="expression" dxfId="2790" priority="89">
      <formula>AND(B$9&gt;=14/24,B$9&lt;20/24)</formula>
    </cfRule>
    <cfRule type="expression" dxfId="2789" priority="90">
      <formula>AND(B$9&gt;=8/24,B$9&lt;14/24)</formula>
    </cfRule>
    <cfRule type="expression" dxfId="2788" priority="91">
      <formula>B$9&lt;8/24</formula>
    </cfRule>
  </conditionalFormatting>
  <conditionalFormatting sqref="B21:W21 B27:W27">
    <cfRule type="expression" dxfId="2787" priority="87">
      <formula>B21&gt;$AG21</formula>
    </cfRule>
  </conditionalFormatting>
  <conditionalFormatting sqref="A40">
    <cfRule type="expression" dxfId="2786" priority="86">
      <formula>$AH40=0</formula>
    </cfRule>
  </conditionalFormatting>
  <conditionalFormatting sqref="B78:AF78">
    <cfRule type="expression" dxfId="2785" priority="82">
      <formula>B$9&gt;=20/24</formula>
    </cfRule>
    <cfRule type="expression" dxfId="2784" priority="83">
      <formula>AND(B$9&gt;=14/24,B$9&lt;20/24)</formula>
    </cfRule>
    <cfRule type="expression" dxfId="2783" priority="84">
      <formula>AND(B$9&gt;=8/24,B$9&lt;14/24)</formula>
    </cfRule>
    <cfRule type="expression" dxfId="2782" priority="85">
      <formula>B$9&lt;8/24</formula>
    </cfRule>
  </conditionalFormatting>
  <conditionalFormatting sqref="B87:AF91">
    <cfRule type="expression" dxfId="2781" priority="78">
      <formula>B$9&gt;=20/24</formula>
    </cfRule>
    <cfRule type="expression" dxfId="2780" priority="79">
      <formula>AND(B$9&gt;=14/24,B$9&lt;20/24)</formula>
    </cfRule>
    <cfRule type="expression" dxfId="2779" priority="80">
      <formula>AND(B$9&gt;=8/24,B$9&lt;14/24)</formula>
    </cfRule>
    <cfRule type="expression" dxfId="2778" priority="81">
      <formula>B$9&lt;8/24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2777" priority="74">
      <formula>E$9&gt;=20/24</formula>
    </cfRule>
    <cfRule type="expression" dxfId="2776" priority="75">
      <formula>AND(E$9&gt;=14/24,E$9&lt;20/24)</formula>
    </cfRule>
    <cfRule type="expression" dxfId="2775" priority="76">
      <formula>AND(E$9&gt;=8/24,E$9&lt;14/24)</formula>
    </cfRule>
    <cfRule type="expression" dxfId="2774" priority="77">
      <formula>E$9&lt;8/24</formula>
    </cfRule>
  </conditionalFormatting>
  <conditionalFormatting sqref="E45:AF47">
    <cfRule type="expression" dxfId="2773" priority="73">
      <formula>E45&gt;$AG45</formula>
    </cfRule>
  </conditionalFormatting>
  <conditionalFormatting sqref="B45:B48 C48:AG48 C45:D47">
    <cfRule type="expression" dxfId="2772" priority="69">
      <formula>B$9&gt;=20/24</formula>
    </cfRule>
    <cfRule type="expression" dxfId="2771" priority="70">
      <formula>AND(B$9&gt;=14/24,B$9&lt;20/24)</formula>
    </cfRule>
    <cfRule type="expression" dxfId="2770" priority="71">
      <formula>AND(B$9&gt;=8/24,B$9&lt;14/24)</formula>
    </cfRule>
    <cfRule type="expression" dxfId="2769" priority="72">
      <formula>B$9&lt;8/24</formula>
    </cfRule>
  </conditionalFormatting>
  <conditionalFormatting sqref="B45:B48 C48:AG48 C45:D47">
    <cfRule type="expression" dxfId="2768" priority="68">
      <formula>B45&gt;$AG45</formula>
    </cfRule>
  </conditionalFormatting>
  <conditionalFormatting sqref="C103:AF103">
    <cfRule type="expression" dxfId="2767" priority="64">
      <formula>C$9&gt;=20/24</formula>
    </cfRule>
    <cfRule type="expression" dxfId="2766" priority="65">
      <formula>AND(C$9&gt;=14/24,C$9&lt;20/24)</formula>
    </cfRule>
    <cfRule type="expression" dxfId="2765" priority="66">
      <formula>AND(C$9&gt;=8/24,C$9&lt;14/24)</formula>
    </cfRule>
    <cfRule type="expression" dxfId="2764" priority="67">
      <formula>C$9&lt;8/24</formula>
    </cfRule>
  </conditionalFormatting>
  <conditionalFormatting sqref="B103">
    <cfRule type="expression" dxfId="2763" priority="60">
      <formula>B$9&gt;=20/24</formula>
    </cfRule>
    <cfRule type="expression" dxfId="2762" priority="61">
      <formula>AND(B$9&gt;=14/24,B$9&lt;20/24)</formula>
    </cfRule>
    <cfRule type="expression" dxfId="2761" priority="62">
      <formula>AND(B$9&gt;=8/24,B$9&lt;14/24)</formula>
    </cfRule>
    <cfRule type="expression" dxfId="2760" priority="63">
      <formula>B$9&lt;8/24</formula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759" priority="54">
      <formula>$AH37=0</formula>
    </cfRule>
  </conditionalFormatting>
  <conditionalFormatting sqref="A86">
    <cfRule type="expression" dxfId="2758" priority="52">
      <formula>$AH86=0</formula>
    </cfRule>
  </conditionalFormatting>
  <conditionalFormatting sqref="A83">
    <cfRule type="expression" dxfId="2757" priority="53">
      <formula>$AH83=0</formula>
    </cfRule>
  </conditionalFormatting>
  <conditionalFormatting sqref="A113">
    <cfRule type="expression" dxfId="2756" priority="43">
      <formula>$AH113=0</formula>
    </cfRule>
  </conditionalFormatting>
  <conditionalFormatting sqref="D106:AF106">
    <cfRule type="expression" dxfId="2755" priority="39">
      <formula>D$9&gt;=20/24</formula>
    </cfRule>
    <cfRule type="expression" dxfId="2754" priority="40">
      <formula>AND(D$9&gt;=14/24,D$9&lt;20/24)</formula>
    </cfRule>
    <cfRule type="expression" dxfId="2753" priority="41">
      <formula>AND(D$9&gt;=8/24,D$9&lt;14/24)</formula>
    </cfRule>
    <cfRule type="expression" dxfId="2752" priority="42">
      <formula>D$9&lt;8/24</formula>
    </cfRule>
  </conditionalFormatting>
  <conditionalFormatting sqref="A106">
    <cfRule type="expression" dxfId="2751" priority="38">
      <formula>$AH106=0</formula>
    </cfRule>
  </conditionalFormatting>
  <conditionalFormatting sqref="B106:C106">
    <cfRule type="expression" dxfId="2750" priority="34">
      <formula>B$9&gt;=20/24</formula>
    </cfRule>
    <cfRule type="expression" dxfId="2749" priority="35">
      <formula>AND(B$9&gt;=14/24,B$9&lt;20/24)</formula>
    </cfRule>
    <cfRule type="expression" dxfId="2748" priority="36">
      <formula>AND(B$9&gt;=8/24,B$9&lt;14/24)</formula>
    </cfRule>
    <cfRule type="expression" dxfId="2747" priority="37">
      <formula>B$9&lt;8/24</formula>
    </cfRule>
  </conditionalFormatting>
  <conditionalFormatting sqref="X56:AC60">
    <cfRule type="expression" dxfId="2746" priority="30">
      <formula>X$9&gt;=20/24</formula>
    </cfRule>
    <cfRule type="expression" dxfId="2745" priority="31">
      <formula>AND(X$9&gt;=14/24,X$9&lt;20/24)</formula>
    </cfRule>
    <cfRule type="expression" dxfId="2744" priority="32">
      <formula>AND(X$9&gt;=8/24,X$9&lt;14/24)</formula>
    </cfRule>
    <cfRule type="expression" dxfId="2743" priority="33">
      <formula>X$9&lt;8/24</formula>
    </cfRule>
  </conditionalFormatting>
  <conditionalFormatting sqref="X56:AC60">
    <cfRule type="expression" dxfId="2742" priority="29">
      <formula>X56&gt;$AG56</formula>
    </cfRule>
  </conditionalFormatting>
  <conditionalFormatting sqref="B19:AF19">
    <cfRule type="expression" dxfId="2741" priority="27">
      <formula>B19&gt;$AG19</formula>
    </cfRule>
  </conditionalFormatting>
  <conditionalFormatting sqref="A19">
    <cfRule type="expression" dxfId="2740" priority="26">
      <formula>$AH19=0</formula>
    </cfRule>
  </conditionalFormatting>
  <conditionalFormatting sqref="S19:AF19">
    <cfRule type="expression" dxfId="2739" priority="22">
      <formula>S$9&gt;=20/24</formula>
    </cfRule>
    <cfRule type="expression" dxfId="2738" priority="23">
      <formula>AND(S$9&gt;=14/24,S$9&lt;20/24)</formula>
    </cfRule>
    <cfRule type="expression" dxfId="2737" priority="24">
      <formula>AND(S$9&gt;=8/24,S$9&lt;14/24)</formula>
    </cfRule>
    <cfRule type="expression" dxfId="2736" priority="25">
      <formula>S$9&lt;8/24</formula>
    </cfRule>
  </conditionalFormatting>
  <conditionalFormatting sqref="B19:R19">
    <cfRule type="expression" dxfId="2735" priority="18">
      <formula>B$9&gt;=20/24</formula>
    </cfRule>
    <cfRule type="expression" dxfId="2734" priority="19">
      <formula>AND(B$9&gt;=14/24,B$9&lt;20/24)</formula>
    </cfRule>
    <cfRule type="expression" dxfId="2733" priority="20">
      <formula>AND(B$9&gt;=8/24,B$9&lt;14/24)</formula>
    </cfRule>
    <cfRule type="expression" dxfId="2732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731" priority="16">
      <formula>$AH34=0</formula>
    </cfRule>
  </conditionalFormatting>
  <conditionalFormatting sqref="X34:AF34">
    <cfRule type="expression" dxfId="2730" priority="12">
      <formula>X$9&gt;=20/24</formula>
    </cfRule>
    <cfRule type="expression" dxfId="2729" priority="13">
      <formula>AND(X$9&gt;=14/24,X$9&lt;20/24)</formula>
    </cfRule>
    <cfRule type="expression" dxfId="2728" priority="14">
      <formula>AND(X$9&gt;=8/24,X$9&lt;14/24)</formula>
    </cfRule>
    <cfRule type="expression" dxfId="2727" priority="15">
      <formula>X$9&lt;8/24</formula>
    </cfRule>
  </conditionalFormatting>
  <conditionalFormatting sqref="X34:AF34">
    <cfRule type="expression" dxfId="2726" priority="11">
      <formula>X34&gt;$AG34</formula>
    </cfRule>
  </conditionalFormatting>
  <conditionalFormatting sqref="S34:W34">
    <cfRule type="expression" dxfId="2725" priority="7">
      <formula>S$9&gt;=20/24</formula>
    </cfRule>
    <cfRule type="expression" dxfId="2724" priority="8">
      <formula>AND(S$9&gt;=14/24,S$9&lt;20/24)</formula>
    </cfRule>
    <cfRule type="expression" dxfId="2723" priority="9">
      <formula>AND(S$9&gt;=8/24,S$9&lt;14/24)</formula>
    </cfRule>
    <cfRule type="expression" dxfId="2722" priority="10">
      <formula>S$9&lt;8/24</formula>
    </cfRule>
  </conditionalFormatting>
  <conditionalFormatting sqref="S34:W34">
    <cfRule type="expression" dxfId="2721" priority="6">
      <formula>S34&gt;$AG34</formula>
    </cfRule>
  </conditionalFormatting>
  <conditionalFormatting sqref="B34:R34">
    <cfRule type="expression" dxfId="2720" priority="2">
      <formula>B$9&gt;=20/24</formula>
    </cfRule>
    <cfRule type="expression" dxfId="2719" priority="3">
      <formula>AND(B$9&gt;=14/24,B$9&lt;20/24)</formula>
    </cfRule>
    <cfRule type="expression" dxfId="2718" priority="4">
      <formula>AND(B$9&gt;=8/24,B$9&lt;14/24)</formula>
    </cfRule>
    <cfRule type="expression" dxfId="2717" priority="5">
      <formula>B$9&lt;8/24</formula>
    </cfRule>
  </conditionalFormatting>
  <conditionalFormatting sqref="B34:R34">
    <cfRule type="expression" dxfId="2716" priority="1">
      <formula>B34&gt;$AG34</formula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6B0C99BA-3598-4380-BE64-F8B6B831A14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C4EA6BB2-CA07-444C-BFFF-C4850230E25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6E93B98E-2778-4A79-A79A-D5A21069833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3A9C13A6-C2EF-4163-B24E-B0D75FBB6D8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8" id="{74D73AEC-8044-4DF7-8DA1-878D68D69BF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7AD5E84B-E929-494B-B48E-EC97327F960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E7E39610-4DA5-4828-B9EF-1BDC18DA94A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89DCBA8D-BA2A-4D6A-945A-DA3031572A8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44" id="{48CF070A-5060-446B-831D-E150AAA7842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0BA33D6D-5595-484E-A547-1FFB65EBB46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65E7DA12-891C-4D3C-B7FB-894AE86470A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62D14392-971A-42E9-9FDD-07451C37FE6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27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I69" sqref="I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2079/08/26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16.899999999999999</v>
      </c>
      <c r="C5" s="30">
        <f t="shared" si="0"/>
        <v>20.399999999999999</v>
      </c>
      <c r="D5" s="30">
        <f t="shared" si="0"/>
        <v>17.3</v>
      </c>
      <c r="E5" s="30">
        <f t="shared" si="0"/>
        <v>15.3</v>
      </c>
      <c r="F5" s="30">
        <f t="shared" si="0"/>
        <v>26.1</v>
      </c>
      <c r="G5" s="30">
        <f t="shared" si="0"/>
        <v>25.5</v>
      </c>
      <c r="H5" s="30">
        <f t="shared" si="0"/>
        <v>23.4</v>
      </c>
      <c r="I5" s="30">
        <f t="shared" si="0"/>
        <v>40.5</v>
      </c>
      <c r="J5" s="30">
        <f t="shared" si="0"/>
        <v>51.3</v>
      </c>
      <c r="K5" s="30">
        <f t="shared" si="0"/>
        <v>42.5</v>
      </c>
      <c r="L5" s="30">
        <f t="shared" si="0"/>
        <v>40.799999999999997</v>
      </c>
      <c r="M5" s="30">
        <f t="shared" si="0"/>
        <v>41.6</v>
      </c>
      <c r="N5" s="30">
        <f t="shared" si="0"/>
        <v>43.3</v>
      </c>
      <c r="O5" s="30">
        <f t="shared" si="0"/>
        <v>181.1</v>
      </c>
      <c r="P5" s="30">
        <f t="shared" si="0"/>
        <v>188.4</v>
      </c>
      <c r="Q5" s="30">
        <f t="shared" si="0"/>
        <v>184.6</v>
      </c>
      <c r="R5" s="30">
        <f t="shared" si="0"/>
        <v>200.1</v>
      </c>
      <c r="S5" s="30">
        <f t="shared" si="0"/>
        <v>200.1</v>
      </c>
      <c r="T5" s="30">
        <f t="shared" si="0"/>
        <v>202.07</v>
      </c>
      <c r="U5" s="30">
        <f t="shared" si="0"/>
        <v>50.01</v>
      </c>
      <c r="V5" s="30">
        <f t="shared" si="0"/>
        <v>52</v>
      </c>
      <c r="W5" s="30">
        <f t="shared" si="0"/>
        <v>52.6</v>
      </c>
      <c r="X5" s="30">
        <f t="shared" si="0"/>
        <v>49.6</v>
      </c>
      <c r="Y5" s="30">
        <f t="shared" si="0"/>
        <v>43.8</v>
      </c>
      <c r="Z5" s="30">
        <f t="shared" si="0"/>
        <v>52</v>
      </c>
      <c r="AA5" s="30">
        <f t="shared" si="0"/>
        <v>46.1</v>
      </c>
      <c r="AB5" s="30">
        <f t="shared" si="0"/>
        <v>35.200000000000003</v>
      </c>
      <c r="AC5" s="30">
        <f t="shared" si="0"/>
        <v>17.100000000000001</v>
      </c>
      <c r="AD5" s="30">
        <f t="shared" si="0"/>
        <v>15.9</v>
      </c>
      <c r="AE5" s="30">
        <f t="shared" si="0"/>
        <v>29</v>
      </c>
      <c r="AF5" s="30">
        <f>B78</f>
        <v>66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1668MW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Load=906</v>
      </c>
      <c r="B7" s="35">
        <f t="shared" ref="B7:AF7" si="1">B85</f>
        <v>937.24</v>
      </c>
      <c r="C7" s="35">
        <f t="shared" si="1"/>
        <v>942.04</v>
      </c>
      <c r="D7" s="35">
        <f t="shared" si="1"/>
        <v>905.84</v>
      </c>
      <c r="E7" s="35">
        <f t="shared" si="1"/>
        <v>928.04</v>
      </c>
      <c r="F7" s="35">
        <f t="shared" si="1"/>
        <v>947.34</v>
      </c>
      <c r="G7" s="35">
        <f t="shared" si="1"/>
        <v>1018.84</v>
      </c>
      <c r="H7" s="35">
        <f t="shared" si="1"/>
        <v>1080.74</v>
      </c>
      <c r="I7" s="35">
        <f t="shared" si="1"/>
        <v>1199.5400000000002</v>
      </c>
      <c r="J7" s="35">
        <f t="shared" si="1"/>
        <v>1312.04</v>
      </c>
      <c r="K7" s="35">
        <f t="shared" si="1"/>
        <v>1526.0399999999997</v>
      </c>
      <c r="L7" s="35">
        <f t="shared" si="1"/>
        <v>1643.64</v>
      </c>
      <c r="M7" s="35">
        <f t="shared" si="1"/>
        <v>1667.64</v>
      </c>
      <c r="N7" s="35">
        <f t="shared" si="1"/>
        <v>1603.14</v>
      </c>
      <c r="O7" s="35">
        <f t="shared" si="1"/>
        <v>1383.04</v>
      </c>
      <c r="P7" s="35">
        <f t="shared" si="1"/>
        <v>1297.9399999999998</v>
      </c>
      <c r="Q7" s="35">
        <f t="shared" si="1"/>
        <v>1239.94</v>
      </c>
      <c r="R7" s="35">
        <f t="shared" si="1"/>
        <v>1194.44</v>
      </c>
      <c r="S7" s="35">
        <f t="shared" si="1"/>
        <v>1195.54</v>
      </c>
      <c r="T7" s="35">
        <f t="shared" si="1"/>
        <v>1228.24</v>
      </c>
      <c r="U7" s="35">
        <f t="shared" si="1"/>
        <v>1259.71</v>
      </c>
      <c r="V7" s="35">
        <f t="shared" si="1"/>
        <v>1308.05</v>
      </c>
      <c r="W7" s="35">
        <f t="shared" si="1"/>
        <v>1460.54</v>
      </c>
      <c r="X7" s="35">
        <f t="shared" si="1"/>
        <v>1644.44</v>
      </c>
      <c r="Y7" s="35">
        <f t="shared" si="1"/>
        <v>1588.3400000000001</v>
      </c>
      <c r="Z7" s="35">
        <f t="shared" si="1"/>
        <v>1487.9399999999998</v>
      </c>
      <c r="AA7" s="35">
        <f t="shared" si="1"/>
        <v>1396.1399999999999</v>
      </c>
      <c r="AB7" s="35">
        <f t="shared" si="1"/>
        <v>1380.6399999999999</v>
      </c>
      <c r="AC7" s="35">
        <f t="shared" si="1"/>
        <v>1369.2400000000002</v>
      </c>
      <c r="AD7" s="35">
        <f t="shared" si="1"/>
        <v>1324.54</v>
      </c>
      <c r="AE7" s="35">
        <f t="shared" si="1"/>
        <v>993.24000000000012</v>
      </c>
      <c r="AF7" s="35">
        <f t="shared" si="1"/>
        <v>1026.94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26.4</v>
      </c>
      <c r="C11" s="46">
        <v>27.8</v>
      </c>
      <c r="D11" s="46">
        <v>27.5</v>
      </c>
      <c r="E11" s="46">
        <v>27.5</v>
      </c>
      <c r="F11" s="46">
        <v>27.5</v>
      </c>
      <c r="G11" s="46">
        <v>27.5</v>
      </c>
      <c r="H11" s="46">
        <v>27.5</v>
      </c>
      <c r="I11" s="46">
        <v>27.5</v>
      </c>
      <c r="J11" s="46">
        <v>27.5</v>
      </c>
      <c r="K11" s="46">
        <v>27.5</v>
      </c>
      <c r="L11" s="46">
        <v>26.6</v>
      </c>
      <c r="M11" s="46">
        <v>26.6</v>
      </c>
      <c r="N11" s="46">
        <v>26.6</v>
      </c>
      <c r="O11" s="46">
        <v>26.6</v>
      </c>
      <c r="P11" s="46">
        <v>26.6</v>
      </c>
      <c r="Q11" s="46">
        <v>26.6</v>
      </c>
      <c r="R11" s="46">
        <v>26.6</v>
      </c>
      <c r="S11" s="46">
        <v>27.1</v>
      </c>
      <c r="T11" s="46">
        <v>27.1</v>
      </c>
      <c r="U11" s="46">
        <v>27.1</v>
      </c>
      <c r="V11" s="46">
        <v>27.1</v>
      </c>
      <c r="W11" s="46">
        <v>27.2</v>
      </c>
      <c r="X11" s="46">
        <v>27.2</v>
      </c>
      <c r="Y11" s="46">
        <v>27.2</v>
      </c>
      <c r="Z11" s="46">
        <v>27.2</v>
      </c>
      <c r="AA11" s="46">
        <v>27.2</v>
      </c>
      <c r="AB11" s="46">
        <v>27.2</v>
      </c>
      <c r="AC11" s="46">
        <v>27</v>
      </c>
      <c r="AD11" s="46">
        <v>27</v>
      </c>
      <c r="AE11" s="46">
        <v>27.2</v>
      </c>
      <c r="AF11" s="46">
        <v>27.1</v>
      </c>
      <c r="AG11" s="47">
        <v>52.4</v>
      </c>
      <c r="AH11" s="48">
        <f>MAX(B11:AF11)</f>
        <v>27.8</v>
      </c>
      <c r="AI11" s="49">
        <f>MIN(B11:AF11)</f>
        <v>26.4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50.7</v>
      </c>
      <c r="E12" s="45">
        <v>50.7</v>
      </c>
      <c r="F12" s="45">
        <v>50.7</v>
      </c>
      <c r="G12" s="45">
        <v>50.7</v>
      </c>
      <c r="H12" s="45">
        <v>50.7</v>
      </c>
      <c r="I12" s="45">
        <v>50.7</v>
      </c>
      <c r="J12" s="45">
        <v>50.7</v>
      </c>
      <c r="K12" s="45">
        <v>50.7</v>
      </c>
      <c r="L12" s="45">
        <v>50.7</v>
      </c>
      <c r="M12" s="45">
        <v>50.7</v>
      </c>
      <c r="N12" s="45">
        <v>50.7</v>
      </c>
      <c r="O12" s="45">
        <v>50.7</v>
      </c>
      <c r="P12" s="45">
        <v>50.7</v>
      </c>
      <c r="Q12" s="45">
        <v>50.7</v>
      </c>
      <c r="R12" s="45">
        <v>50.7</v>
      </c>
      <c r="S12" s="45">
        <v>51</v>
      </c>
      <c r="T12" s="45">
        <v>51</v>
      </c>
      <c r="U12" s="45">
        <v>50.5</v>
      </c>
      <c r="V12" s="45">
        <v>50.5</v>
      </c>
      <c r="W12" s="45">
        <v>50.5</v>
      </c>
      <c r="X12" s="45">
        <v>50.5</v>
      </c>
      <c r="Y12" s="45">
        <v>50.5</v>
      </c>
      <c r="Z12" s="45">
        <v>50.5</v>
      </c>
      <c r="AA12" s="45">
        <v>50.5</v>
      </c>
      <c r="AB12" s="45">
        <v>50.5</v>
      </c>
      <c r="AC12" s="45">
        <v>50.5</v>
      </c>
      <c r="AD12" s="45">
        <v>50.7</v>
      </c>
      <c r="AE12" s="45">
        <v>50.8</v>
      </c>
      <c r="AF12" s="45">
        <v>50.7</v>
      </c>
      <c r="AG12" s="51">
        <v>50</v>
      </c>
      <c r="AH12" s="48">
        <f t="shared" ref="AH12:AH79" si="2">MAX(B12:AF12)</f>
        <v>51</v>
      </c>
      <c r="AI12" s="49">
        <f t="shared" ref="AI12:AI79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26.3</v>
      </c>
      <c r="C13" s="45">
        <v>26.3</v>
      </c>
      <c r="D13" s="45">
        <v>26.4</v>
      </c>
      <c r="E13" s="45">
        <v>26.4</v>
      </c>
      <c r="F13" s="45">
        <v>26.4</v>
      </c>
      <c r="G13" s="45">
        <v>26.4</v>
      </c>
      <c r="H13" s="45">
        <v>26.4</v>
      </c>
      <c r="I13" s="45">
        <v>26.4</v>
      </c>
      <c r="J13" s="45">
        <v>26.4</v>
      </c>
      <c r="K13" s="45">
        <v>26.4</v>
      </c>
      <c r="L13" s="45">
        <v>26.4</v>
      </c>
      <c r="M13" s="45">
        <v>26.4</v>
      </c>
      <c r="N13" s="45">
        <v>26.4</v>
      </c>
      <c r="O13" s="45">
        <v>26.4</v>
      </c>
      <c r="P13" s="45">
        <v>26.4</v>
      </c>
      <c r="Q13" s="45">
        <v>26.4</v>
      </c>
      <c r="R13" s="45">
        <v>26.4</v>
      </c>
      <c r="S13" s="45">
        <v>24.6</v>
      </c>
      <c r="T13" s="45">
        <v>24.6</v>
      </c>
      <c r="U13" s="45">
        <v>24.6</v>
      </c>
      <c r="V13" s="45">
        <v>24.6</v>
      </c>
      <c r="W13" s="45">
        <v>25.1</v>
      </c>
      <c r="X13" s="45">
        <v>25.1</v>
      </c>
      <c r="Y13" s="45">
        <v>25.1</v>
      </c>
      <c r="Z13" s="45">
        <v>25.1</v>
      </c>
      <c r="AA13" s="45">
        <v>25.1</v>
      </c>
      <c r="AB13" s="45">
        <v>25.1</v>
      </c>
      <c r="AC13" s="45">
        <v>26.3</v>
      </c>
      <c r="AD13" s="45">
        <v>26.3</v>
      </c>
      <c r="AE13" s="45">
        <v>25.4</v>
      </c>
      <c r="AF13" s="45">
        <v>26.4</v>
      </c>
      <c r="AG13" s="51">
        <v>45</v>
      </c>
      <c r="AH13" s="48">
        <f t="shared" si="2"/>
        <v>26.4</v>
      </c>
      <c r="AI13" s="49">
        <f t="shared" si="3"/>
        <v>24.6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22</v>
      </c>
      <c r="C15" s="45">
        <v>22</v>
      </c>
      <c r="D15" s="45">
        <v>22</v>
      </c>
      <c r="E15" s="45">
        <v>22</v>
      </c>
      <c r="F15" s="45">
        <v>22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22</v>
      </c>
      <c r="M15" s="45">
        <v>22</v>
      </c>
      <c r="N15" s="45">
        <v>22</v>
      </c>
      <c r="O15" s="45">
        <v>22</v>
      </c>
      <c r="P15" s="45">
        <v>22</v>
      </c>
      <c r="Q15" s="45">
        <v>22</v>
      </c>
      <c r="R15" s="45">
        <v>22</v>
      </c>
      <c r="S15" s="45">
        <v>22</v>
      </c>
      <c r="T15" s="45">
        <v>22</v>
      </c>
      <c r="U15" s="45">
        <v>22</v>
      </c>
      <c r="V15" s="45">
        <v>22</v>
      </c>
      <c r="W15" s="45">
        <v>22</v>
      </c>
      <c r="X15" s="45">
        <v>22</v>
      </c>
      <c r="Y15" s="45">
        <v>22</v>
      </c>
      <c r="Z15" s="45">
        <v>22</v>
      </c>
      <c r="AA15" s="45">
        <v>22</v>
      </c>
      <c r="AB15" s="45">
        <v>22</v>
      </c>
      <c r="AC15" s="45">
        <v>22</v>
      </c>
      <c r="AD15" s="45">
        <v>22</v>
      </c>
      <c r="AE15" s="45">
        <v>22</v>
      </c>
      <c r="AF15" s="45">
        <v>22</v>
      </c>
      <c r="AG15" s="51">
        <v>36</v>
      </c>
      <c r="AH15" s="48">
        <f t="shared" si="2"/>
        <v>22</v>
      </c>
      <c r="AI15" s="49">
        <f t="shared" si="3"/>
        <v>22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14.8</v>
      </c>
      <c r="C16" s="45">
        <v>14.8</v>
      </c>
      <c r="D16" s="45">
        <v>14.2</v>
      </c>
      <c r="E16" s="45">
        <v>14.2</v>
      </c>
      <c r="F16" s="45">
        <v>14.2</v>
      </c>
      <c r="G16" s="45">
        <v>14.2</v>
      </c>
      <c r="H16" s="45">
        <v>14.2</v>
      </c>
      <c r="I16" s="45">
        <v>14.2</v>
      </c>
      <c r="J16" s="45">
        <v>14.2</v>
      </c>
      <c r="K16" s="45">
        <v>14.2</v>
      </c>
      <c r="L16" s="45">
        <v>14.2</v>
      </c>
      <c r="M16" s="45">
        <v>14.2</v>
      </c>
      <c r="N16" s="45">
        <v>14.2</v>
      </c>
      <c r="O16" s="45">
        <v>14.2</v>
      </c>
      <c r="P16" s="45">
        <v>14.2</v>
      </c>
      <c r="Q16" s="45">
        <v>14.2</v>
      </c>
      <c r="R16" s="45">
        <v>14.2</v>
      </c>
      <c r="S16" s="45">
        <v>14.2</v>
      </c>
      <c r="T16" s="45">
        <v>14.2</v>
      </c>
      <c r="U16" s="45">
        <v>14.2</v>
      </c>
      <c r="V16" s="45">
        <v>14.2</v>
      </c>
      <c r="W16" s="45">
        <v>13.1</v>
      </c>
      <c r="X16" s="45">
        <v>13.1</v>
      </c>
      <c r="Y16" s="45">
        <v>13.1</v>
      </c>
      <c r="Z16" s="45">
        <v>13.1</v>
      </c>
      <c r="AA16" s="45">
        <v>13.1</v>
      </c>
      <c r="AB16" s="45">
        <v>13.1</v>
      </c>
      <c r="AC16" s="45">
        <v>15.6</v>
      </c>
      <c r="AD16" s="45">
        <v>15.1</v>
      </c>
      <c r="AE16" s="45">
        <v>15.2</v>
      </c>
      <c r="AF16" s="45">
        <v>13.7</v>
      </c>
      <c r="AG16" s="52">
        <v>30</v>
      </c>
      <c r="AH16" s="48">
        <f t="shared" si="2"/>
        <v>15.6</v>
      </c>
      <c r="AI16" s="49">
        <f t="shared" si="3"/>
        <v>13.1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13.3</v>
      </c>
      <c r="C17" s="45">
        <v>13.3</v>
      </c>
      <c r="D17" s="45">
        <v>13.3</v>
      </c>
      <c r="E17" s="45">
        <v>13.3</v>
      </c>
      <c r="F17" s="45">
        <v>13.3</v>
      </c>
      <c r="G17" s="45">
        <v>13.3</v>
      </c>
      <c r="H17" s="45">
        <v>13.3</v>
      </c>
      <c r="I17" s="45">
        <v>13.3</v>
      </c>
      <c r="J17" s="45">
        <v>13.3</v>
      </c>
      <c r="K17" s="45">
        <v>13.3</v>
      </c>
      <c r="L17" s="45">
        <v>12.3</v>
      </c>
      <c r="M17" s="45">
        <v>12.3</v>
      </c>
      <c r="N17" s="45">
        <v>12.3</v>
      </c>
      <c r="O17" s="45">
        <v>12.3</v>
      </c>
      <c r="P17" s="45">
        <v>12.3</v>
      </c>
      <c r="Q17" s="45">
        <v>12.3</v>
      </c>
      <c r="R17" s="45">
        <v>12.3</v>
      </c>
      <c r="S17" s="45">
        <v>12.3</v>
      </c>
      <c r="T17" s="45">
        <v>12.3</v>
      </c>
      <c r="U17" s="45">
        <v>12.3</v>
      </c>
      <c r="V17" s="45">
        <v>12.3</v>
      </c>
      <c r="W17" s="45">
        <v>12.3</v>
      </c>
      <c r="X17" s="45">
        <v>12.3</v>
      </c>
      <c r="Y17" s="45">
        <v>12.3</v>
      </c>
      <c r="Z17" s="45">
        <v>12.3</v>
      </c>
      <c r="AA17" s="45">
        <v>12.3</v>
      </c>
      <c r="AB17" s="45">
        <v>12.3</v>
      </c>
      <c r="AC17" s="45">
        <v>13.2</v>
      </c>
      <c r="AD17" s="45">
        <v>13.2</v>
      </c>
      <c r="AE17" s="45">
        <v>13.2</v>
      </c>
      <c r="AF17" s="45">
        <v>13.2</v>
      </c>
      <c r="AG17" s="51">
        <v>24.2</v>
      </c>
      <c r="AH17" s="48">
        <f t="shared" si="2"/>
        <v>13.3</v>
      </c>
      <c r="AI17" s="49">
        <f t="shared" si="3"/>
        <v>12.3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13.3</v>
      </c>
      <c r="C18" s="45">
        <v>13.3</v>
      </c>
      <c r="D18" s="45">
        <v>13.3</v>
      </c>
      <c r="E18" s="45">
        <v>13.3</v>
      </c>
      <c r="F18" s="45">
        <v>13.3</v>
      </c>
      <c r="G18" s="45">
        <v>13.3</v>
      </c>
      <c r="H18" s="45">
        <v>13.3</v>
      </c>
      <c r="I18" s="45">
        <v>13.3</v>
      </c>
      <c r="J18" s="45">
        <v>13.3</v>
      </c>
      <c r="K18" s="45">
        <v>13.3</v>
      </c>
      <c r="L18" s="45">
        <v>13.3</v>
      </c>
      <c r="M18" s="45">
        <v>13.3</v>
      </c>
      <c r="N18" s="45">
        <v>13.3</v>
      </c>
      <c r="O18" s="45">
        <v>13.3</v>
      </c>
      <c r="P18" s="45">
        <v>13.3</v>
      </c>
      <c r="Q18" s="45">
        <v>13.3</v>
      </c>
      <c r="R18" s="45">
        <v>13.3</v>
      </c>
      <c r="S18" s="45">
        <v>13.3</v>
      </c>
      <c r="T18" s="45">
        <v>13.3</v>
      </c>
      <c r="U18" s="45">
        <v>13.3</v>
      </c>
      <c r="V18" s="45">
        <v>13.3</v>
      </c>
      <c r="W18" s="45">
        <v>13.3</v>
      </c>
      <c r="X18" s="45">
        <v>13.3</v>
      </c>
      <c r="Y18" s="45">
        <v>13.3</v>
      </c>
      <c r="Z18" s="45">
        <v>13.3</v>
      </c>
      <c r="AA18" s="45">
        <v>13.3</v>
      </c>
      <c r="AB18" s="45">
        <v>13.3</v>
      </c>
      <c r="AC18" s="45">
        <v>13.3</v>
      </c>
      <c r="AD18" s="45">
        <v>13.3</v>
      </c>
      <c r="AE18" s="45">
        <v>13.3</v>
      </c>
      <c r="AF18" s="45">
        <v>13.3</v>
      </c>
      <c r="AG18" s="51">
        <v>28</v>
      </c>
      <c r="AH18" s="48">
        <f t="shared" si="2"/>
        <v>13.3</v>
      </c>
      <c r="AI18" s="49">
        <f t="shared" si="3"/>
        <v>13.3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13.2</v>
      </c>
      <c r="C20" s="45">
        <v>13.2</v>
      </c>
      <c r="D20" s="45">
        <v>13.2</v>
      </c>
      <c r="E20" s="45">
        <v>13.2</v>
      </c>
      <c r="F20" s="45">
        <v>13.2</v>
      </c>
      <c r="G20" s="45">
        <v>13.2</v>
      </c>
      <c r="H20" s="45">
        <v>13.2</v>
      </c>
      <c r="I20" s="45">
        <v>13.2</v>
      </c>
      <c r="J20" s="45">
        <v>13.2</v>
      </c>
      <c r="K20" s="45">
        <v>13.2</v>
      </c>
      <c r="L20" s="45">
        <v>13.2</v>
      </c>
      <c r="M20" s="45">
        <v>13.2</v>
      </c>
      <c r="N20" s="45">
        <v>13.2</v>
      </c>
      <c r="O20" s="45">
        <v>13.2</v>
      </c>
      <c r="P20" s="45">
        <v>13.2</v>
      </c>
      <c r="Q20" s="45">
        <v>13.2</v>
      </c>
      <c r="R20" s="45">
        <v>13.2</v>
      </c>
      <c r="S20" s="45">
        <v>13.2</v>
      </c>
      <c r="T20" s="45">
        <v>13.2</v>
      </c>
      <c r="U20" s="45">
        <v>13.2</v>
      </c>
      <c r="V20" s="45">
        <v>13.2</v>
      </c>
      <c r="W20" s="45">
        <v>13.2</v>
      </c>
      <c r="X20" s="45">
        <v>13.2</v>
      </c>
      <c r="Y20" s="45">
        <v>13.2</v>
      </c>
      <c r="Z20" s="45">
        <v>13.2</v>
      </c>
      <c r="AA20" s="45">
        <v>13.2</v>
      </c>
      <c r="AB20" s="45">
        <v>13.2</v>
      </c>
      <c r="AC20" s="45">
        <v>13.2</v>
      </c>
      <c r="AD20" s="45">
        <v>13.2</v>
      </c>
      <c r="AE20" s="45">
        <v>13.2</v>
      </c>
      <c r="AF20" s="45">
        <v>13.2</v>
      </c>
      <c r="AG20" s="51">
        <v>25</v>
      </c>
      <c r="AH20" s="48">
        <f t="shared" si="2"/>
        <v>13.2</v>
      </c>
      <c r="AI20" s="49">
        <f t="shared" si="3"/>
        <v>13.2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12.7</v>
      </c>
      <c r="C24" s="45">
        <v>12.7</v>
      </c>
      <c r="D24" s="45">
        <v>12.7</v>
      </c>
      <c r="E24" s="45">
        <v>12.7</v>
      </c>
      <c r="F24" s="45">
        <v>12.7</v>
      </c>
      <c r="G24" s="45">
        <v>12.7</v>
      </c>
      <c r="H24" s="45">
        <v>12.7</v>
      </c>
      <c r="I24" s="45">
        <v>12.7</v>
      </c>
      <c r="J24" s="45">
        <v>12.7</v>
      </c>
      <c r="K24" s="45">
        <v>12.7</v>
      </c>
      <c r="L24" s="45">
        <v>12.5</v>
      </c>
      <c r="M24" s="45">
        <v>12.5</v>
      </c>
      <c r="N24" s="45">
        <v>12.5</v>
      </c>
      <c r="O24" s="45">
        <v>12.5</v>
      </c>
      <c r="P24" s="45">
        <v>12.5</v>
      </c>
      <c r="Q24" s="45">
        <v>12.5</v>
      </c>
      <c r="R24" s="45">
        <v>12.5</v>
      </c>
      <c r="S24" s="45">
        <v>12.5</v>
      </c>
      <c r="T24" s="45">
        <v>12.5</v>
      </c>
      <c r="U24" s="45">
        <v>12.5</v>
      </c>
      <c r="V24" s="45">
        <v>12.5</v>
      </c>
      <c r="W24" s="45">
        <v>12.5</v>
      </c>
      <c r="X24" s="45">
        <v>12.5</v>
      </c>
      <c r="Y24" s="45">
        <v>12.5</v>
      </c>
      <c r="Z24" s="45">
        <v>12.5</v>
      </c>
      <c r="AA24" s="45">
        <v>12.5</v>
      </c>
      <c r="AB24" s="45">
        <v>12.5</v>
      </c>
      <c r="AC24" s="45">
        <v>12.5</v>
      </c>
      <c r="AD24" s="45">
        <v>12.4</v>
      </c>
      <c r="AE24" s="45">
        <v>12.4</v>
      </c>
      <c r="AF24" s="45">
        <v>12.4</v>
      </c>
      <c r="AG24" s="51">
        <v>23.5</v>
      </c>
      <c r="AH24" s="48">
        <f t="shared" si="2"/>
        <v>12.7</v>
      </c>
      <c r="AI24" s="49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13</v>
      </c>
      <c r="C28" s="45">
        <v>13</v>
      </c>
      <c r="D28" s="45">
        <v>13</v>
      </c>
      <c r="E28" s="45">
        <v>13</v>
      </c>
      <c r="F28" s="45">
        <v>13</v>
      </c>
      <c r="G28" s="45">
        <v>13</v>
      </c>
      <c r="H28" s="45">
        <v>13</v>
      </c>
      <c r="I28" s="45">
        <v>13</v>
      </c>
      <c r="J28" s="45">
        <v>13</v>
      </c>
      <c r="K28" s="45">
        <v>13</v>
      </c>
      <c r="L28" s="45">
        <v>13</v>
      </c>
      <c r="M28" s="45">
        <v>13</v>
      </c>
      <c r="N28" s="45">
        <v>13</v>
      </c>
      <c r="O28" s="45">
        <v>13</v>
      </c>
      <c r="P28" s="45">
        <v>13</v>
      </c>
      <c r="Q28" s="45">
        <v>13</v>
      </c>
      <c r="R28" s="45">
        <v>13</v>
      </c>
      <c r="S28" s="45">
        <v>13</v>
      </c>
      <c r="T28" s="45">
        <v>13</v>
      </c>
      <c r="U28" s="45">
        <v>13</v>
      </c>
      <c r="V28" s="45">
        <v>13</v>
      </c>
      <c r="W28" s="45">
        <v>13</v>
      </c>
      <c r="X28" s="45">
        <v>13</v>
      </c>
      <c r="Y28" s="45">
        <v>13</v>
      </c>
      <c r="Z28" s="45">
        <v>13</v>
      </c>
      <c r="AA28" s="45">
        <v>13</v>
      </c>
      <c r="AB28" s="45">
        <v>13</v>
      </c>
      <c r="AC28" s="45">
        <v>13</v>
      </c>
      <c r="AD28" s="45">
        <v>13</v>
      </c>
      <c r="AE28" s="45">
        <v>13</v>
      </c>
      <c r="AF28" s="45">
        <v>13</v>
      </c>
      <c r="AG28" s="51">
        <v>22</v>
      </c>
      <c r="AH28" s="48">
        <f t="shared" si="2"/>
        <v>13</v>
      </c>
      <c r="AI28" s="49">
        <f t="shared" si="3"/>
        <v>13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47</v>
      </c>
      <c r="B43" s="59">
        <f>30+38.2</f>
        <v>68.2</v>
      </c>
      <c r="C43" s="59">
        <f>32.1+38.8</f>
        <v>70.900000000000006</v>
      </c>
      <c r="D43" s="59">
        <f>32+39.3</f>
        <v>71.3</v>
      </c>
      <c r="E43" s="59">
        <f>32.6+39.8</f>
        <v>72.400000000000006</v>
      </c>
      <c r="F43" s="59">
        <f>32.8+40.6</f>
        <v>73.400000000000006</v>
      </c>
      <c r="G43" s="59">
        <f>32.4+40.4</f>
        <v>72.8</v>
      </c>
      <c r="H43" s="59">
        <f>32+40.3</f>
        <v>72.3</v>
      </c>
      <c r="I43" s="59">
        <f>31.6+40</f>
        <v>71.599999999999994</v>
      </c>
      <c r="J43" s="59">
        <v>71</v>
      </c>
      <c r="K43" s="59">
        <f>31.8+35.8</f>
        <v>67.599999999999994</v>
      </c>
      <c r="L43" s="57">
        <f>31.4+36.1</f>
        <v>67.5</v>
      </c>
      <c r="M43" s="57">
        <f>31+32.3</f>
        <v>63.3</v>
      </c>
      <c r="N43" s="57">
        <f>35.6+31.4</f>
        <v>67</v>
      </c>
      <c r="O43" s="57">
        <f>36.4+31.7</f>
        <v>68.099999999999994</v>
      </c>
      <c r="P43" s="57">
        <f>38.2+31.5</f>
        <v>69.7</v>
      </c>
      <c r="Q43" s="57">
        <f>37.3+31.6</f>
        <v>68.900000000000006</v>
      </c>
      <c r="R43" s="57">
        <f>35.9+31.3</f>
        <v>67.2</v>
      </c>
      <c r="S43" s="57">
        <f>30.9+25.3</f>
        <v>56.2</v>
      </c>
      <c r="T43" s="57">
        <f>30.5+34.1</f>
        <v>64.599999999999994</v>
      </c>
      <c r="U43" s="59">
        <f>30.9+32.1</f>
        <v>63</v>
      </c>
      <c r="V43" s="59">
        <f>30.6+32.9</f>
        <v>63.5</v>
      </c>
      <c r="W43" s="59">
        <f>29.6+31.1</f>
        <v>60.7</v>
      </c>
      <c r="X43" s="59">
        <v>59.900000000000006</v>
      </c>
      <c r="Y43" s="59">
        <f t="shared" ref="Y43" si="4">29.6+31.1</f>
        <v>60.7</v>
      </c>
      <c r="Z43" s="59">
        <f>29.8+31.4</f>
        <v>61.2</v>
      </c>
      <c r="AA43" s="59">
        <f>30+32.6</f>
        <v>62.6</v>
      </c>
      <c r="AB43" s="59">
        <f>30.1+37.7</f>
        <v>67.800000000000011</v>
      </c>
      <c r="AC43" s="59">
        <f>30.5+40.6</f>
        <v>71.099999999999994</v>
      </c>
      <c r="AD43" s="59">
        <f>30.7+40.6</f>
        <v>71.3</v>
      </c>
      <c r="AE43" s="59">
        <f>31.5+36.6</f>
        <v>68.099999999999994</v>
      </c>
      <c r="AF43" s="59">
        <f>31.4+37</f>
        <v>68.400000000000006</v>
      </c>
      <c r="AG43" s="55">
        <v>240</v>
      </c>
      <c r="AH43" s="48">
        <f t="shared" si="2"/>
        <v>73.400000000000006</v>
      </c>
      <c r="AI43" s="49">
        <f t="shared" si="3"/>
        <v>56.2</v>
      </c>
      <c r="AK43" s="50"/>
    </row>
    <row r="44" spans="1:88" ht="15.75" thickBot="1" x14ac:dyDescent="0.3">
      <c r="A44" s="60" t="s">
        <v>48</v>
      </c>
      <c r="B44" s="61">
        <f t="shared" ref="B44" si="5">SUM(B11:B42)</f>
        <v>585.6</v>
      </c>
      <c r="C44" s="61">
        <f t="shared" ref="C44:AG44" si="6">SUM(C11:C42)</f>
        <v>587</v>
      </c>
      <c r="D44" s="61">
        <f t="shared" si="6"/>
        <v>586.6</v>
      </c>
      <c r="E44" s="61">
        <f t="shared" si="6"/>
        <v>586.6</v>
      </c>
      <c r="F44" s="61">
        <f t="shared" si="6"/>
        <v>586.6</v>
      </c>
      <c r="G44" s="61">
        <f t="shared" si="6"/>
        <v>586.6</v>
      </c>
      <c r="H44" s="61">
        <f t="shared" si="6"/>
        <v>586.6</v>
      </c>
      <c r="I44" s="61">
        <f t="shared" si="6"/>
        <v>586.6</v>
      </c>
      <c r="J44" s="61">
        <f t="shared" si="6"/>
        <v>586.6</v>
      </c>
      <c r="K44" s="61">
        <f t="shared" si="6"/>
        <v>586.6</v>
      </c>
      <c r="L44" s="61">
        <f t="shared" si="6"/>
        <v>584.5</v>
      </c>
      <c r="M44" s="61">
        <f t="shared" si="6"/>
        <v>584.5</v>
      </c>
      <c r="N44" s="61">
        <f t="shared" si="6"/>
        <v>584.5</v>
      </c>
      <c r="O44" s="61">
        <f t="shared" si="6"/>
        <v>584.5</v>
      </c>
      <c r="P44" s="61">
        <f t="shared" si="6"/>
        <v>584.5</v>
      </c>
      <c r="Q44" s="61">
        <f t="shared" si="6"/>
        <v>584.5</v>
      </c>
      <c r="R44" s="61">
        <f t="shared" si="6"/>
        <v>584.5</v>
      </c>
      <c r="S44" s="61">
        <f t="shared" si="6"/>
        <v>583.5</v>
      </c>
      <c r="T44" s="61">
        <f t="shared" si="6"/>
        <v>583.5</v>
      </c>
      <c r="U44" s="61">
        <f t="shared" si="6"/>
        <v>583</v>
      </c>
      <c r="V44" s="61">
        <f t="shared" si="6"/>
        <v>583</v>
      </c>
      <c r="W44" s="61">
        <f t="shared" si="6"/>
        <v>582.5</v>
      </c>
      <c r="X44" s="61">
        <v>582.5</v>
      </c>
      <c r="Y44" s="61">
        <f t="shared" si="6"/>
        <v>582.5</v>
      </c>
      <c r="Z44" s="61">
        <f t="shared" si="6"/>
        <v>582.5</v>
      </c>
      <c r="AA44" s="61">
        <f t="shared" si="6"/>
        <v>582.5</v>
      </c>
      <c r="AB44" s="61">
        <f t="shared" si="6"/>
        <v>582.5</v>
      </c>
      <c r="AC44" s="61">
        <f t="shared" si="6"/>
        <v>586.90000000000009</v>
      </c>
      <c r="AD44" s="61">
        <f t="shared" si="6"/>
        <v>586.5</v>
      </c>
      <c r="AE44" s="61">
        <f t="shared" si="6"/>
        <v>586</v>
      </c>
      <c r="AF44" s="61">
        <f t="shared" si="6"/>
        <v>585.29999999999995</v>
      </c>
      <c r="AG44" s="62">
        <f t="shared" si="6"/>
        <v>814.78000000000009</v>
      </c>
      <c r="AH44" s="48">
        <f t="shared" si="2"/>
        <v>587</v>
      </c>
      <c r="AI44" s="49">
        <f t="shared" si="3"/>
        <v>582.5</v>
      </c>
      <c r="AK44" s="50"/>
    </row>
    <row r="45" spans="1:88" x14ac:dyDescent="0.25">
      <c r="A45" s="63" t="s">
        <v>49</v>
      </c>
      <c r="B45" s="45">
        <v>15</v>
      </c>
      <c r="C45" s="45">
        <v>40</v>
      </c>
      <c r="D45" s="45">
        <v>15</v>
      </c>
      <c r="E45" s="45">
        <v>30</v>
      </c>
      <c r="F45" s="45">
        <v>15</v>
      </c>
      <c r="G45" s="45">
        <v>80</v>
      </c>
      <c r="H45" s="45">
        <v>80</v>
      </c>
      <c r="I45" s="45">
        <v>150</v>
      </c>
      <c r="J45" s="45">
        <v>200</v>
      </c>
      <c r="K45" s="45">
        <v>400</v>
      </c>
      <c r="L45" s="45">
        <v>430</v>
      </c>
      <c r="M45" s="45">
        <v>456</v>
      </c>
      <c r="N45" s="45">
        <v>436</v>
      </c>
      <c r="O45" s="45">
        <v>180</v>
      </c>
      <c r="P45" s="45">
        <v>60</v>
      </c>
      <c r="Q45" s="45">
        <v>45</v>
      </c>
      <c r="R45" s="45">
        <v>15</v>
      </c>
      <c r="S45" s="45">
        <v>15</v>
      </c>
      <c r="T45" s="45">
        <v>35</v>
      </c>
      <c r="U45" s="45">
        <v>50</v>
      </c>
      <c r="V45" s="45">
        <v>230</v>
      </c>
      <c r="W45" s="45">
        <v>385</v>
      </c>
      <c r="X45" s="45">
        <v>456</v>
      </c>
      <c r="Y45" s="45">
        <v>415</v>
      </c>
      <c r="Z45" s="45">
        <v>320</v>
      </c>
      <c r="AA45" s="45">
        <v>220</v>
      </c>
      <c r="AB45" s="45">
        <v>167.7</v>
      </c>
      <c r="AC45" s="45">
        <v>160</v>
      </c>
      <c r="AD45" s="45">
        <v>160</v>
      </c>
      <c r="AE45" s="45">
        <v>40</v>
      </c>
      <c r="AF45" s="45">
        <v>75</v>
      </c>
      <c r="AG45" s="52">
        <v>456</v>
      </c>
      <c r="AH45" s="48">
        <f t="shared" si="2"/>
        <v>456</v>
      </c>
      <c r="AI45" s="49">
        <f t="shared" si="3"/>
        <v>15</v>
      </c>
      <c r="AK45" s="50"/>
    </row>
    <row r="46" spans="1:88" x14ac:dyDescent="0.25">
      <c r="A46" s="64" t="s">
        <v>50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48</v>
      </c>
      <c r="N46" s="65">
        <v>48</v>
      </c>
      <c r="O46" s="65">
        <v>48</v>
      </c>
      <c r="P46" s="65">
        <v>48</v>
      </c>
      <c r="Q46" s="65">
        <v>48</v>
      </c>
      <c r="R46" s="65">
        <v>48</v>
      </c>
      <c r="S46" s="65">
        <v>48</v>
      </c>
      <c r="T46" s="65">
        <v>48</v>
      </c>
      <c r="U46" s="65">
        <v>48</v>
      </c>
      <c r="V46" s="65">
        <v>48</v>
      </c>
      <c r="W46" s="65">
        <v>48</v>
      </c>
      <c r="X46" s="65">
        <v>48</v>
      </c>
      <c r="Y46" s="65">
        <v>48</v>
      </c>
      <c r="Z46" s="65">
        <v>48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48</v>
      </c>
      <c r="AI46" s="49">
        <f t="shared" si="3"/>
        <v>48</v>
      </c>
      <c r="AK46" s="50"/>
    </row>
    <row r="47" spans="1:88" ht="15.75" thickBot="1" x14ac:dyDescent="0.3">
      <c r="A47" s="66" t="s">
        <v>51</v>
      </c>
      <c r="B47" s="67">
        <v>18.5</v>
      </c>
      <c r="C47" s="67">
        <v>18.5</v>
      </c>
      <c r="D47" s="67">
        <v>18.5</v>
      </c>
      <c r="E47" s="67">
        <v>18.5</v>
      </c>
      <c r="F47" s="67">
        <v>18.5</v>
      </c>
      <c r="G47" s="67">
        <v>18.5</v>
      </c>
      <c r="H47" s="67">
        <v>18.5</v>
      </c>
      <c r="I47" s="67">
        <v>18.5</v>
      </c>
      <c r="J47" s="67">
        <v>18.5</v>
      </c>
      <c r="K47" s="67">
        <v>18.5</v>
      </c>
      <c r="L47" s="67">
        <v>18.5</v>
      </c>
      <c r="M47" s="67">
        <v>18.5</v>
      </c>
      <c r="N47" s="67">
        <v>18.5</v>
      </c>
      <c r="O47" s="67">
        <v>18.399999999999999</v>
      </c>
      <c r="P47" s="67">
        <v>18.399999999999999</v>
      </c>
      <c r="Q47" s="67">
        <v>18.5</v>
      </c>
      <c r="R47" s="67">
        <v>17.7</v>
      </c>
      <c r="S47" s="67">
        <v>17.7</v>
      </c>
      <c r="T47" s="67">
        <v>17.7</v>
      </c>
      <c r="U47" s="67">
        <v>17.7</v>
      </c>
      <c r="V47" s="67">
        <v>17.7</v>
      </c>
      <c r="W47" s="67">
        <v>17.7</v>
      </c>
      <c r="X47" s="67">
        <v>17.7</v>
      </c>
      <c r="Y47" s="67">
        <v>20</v>
      </c>
      <c r="Z47" s="67">
        <v>20</v>
      </c>
      <c r="AA47" s="67">
        <v>20</v>
      </c>
      <c r="AB47" s="67">
        <v>20.100000000000001</v>
      </c>
      <c r="AC47" s="67">
        <v>20.100000000000001</v>
      </c>
      <c r="AD47" s="67">
        <v>20.100000000000001</v>
      </c>
      <c r="AE47" s="67">
        <v>18.399999999999999</v>
      </c>
      <c r="AF47" s="67">
        <v>18.399999999999999</v>
      </c>
      <c r="AG47" s="68">
        <v>22.1</v>
      </c>
      <c r="AH47" s="48">
        <f t="shared" si="2"/>
        <v>20.100000000000001</v>
      </c>
      <c r="AI47" s="49">
        <f t="shared" si="3"/>
        <v>17.7</v>
      </c>
      <c r="AK47" s="50"/>
    </row>
    <row r="48" spans="1:88" ht="15.75" thickBot="1" x14ac:dyDescent="0.3">
      <c r="A48" s="69" t="s">
        <v>52</v>
      </c>
      <c r="B48" s="61">
        <f t="shared" ref="B48" si="7">SUM(B45:B47)</f>
        <v>81.5</v>
      </c>
      <c r="C48" s="61">
        <f t="shared" ref="C48:AG48" si="8">SUM(C45:C47)</f>
        <v>106.5</v>
      </c>
      <c r="D48" s="61">
        <f t="shared" si="8"/>
        <v>81.5</v>
      </c>
      <c r="E48" s="61">
        <f t="shared" si="8"/>
        <v>96.5</v>
      </c>
      <c r="F48" s="61">
        <f t="shared" si="8"/>
        <v>81.5</v>
      </c>
      <c r="G48" s="61">
        <f t="shared" si="8"/>
        <v>146.5</v>
      </c>
      <c r="H48" s="61">
        <f t="shared" si="8"/>
        <v>146.5</v>
      </c>
      <c r="I48" s="61">
        <f t="shared" si="8"/>
        <v>216.5</v>
      </c>
      <c r="J48" s="61">
        <f t="shared" si="8"/>
        <v>266.5</v>
      </c>
      <c r="K48" s="61">
        <f t="shared" si="8"/>
        <v>466.5</v>
      </c>
      <c r="L48" s="61">
        <f t="shared" si="8"/>
        <v>496.5</v>
      </c>
      <c r="M48" s="61">
        <f t="shared" si="8"/>
        <v>522.5</v>
      </c>
      <c r="N48" s="61">
        <f t="shared" si="8"/>
        <v>502.5</v>
      </c>
      <c r="O48" s="61">
        <f t="shared" si="8"/>
        <v>246.4</v>
      </c>
      <c r="P48" s="61">
        <f t="shared" si="8"/>
        <v>126.4</v>
      </c>
      <c r="Q48" s="61">
        <f t="shared" si="8"/>
        <v>111.5</v>
      </c>
      <c r="R48" s="61">
        <f t="shared" si="8"/>
        <v>80.7</v>
      </c>
      <c r="S48" s="61">
        <f t="shared" si="8"/>
        <v>80.7</v>
      </c>
      <c r="T48" s="61">
        <f t="shared" si="8"/>
        <v>100.7</v>
      </c>
      <c r="U48" s="61">
        <f t="shared" si="8"/>
        <v>115.7</v>
      </c>
      <c r="V48" s="61">
        <f t="shared" si="8"/>
        <v>295.7</v>
      </c>
      <c r="W48" s="61">
        <f t="shared" si="8"/>
        <v>450.7</v>
      </c>
      <c r="X48" s="61">
        <v>521.70000000000005</v>
      </c>
      <c r="Y48" s="61">
        <f t="shared" si="8"/>
        <v>483</v>
      </c>
      <c r="Z48" s="61">
        <f t="shared" si="8"/>
        <v>388</v>
      </c>
      <c r="AA48" s="61">
        <f t="shared" si="8"/>
        <v>288</v>
      </c>
      <c r="AB48" s="61">
        <f t="shared" si="8"/>
        <v>235.79999999999998</v>
      </c>
      <c r="AC48" s="61">
        <f t="shared" si="8"/>
        <v>228.1</v>
      </c>
      <c r="AD48" s="61">
        <f t="shared" si="8"/>
        <v>228.1</v>
      </c>
      <c r="AE48" s="61">
        <f t="shared" si="8"/>
        <v>106.4</v>
      </c>
      <c r="AF48" s="61">
        <f t="shared" si="8"/>
        <v>141.4</v>
      </c>
      <c r="AG48" s="62">
        <f t="shared" si="8"/>
        <v>538.1</v>
      </c>
      <c r="AH48" s="48">
        <f t="shared" si="2"/>
        <v>522.5</v>
      </c>
      <c r="AI48" s="49">
        <f t="shared" si="3"/>
        <v>80.7</v>
      </c>
      <c r="AK48" s="50"/>
    </row>
    <row r="49" spans="1:41" x14ac:dyDescent="0.25">
      <c r="A49" s="44" t="s">
        <v>53</v>
      </c>
      <c r="B49" s="45">
        <v>40</v>
      </c>
      <c r="C49" s="45">
        <v>48</v>
      </c>
      <c r="D49" s="45">
        <v>48.8</v>
      </c>
      <c r="E49" s="45">
        <v>47.5</v>
      </c>
      <c r="F49" s="45">
        <v>33.1</v>
      </c>
      <c r="G49" s="45">
        <v>33.200000000000003</v>
      </c>
      <c r="H49" s="45">
        <v>73.400000000000006</v>
      </c>
      <c r="I49" s="45">
        <v>112.3</v>
      </c>
      <c r="J49" s="45">
        <v>141.80000000000001</v>
      </c>
      <c r="K49" s="45">
        <v>141.80000000000001</v>
      </c>
      <c r="L49" s="45">
        <v>141.5</v>
      </c>
      <c r="M49" s="45">
        <v>142.4</v>
      </c>
      <c r="N49" s="45">
        <v>131.9</v>
      </c>
      <c r="O49" s="45">
        <v>140.9</v>
      </c>
      <c r="P49" s="45">
        <v>133.30000000000001</v>
      </c>
      <c r="Q49" s="45">
        <v>126.2</v>
      </c>
      <c r="R49" s="45">
        <v>123.4</v>
      </c>
      <c r="S49" s="45">
        <v>117</v>
      </c>
      <c r="T49" s="45">
        <v>141</v>
      </c>
      <c r="U49" s="45">
        <v>141.19999999999999</v>
      </c>
      <c r="V49" s="45">
        <v>141.4</v>
      </c>
      <c r="W49" s="45">
        <v>141.4</v>
      </c>
      <c r="X49" s="45">
        <v>141.4</v>
      </c>
      <c r="Y49" s="45">
        <v>141.4</v>
      </c>
      <c r="Z49" s="45">
        <v>141.4</v>
      </c>
      <c r="AA49" s="45">
        <v>141.4</v>
      </c>
      <c r="AB49" s="45">
        <v>139.69999999999999</v>
      </c>
      <c r="AC49" s="45">
        <v>139.5</v>
      </c>
      <c r="AD49" s="45">
        <v>129.19999999999999</v>
      </c>
      <c r="AE49" s="45">
        <v>75</v>
      </c>
      <c r="AF49" s="45">
        <v>62.1</v>
      </c>
      <c r="AG49" s="52">
        <v>144</v>
      </c>
      <c r="AH49" s="48">
        <f t="shared" si="2"/>
        <v>142.4</v>
      </c>
      <c r="AI49" s="49">
        <f t="shared" si="3"/>
        <v>33.1</v>
      </c>
      <c r="AK49" s="50"/>
    </row>
    <row r="50" spans="1:41" x14ac:dyDescent="0.25">
      <c r="A50" s="54" t="s">
        <v>54</v>
      </c>
      <c r="B50" s="65">
        <v>0</v>
      </c>
      <c r="C50" s="65">
        <v>0</v>
      </c>
      <c r="D50" s="65">
        <v>0</v>
      </c>
      <c r="E50" s="65">
        <v>0</v>
      </c>
      <c r="F50" s="65">
        <v>34.4</v>
      </c>
      <c r="G50" s="65">
        <v>36.1</v>
      </c>
      <c r="H50" s="65">
        <v>59</v>
      </c>
      <c r="I50" s="65">
        <v>72.7</v>
      </c>
      <c r="J50" s="65">
        <v>72.2</v>
      </c>
      <c r="K50" s="65">
        <v>72.2</v>
      </c>
      <c r="L50" s="65">
        <v>73.2</v>
      </c>
      <c r="M50" s="65">
        <v>71.400000000000006</v>
      </c>
      <c r="N50" s="45">
        <v>59.9</v>
      </c>
      <c r="O50" s="45">
        <v>70.5</v>
      </c>
      <c r="P50" s="45">
        <v>59.2</v>
      </c>
      <c r="Q50" s="45">
        <v>47</v>
      </c>
      <c r="R50" s="45">
        <v>42.9</v>
      </c>
      <c r="S50" s="45">
        <v>51</v>
      </c>
      <c r="T50" s="65">
        <v>50</v>
      </c>
      <c r="U50" s="65">
        <v>34.5</v>
      </c>
      <c r="V50" s="65">
        <v>59.4</v>
      </c>
      <c r="W50" s="65">
        <v>59.4</v>
      </c>
      <c r="X50" s="65">
        <v>70.099999999999994</v>
      </c>
      <c r="Y50" s="65">
        <v>59.4</v>
      </c>
      <c r="Z50" s="65">
        <v>59.4</v>
      </c>
      <c r="AA50" s="65">
        <v>59.4</v>
      </c>
      <c r="AB50" s="65">
        <v>70.8</v>
      </c>
      <c r="AC50" s="65">
        <v>70.099999999999994</v>
      </c>
      <c r="AD50" s="65">
        <v>70.900000000000006</v>
      </c>
      <c r="AE50" s="65">
        <v>35.200000000000003</v>
      </c>
      <c r="AF50" s="65">
        <v>25.6</v>
      </c>
      <c r="AG50" s="55">
        <v>70</v>
      </c>
      <c r="AH50" s="48">
        <f t="shared" si="2"/>
        <v>73.2</v>
      </c>
      <c r="AI50" s="49">
        <f t="shared" si="3"/>
        <v>0</v>
      </c>
      <c r="AK50" s="50"/>
    </row>
    <row r="51" spans="1:41" x14ac:dyDescent="0.25">
      <c r="A51" s="54" t="s">
        <v>55</v>
      </c>
      <c r="B51" s="65">
        <v>50.4</v>
      </c>
      <c r="C51" s="65">
        <v>70.099999999999994</v>
      </c>
      <c r="D51" s="65">
        <v>55</v>
      </c>
      <c r="E51" s="65">
        <v>66.599999999999994</v>
      </c>
      <c r="F51" s="65">
        <v>69.900000000000006</v>
      </c>
      <c r="G51" s="65">
        <v>61.8</v>
      </c>
      <c r="H51" s="65">
        <v>61.2</v>
      </c>
      <c r="I51" s="65">
        <v>61.4</v>
      </c>
      <c r="J51" s="65">
        <v>64.2</v>
      </c>
      <c r="K51" s="65">
        <v>64.2</v>
      </c>
      <c r="L51" s="65">
        <v>67.3</v>
      </c>
      <c r="M51" s="65">
        <v>67.7</v>
      </c>
      <c r="N51" s="45">
        <v>51.6</v>
      </c>
      <c r="O51" s="45">
        <v>66.3</v>
      </c>
      <c r="P51" s="45">
        <v>50.8</v>
      </c>
      <c r="Q51" s="45">
        <v>51.5</v>
      </c>
      <c r="R51" s="45">
        <v>60.8</v>
      </c>
      <c r="S51" s="45">
        <v>45.7</v>
      </c>
      <c r="T51" s="65">
        <v>35.4</v>
      </c>
      <c r="U51" s="65">
        <v>65.900000000000006</v>
      </c>
      <c r="V51" s="65">
        <v>61.2</v>
      </c>
      <c r="W51" s="65">
        <v>61.2</v>
      </c>
      <c r="X51" s="65">
        <v>68.8</v>
      </c>
      <c r="Y51" s="65">
        <v>61.2</v>
      </c>
      <c r="Z51" s="65">
        <v>61.2</v>
      </c>
      <c r="AA51" s="65">
        <v>61.2</v>
      </c>
      <c r="AB51" s="65">
        <v>65.5</v>
      </c>
      <c r="AC51" s="65">
        <v>68.400000000000006</v>
      </c>
      <c r="AD51" s="65">
        <v>68.5</v>
      </c>
      <c r="AE51" s="65">
        <v>60.2</v>
      </c>
      <c r="AF51" s="65">
        <v>68.5</v>
      </c>
      <c r="AG51" s="55">
        <v>69</v>
      </c>
      <c r="AH51" s="48">
        <f t="shared" si="2"/>
        <v>70.099999999999994</v>
      </c>
      <c r="AI51" s="49">
        <f t="shared" si="3"/>
        <v>35.4</v>
      </c>
      <c r="AK51" s="50"/>
    </row>
    <row r="52" spans="1:41" x14ac:dyDescent="0.25">
      <c r="A52" s="54" t="s">
        <v>56</v>
      </c>
      <c r="B52" s="57">
        <v>60.4</v>
      </c>
      <c r="C52" s="57">
        <v>60.4</v>
      </c>
      <c r="D52" s="57">
        <v>60.4</v>
      </c>
      <c r="E52" s="57">
        <v>60.4</v>
      </c>
      <c r="F52" s="57">
        <v>60.4</v>
      </c>
      <c r="G52" s="57">
        <v>60.4</v>
      </c>
      <c r="H52" s="57">
        <v>60.4</v>
      </c>
      <c r="I52" s="57">
        <v>60.4</v>
      </c>
      <c r="J52" s="57">
        <v>60.4</v>
      </c>
      <c r="K52" s="57">
        <v>60.4</v>
      </c>
      <c r="L52" s="57">
        <v>60.4</v>
      </c>
      <c r="M52" s="65">
        <v>60.4</v>
      </c>
      <c r="N52" s="45">
        <v>60.4</v>
      </c>
      <c r="O52" s="45">
        <v>60.4</v>
      </c>
      <c r="P52" s="45">
        <v>60.4</v>
      </c>
      <c r="Q52" s="45">
        <v>60.4</v>
      </c>
      <c r="R52" s="45">
        <v>60.4</v>
      </c>
      <c r="S52" s="45">
        <v>60.4</v>
      </c>
      <c r="T52" s="45">
        <v>60.4</v>
      </c>
      <c r="U52" s="45">
        <v>60.4</v>
      </c>
      <c r="V52" s="65">
        <v>60.4</v>
      </c>
      <c r="W52" s="65">
        <v>60.4</v>
      </c>
      <c r="X52" s="65">
        <v>60.4</v>
      </c>
      <c r="Y52" s="65">
        <v>60.4</v>
      </c>
      <c r="Z52" s="65">
        <v>60.4</v>
      </c>
      <c r="AA52" s="65">
        <v>60.4</v>
      </c>
      <c r="AB52" s="57">
        <v>60.4</v>
      </c>
      <c r="AC52" s="57">
        <v>60.4</v>
      </c>
      <c r="AD52" s="57">
        <v>60.4</v>
      </c>
      <c r="AE52" s="57">
        <v>60.4</v>
      </c>
      <c r="AF52" s="57">
        <v>60.4</v>
      </c>
      <c r="AG52" s="55">
        <v>60</v>
      </c>
      <c r="AH52" s="48">
        <f t="shared" si="2"/>
        <v>60.4</v>
      </c>
      <c r="AI52" s="49">
        <f t="shared" si="3"/>
        <v>60.4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0</v>
      </c>
      <c r="E53" s="57">
        <v>0</v>
      </c>
      <c r="F53" s="57">
        <v>13</v>
      </c>
      <c r="G53" s="57">
        <v>15</v>
      </c>
      <c r="H53" s="57">
        <v>15</v>
      </c>
      <c r="I53" s="57">
        <v>13.1</v>
      </c>
      <c r="J53" s="57">
        <v>26.7</v>
      </c>
      <c r="K53" s="57">
        <v>29.9</v>
      </c>
      <c r="L53" s="57">
        <v>27.1</v>
      </c>
      <c r="M53" s="57">
        <v>27.1</v>
      </c>
      <c r="N53" s="45">
        <v>15.2</v>
      </c>
      <c r="O53" s="45">
        <v>15.2</v>
      </c>
      <c r="P53" s="45">
        <v>13.3</v>
      </c>
      <c r="Q53" s="45">
        <v>13.3</v>
      </c>
      <c r="R53" s="45">
        <v>0</v>
      </c>
      <c r="S53" s="45">
        <v>0</v>
      </c>
      <c r="T53" s="45">
        <v>0</v>
      </c>
      <c r="U53" s="4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57">
        <v>28.1</v>
      </c>
      <c r="AC53" s="57">
        <v>28.2</v>
      </c>
      <c r="AD53" s="57">
        <v>13.3</v>
      </c>
      <c r="AE53" s="57">
        <v>0</v>
      </c>
      <c r="AF53" s="57">
        <v>0</v>
      </c>
      <c r="AG53" s="55">
        <v>30</v>
      </c>
      <c r="AH53" s="48">
        <f t="shared" si="2"/>
        <v>29.9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4</v>
      </c>
      <c r="O54" s="65">
        <v>4</v>
      </c>
      <c r="P54" s="65">
        <v>4</v>
      </c>
      <c r="Q54" s="65">
        <v>4</v>
      </c>
      <c r="R54" s="45">
        <v>4</v>
      </c>
      <c r="S54" s="45">
        <v>4</v>
      </c>
      <c r="T54" s="45">
        <v>4</v>
      </c>
      <c r="U54" s="45">
        <v>4</v>
      </c>
      <c r="V54" s="45">
        <v>4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</v>
      </c>
      <c r="C55" s="65">
        <v>17.3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17.3</v>
      </c>
      <c r="N55" s="65">
        <v>17.3</v>
      </c>
      <c r="O55" s="65">
        <v>17.3</v>
      </c>
      <c r="P55" s="65">
        <v>17.3</v>
      </c>
      <c r="Q55" s="65">
        <v>17.3</v>
      </c>
      <c r="R55" s="65">
        <v>17.3</v>
      </c>
      <c r="S55" s="65">
        <v>17.3</v>
      </c>
      <c r="T55" s="65">
        <v>17.3</v>
      </c>
      <c r="U55" s="45">
        <v>17.3</v>
      </c>
      <c r="V55" s="45">
        <v>17.3</v>
      </c>
      <c r="W55" s="45">
        <v>17.3</v>
      </c>
      <c r="X55" s="45">
        <v>17.3</v>
      </c>
      <c r="Y55" s="45">
        <v>17.3</v>
      </c>
      <c r="Z55" s="45">
        <v>17.3</v>
      </c>
      <c r="AA55" s="45">
        <v>17.3</v>
      </c>
      <c r="AB55" s="45">
        <v>17.3</v>
      </c>
      <c r="AC55" s="45">
        <v>17.3</v>
      </c>
      <c r="AD55" s="45">
        <v>17.3</v>
      </c>
      <c r="AE55" s="45">
        <v>17.3</v>
      </c>
      <c r="AF55" s="45">
        <v>17.3</v>
      </c>
      <c r="AG55" s="55">
        <v>24</v>
      </c>
      <c r="AH55" s="48">
        <f t="shared" si="2"/>
        <v>17.3</v>
      </c>
      <c r="AI55" s="49">
        <f t="shared" si="3"/>
        <v>17.3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14.6</v>
      </c>
      <c r="C57" s="65">
        <v>14.4</v>
      </c>
      <c r="D57" s="65">
        <v>14.4</v>
      </c>
      <c r="E57" s="65">
        <v>14.4</v>
      </c>
      <c r="F57" s="65">
        <v>14.4</v>
      </c>
      <c r="G57" s="65">
        <v>14.4</v>
      </c>
      <c r="H57" s="65">
        <v>14.4</v>
      </c>
      <c r="I57" s="65">
        <v>14.4</v>
      </c>
      <c r="J57" s="65">
        <v>14.4</v>
      </c>
      <c r="K57" s="65">
        <v>14.4</v>
      </c>
      <c r="L57" s="65">
        <v>14.4</v>
      </c>
      <c r="M57" s="65">
        <v>14.4</v>
      </c>
      <c r="N57" s="65">
        <v>14.4</v>
      </c>
      <c r="O57" s="65">
        <v>14.4</v>
      </c>
      <c r="P57" s="65">
        <v>14.4</v>
      </c>
      <c r="Q57" s="65">
        <v>14.4</v>
      </c>
      <c r="R57" s="65">
        <v>14.4</v>
      </c>
      <c r="S57" s="65">
        <v>14.4</v>
      </c>
      <c r="T57" s="65">
        <v>14.4</v>
      </c>
      <c r="U57" s="65">
        <v>14.2</v>
      </c>
      <c r="V57" s="65">
        <v>14.2</v>
      </c>
      <c r="W57" s="65">
        <v>14.2</v>
      </c>
      <c r="X57" s="65">
        <v>14.2</v>
      </c>
      <c r="Y57" s="65">
        <v>14.2</v>
      </c>
      <c r="Z57" s="65">
        <v>14.2</v>
      </c>
      <c r="AA57" s="65">
        <v>14.2</v>
      </c>
      <c r="AB57" s="65">
        <v>14.2</v>
      </c>
      <c r="AC57" s="65">
        <v>14.9</v>
      </c>
      <c r="AD57" s="65">
        <v>15</v>
      </c>
      <c r="AE57" s="65">
        <v>15</v>
      </c>
      <c r="AF57" s="65">
        <v>15.5</v>
      </c>
      <c r="AG57" s="55">
        <v>14.1</v>
      </c>
      <c r="AH57" s="48">
        <f t="shared" si="2"/>
        <v>15.5</v>
      </c>
      <c r="AI57" s="49">
        <f t="shared" si="3"/>
        <v>14.2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7.2</v>
      </c>
      <c r="C58" s="65">
        <v>7.2</v>
      </c>
      <c r="D58" s="65">
        <v>7.2</v>
      </c>
      <c r="E58" s="65">
        <v>7.2</v>
      </c>
      <c r="F58" s="65">
        <v>7.2</v>
      </c>
      <c r="G58" s="65">
        <v>7.2</v>
      </c>
      <c r="H58" s="65">
        <v>7.2</v>
      </c>
      <c r="I58" s="65">
        <v>7.2</v>
      </c>
      <c r="J58" s="65">
        <v>7.2</v>
      </c>
      <c r="K58" s="65">
        <v>7.2</v>
      </c>
      <c r="L58" s="65">
        <v>7.2</v>
      </c>
      <c r="M58" s="65">
        <v>7.2</v>
      </c>
      <c r="N58" s="65">
        <v>7.2</v>
      </c>
      <c r="O58" s="65">
        <v>7.2</v>
      </c>
      <c r="P58" s="65">
        <v>7.2</v>
      </c>
      <c r="Q58" s="65">
        <v>7.2</v>
      </c>
      <c r="R58" s="65">
        <v>7.2</v>
      </c>
      <c r="S58" s="65">
        <v>7.2</v>
      </c>
      <c r="T58" s="65">
        <v>7.2</v>
      </c>
      <c r="U58" s="65">
        <v>7.2</v>
      </c>
      <c r="V58" s="65">
        <v>7.2</v>
      </c>
      <c r="W58" s="65">
        <v>7.2</v>
      </c>
      <c r="X58" s="65">
        <v>7.2</v>
      </c>
      <c r="Y58" s="65">
        <v>7.2</v>
      </c>
      <c r="Z58" s="65">
        <v>7.2</v>
      </c>
      <c r="AA58" s="65">
        <v>7.2</v>
      </c>
      <c r="AB58" s="65">
        <v>7.2</v>
      </c>
      <c r="AC58" s="65">
        <v>7.5</v>
      </c>
      <c r="AD58" s="65">
        <v>7.6</v>
      </c>
      <c r="AE58" s="65">
        <v>7.6</v>
      </c>
      <c r="AF58" s="65">
        <v>7.6</v>
      </c>
      <c r="AG58" s="55">
        <v>14</v>
      </c>
      <c r="AH58" s="48">
        <f t="shared" si="2"/>
        <v>7.6</v>
      </c>
      <c r="AI58" s="49">
        <f t="shared" si="3"/>
        <v>7.2</v>
      </c>
      <c r="AK58" s="50"/>
    </row>
    <row r="59" spans="1:41" x14ac:dyDescent="0.25">
      <c r="A59" s="54" t="s">
        <v>63</v>
      </c>
      <c r="B59" s="65">
        <v>7.1</v>
      </c>
      <c r="C59" s="65">
        <v>7.1</v>
      </c>
      <c r="D59" s="65">
        <v>7.1</v>
      </c>
      <c r="E59" s="65">
        <v>7.1</v>
      </c>
      <c r="F59" s="65">
        <v>7.1</v>
      </c>
      <c r="G59" s="65">
        <v>7.1</v>
      </c>
      <c r="H59" s="65">
        <v>7.1</v>
      </c>
      <c r="I59" s="65">
        <v>7.1</v>
      </c>
      <c r="J59" s="65">
        <v>7.1</v>
      </c>
      <c r="K59" s="65">
        <v>7.1</v>
      </c>
      <c r="L59" s="65">
        <v>7.1</v>
      </c>
      <c r="M59" s="65">
        <v>7.1</v>
      </c>
      <c r="N59" s="65">
        <v>7.1</v>
      </c>
      <c r="O59" s="65">
        <v>7.1</v>
      </c>
      <c r="P59" s="65">
        <v>7.1</v>
      </c>
      <c r="Q59" s="65">
        <v>7.1</v>
      </c>
      <c r="R59" s="65">
        <v>7.1</v>
      </c>
      <c r="S59" s="65">
        <v>7.1</v>
      </c>
      <c r="T59" s="65">
        <v>7.1</v>
      </c>
      <c r="U59" s="65">
        <v>7.1</v>
      </c>
      <c r="V59" s="65">
        <v>7.1</v>
      </c>
      <c r="W59" s="65">
        <v>7.1</v>
      </c>
      <c r="X59" s="65">
        <v>7.1</v>
      </c>
      <c r="Y59" s="65">
        <v>7.1</v>
      </c>
      <c r="Z59" s="65">
        <v>7.1</v>
      </c>
      <c r="AA59" s="65">
        <v>7.1</v>
      </c>
      <c r="AB59" s="65">
        <v>7.1</v>
      </c>
      <c r="AC59" s="65">
        <v>7.1</v>
      </c>
      <c r="AD59" s="65">
        <v>7.1</v>
      </c>
      <c r="AE59" s="65">
        <v>7.1</v>
      </c>
      <c r="AF59" s="65">
        <v>7.1</v>
      </c>
      <c r="AG59" s="55">
        <v>10.050000000000001</v>
      </c>
      <c r="AH59" s="48">
        <f t="shared" si="2"/>
        <v>7.1</v>
      </c>
      <c r="AI59" s="49">
        <f t="shared" si="3"/>
        <v>7.1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" si="9">SUM(B49:B61)</f>
        <v>204.14</v>
      </c>
      <c r="C62" s="61">
        <f t="shared" ref="C62:AG62" si="10">SUM(C49:C61)</f>
        <v>231.64</v>
      </c>
      <c r="D62" s="61">
        <f t="shared" si="10"/>
        <v>217.33999999999997</v>
      </c>
      <c r="E62" s="61">
        <f t="shared" si="10"/>
        <v>227.64</v>
      </c>
      <c r="F62" s="61">
        <f t="shared" si="10"/>
        <v>263.94000000000005</v>
      </c>
      <c r="G62" s="61">
        <f t="shared" si="10"/>
        <v>259.64000000000004</v>
      </c>
      <c r="H62" s="61">
        <f t="shared" si="10"/>
        <v>322.14000000000004</v>
      </c>
      <c r="I62" s="61">
        <f t="shared" si="10"/>
        <v>373.04000000000008</v>
      </c>
      <c r="J62" s="61">
        <f t="shared" si="10"/>
        <v>418.44</v>
      </c>
      <c r="K62" s="61">
        <f t="shared" si="10"/>
        <v>421.64</v>
      </c>
      <c r="L62" s="61">
        <f t="shared" si="10"/>
        <v>422.64000000000004</v>
      </c>
      <c r="M62" s="61">
        <f t="shared" si="10"/>
        <v>422.14000000000004</v>
      </c>
      <c r="N62" s="61">
        <f t="shared" si="10"/>
        <v>376.14000000000004</v>
      </c>
      <c r="O62" s="61">
        <f t="shared" si="10"/>
        <v>410.44</v>
      </c>
      <c r="P62" s="61">
        <f t="shared" si="10"/>
        <v>374.14000000000004</v>
      </c>
      <c r="Q62" s="61">
        <f t="shared" si="10"/>
        <v>355.54</v>
      </c>
      <c r="R62" s="61">
        <f t="shared" si="10"/>
        <v>344.64000000000004</v>
      </c>
      <c r="S62" s="61">
        <f t="shared" si="10"/>
        <v>331.24</v>
      </c>
      <c r="T62" s="61">
        <f t="shared" si="10"/>
        <v>343.94000000000005</v>
      </c>
      <c r="U62" s="61">
        <f t="shared" si="10"/>
        <v>358.94000000000005</v>
      </c>
      <c r="V62" s="61">
        <f t="shared" si="10"/>
        <v>379.34000000000003</v>
      </c>
      <c r="W62" s="61">
        <f t="shared" si="10"/>
        <v>375.34000000000003</v>
      </c>
      <c r="X62" s="61">
        <v>393.64000000000004</v>
      </c>
      <c r="Y62" s="61">
        <f t="shared" si="10"/>
        <v>375.34000000000003</v>
      </c>
      <c r="Z62" s="61">
        <f t="shared" si="10"/>
        <v>375.34000000000003</v>
      </c>
      <c r="AA62" s="61">
        <f t="shared" si="10"/>
        <v>375.34000000000003</v>
      </c>
      <c r="AB62" s="61">
        <f t="shared" si="10"/>
        <v>417.44000000000005</v>
      </c>
      <c r="AC62" s="61">
        <f t="shared" si="10"/>
        <v>420.54</v>
      </c>
      <c r="AD62" s="61">
        <f t="shared" si="10"/>
        <v>396.44000000000011</v>
      </c>
      <c r="AE62" s="61">
        <f t="shared" si="10"/>
        <v>284.94000000000011</v>
      </c>
      <c r="AF62" s="61">
        <f t="shared" si="10"/>
        <v>271.24000000000007</v>
      </c>
      <c r="AG62" s="62">
        <f t="shared" si="10"/>
        <v>489.91</v>
      </c>
      <c r="AH62" s="48">
        <f t="shared" si="2"/>
        <v>422.64000000000004</v>
      </c>
      <c r="AI62" s="49">
        <f t="shared" si="3"/>
        <v>204.14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60</v>
      </c>
      <c r="M63" s="45">
        <v>60</v>
      </c>
      <c r="N63" s="45">
        <v>59.8</v>
      </c>
      <c r="O63" s="45">
        <v>59.8</v>
      </c>
      <c r="P63" s="45">
        <v>20.100000000000001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58.9</v>
      </c>
      <c r="Y63" s="45">
        <v>59.3</v>
      </c>
      <c r="Z63" s="45">
        <v>59.7</v>
      </c>
      <c r="AA63" s="45">
        <v>59.7</v>
      </c>
      <c r="AB63" s="45">
        <v>59.8</v>
      </c>
      <c r="AC63" s="45">
        <v>59.5</v>
      </c>
      <c r="AD63" s="45">
        <v>59.4</v>
      </c>
      <c r="AE63" s="45">
        <v>0</v>
      </c>
      <c r="AF63" s="45">
        <v>0</v>
      </c>
      <c r="AG63" s="52">
        <v>60</v>
      </c>
      <c r="AH63" s="48">
        <f t="shared" si="2"/>
        <v>60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27.5</v>
      </c>
      <c r="M64" s="65">
        <v>27.6</v>
      </c>
      <c r="N64" s="65">
        <v>28.3</v>
      </c>
      <c r="O64" s="65">
        <v>28.3</v>
      </c>
      <c r="P64" s="65">
        <v>8.6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25.7</v>
      </c>
      <c r="Y64" s="65">
        <v>28.3</v>
      </c>
      <c r="Z64" s="65">
        <v>28.3</v>
      </c>
      <c r="AA64" s="65">
        <v>28.3</v>
      </c>
      <c r="AB64" s="65">
        <v>28.6</v>
      </c>
      <c r="AC64" s="65">
        <v>28.6</v>
      </c>
      <c r="AD64" s="65">
        <v>27.1</v>
      </c>
      <c r="AE64" s="65">
        <v>0</v>
      </c>
      <c r="AF64" s="65">
        <v>0</v>
      </c>
      <c r="AG64" s="55">
        <v>32</v>
      </c>
      <c r="AH64" s="48">
        <f t="shared" si="2"/>
        <v>28.6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10</v>
      </c>
      <c r="M65" s="67">
        <v>10.1</v>
      </c>
      <c r="N65" s="67">
        <v>10.3</v>
      </c>
      <c r="O65" s="67">
        <v>10.3</v>
      </c>
      <c r="P65" s="67">
        <v>3.1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9.4</v>
      </c>
      <c r="Y65" s="67">
        <v>10.3</v>
      </c>
      <c r="Z65" s="67">
        <v>10.3</v>
      </c>
      <c r="AA65" s="67">
        <v>10.3</v>
      </c>
      <c r="AB65" s="67">
        <v>10.4</v>
      </c>
      <c r="AC65" s="67">
        <v>10.4</v>
      </c>
      <c r="AD65" s="67">
        <v>9.9</v>
      </c>
      <c r="AE65" s="67">
        <v>0</v>
      </c>
      <c r="AF65" s="67">
        <v>0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" si="11">SUM(B63:B65)</f>
        <v>0</v>
      </c>
      <c r="C66" s="61">
        <f t="shared" ref="C66:AG66" si="12">SUM(C63:C65)</f>
        <v>0</v>
      </c>
      <c r="D66" s="61">
        <f t="shared" si="12"/>
        <v>0</v>
      </c>
      <c r="E66" s="61">
        <f t="shared" si="12"/>
        <v>0</v>
      </c>
      <c r="F66" s="61">
        <f t="shared" si="12"/>
        <v>0</v>
      </c>
      <c r="G66" s="61">
        <f t="shared" si="12"/>
        <v>0</v>
      </c>
      <c r="H66" s="61">
        <f t="shared" si="12"/>
        <v>0</v>
      </c>
      <c r="I66" s="61">
        <f t="shared" si="12"/>
        <v>0</v>
      </c>
      <c r="J66" s="61">
        <f t="shared" si="12"/>
        <v>0</v>
      </c>
      <c r="K66" s="61">
        <f t="shared" si="12"/>
        <v>0</v>
      </c>
      <c r="L66" s="61">
        <f t="shared" si="12"/>
        <v>97.5</v>
      </c>
      <c r="M66" s="61">
        <f t="shared" si="12"/>
        <v>97.699999999999989</v>
      </c>
      <c r="N66" s="61">
        <f t="shared" si="12"/>
        <v>98.399999999999991</v>
      </c>
      <c r="O66" s="61">
        <f t="shared" si="12"/>
        <v>98.399999999999991</v>
      </c>
      <c r="P66" s="61">
        <f t="shared" si="12"/>
        <v>31.800000000000004</v>
      </c>
      <c r="Q66" s="61">
        <f t="shared" si="12"/>
        <v>0</v>
      </c>
      <c r="R66" s="61">
        <f t="shared" si="12"/>
        <v>0</v>
      </c>
      <c r="S66" s="61">
        <f t="shared" si="12"/>
        <v>0</v>
      </c>
      <c r="T66" s="61">
        <f t="shared" si="12"/>
        <v>0</v>
      </c>
      <c r="U66" s="61">
        <f t="shared" si="12"/>
        <v>0</v>
      </c>
      <c r="V66" s="61">
        <f t="shared" si="12"/>
        <v>0</v>
      </c>
      <c r="W66" s="61">
        <f t="shared" si="12"/>
        <v>0</v>
      </c>
      <c r="X66" s="61">
        <v>94</v>
      </c>
      <c r="Y66" s="61">
        <f t="shared" si="12"/>
        <v>97.899999999999991</v>
      </c>
      <c r="Z66" s="61">
        <f t="shared" si="12"/>
        <v>98.3</v>
      </c>
      <c r="AA66" s="61">
        <f t="shared" si="12"/>
        <v>98.3</v>
      </c>
      <c r="AB66" s="61">
        <f t="shared" si="12"/>
        <v>98.800000000000011</v>
      </c>
      <c r="AC66" s="61">
        <f t="shared" si="12"/>
        <v>98.5</v>
      </c>
      <c r="AD66" s="61">
        <f t="shared" si="12"/>
        <v>96.4</v>
      </c>
      <c r="AE66" s="61">
        <f t="shared" si="12"/>
        <v>0</v>
      </c>
      <c r="AF66" s="61">
        <f t="shared" si="12"/>
        <v>0</v>
      </c>
      <c r="AG66" s="62">
        <f t="shared" si="12"/>
        <v>106</v>
      </c>
      <c r="AH66" s="48">
        <f t="shared" si="2"/>
        <v>98.800000000000011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17.8</v>
      </c>
      <c r="C67" s="45">
        <v>16.899999999999999</v>
      </c>
      <c r="D67" s="45">
        <v>15.3</v>
      </c>
      <c r="E67" s="45">
        <v>15.2</v>
      </c>
      <c r="F67" s="45">
        <v>15.3</v>
      </c>
      <c r="G67" s="45">
        <v>20.7</v>
      </c>
      <c r="H67" s="45">
        <v>25.5</v>
      </c>
      <c r="I67" s="45">
        <v>18.3</v>
      </c>
      <c r="J67" s="45">
        <v>34.299999999999997</v>
      </c>
      <c r="K67" s="45">
        <v>51.3</v>
      </c>
      <c r="L67" s="45">
        <v>42.5</v>
      </c>
      <c r="M67" s="45">
        <v>40.799999999999997</v>
      </c>
      <c r="N67" s="45">
        <v>41.6</v>
      </c>
      <c r="O67" s="45">
        <v>42.3</v>
      </c>
      <c r="P67" s="45">
        <v>41.1</v>
      </c>
      <c r="Q67" s="45">
        <v>38.9</v>
      </c>
      <c r="R67" s="45">
        <v>47.6</v>
      </c>
      <c r="S67" s="45">
        <v>50.1</v>
      </c>
      <c r="T67" s="45">
        <v>50.1</v>
      </c>
      <c r="U67" s="45">
        <v>50.07</v>
      </c>
      <c r="V67" s="45">
        <v>50.01</v>
      </c>
      <c r="W67" s="45">
        <v>52</v>
      </c>
      <c r="X67" s="45">
        <v>52.6</v>
      </c>
      <c r="Y67" s="45">
        <v>49.6</v>
      </c>
      <c r="Z67" s="45">
        <v>43.8</v>
      </c>
      <c r="AA67" s="45">
        <v>52</v>
      </c>
      <c r="AB67" s="45">
        <v>46.1</v>
      </c>
      <c r="AC67" s="45">
        <v>35.200000000000003</v>
      </c>
      <c r="AD67" s="45">
        <v>17.100000000000001</v>
      </c>
      <c r="AE67" s="45">
        <v>15.9</v>
      </c>
      <c r="AF67" s="45">
        <v>19</v>
      </c>
      <c r="AG67" s="52"/>
      <c r="AH67" s="48">
        <f t="shared" si="2"/>
        <v>52.6</v>
      </c>
      <c r="AI67" s="49">
        <f t="shared" si="3"/>
        <v>15.2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48.2</v>
      </c>
      <c r="C69" s="65">
        <v>-5</v>
      </c>
      <c r="D69" s="65">
        <v>5.0999999999999996</v>
      </c>
      <c r="E69" s="65">
        <v>2.1</v>
      </c>
      <c r="F69" s="65">
        <v>-3.8</v>
      </c>
      <c r="G69" s="65">
        <v>5.4</v>
      </c>
      <c r="H69" s="65">
        <v>-7.7</v>
      </c>
      <c r="I69" s="65">
        <v>5.0999999999999996</v>
      </c>
      <c r="J69" s="65">
        <v>6.2</v>
      </c>
      <c r="K69" s="65">
        <v>-87</v>
      </c>
      <c r="L69" s="65">
        <v>-118.9</v>
      </c>
      <c r="M69" s="65">
        <v>-165.2</v>
      </c>
      <c r="N69" s="65">
        <v>-164</v>
      </c>
      <c r="O69" s="65">
        <v>1</v>
      </c>
      <c r="P69" s="65">
        <v>140</v>
      </c>
      <c r="Q69" s="65">
        <v>149.5</v>
      </c>
      <c r="R69" s="65">
        <v>137</v>
      </c>
      <c r="S69" s="65">
        <v>150</v>
      </c>
      <c r="T69" s="65">
        <v>150</v>
      </c>
      <c r="U69" s="65">
        <v>152</v>
      </c>
      <c r="V69" s="65">
        <v>-101</v>
      </c>
      <c r="W69" s="65">
        <v>-101</v>
      </c>
      <c r="X69" s="65">
        <v>-122.2</v>
      </c>
      <c r="Y69" s="65">
        <v>-140.30000000000001</v>
      </c>
      <c r="Z69" s="65">
        <v>-135</v>
      </c>
      <c r="AA69" s="65">
        <v>-90</v>
      </c>
      <c r="AB69" s="65">
        <v>-111.2</v>
      </c>
      <c r="AC69" s="65">
        <v>-145.6</v>
      </c>
      <c r="AD69" s="65">
        <v>-152</v>
      </c>
      <c r="AE69" s="65">
        <v>-5.9</v>
      </c>
      <c r="AF69" s="65">
        <v>10</v>
      </c>
      <c r="AG69" s="75"/>
      <c r="AH69" s="48">
        <f t="shared" si="2"/>
        <v>152</v>
      </c>
      <c r="AI69" s="49">
        <f t="shared" si="3"/>
        <v>-165.2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6">
        <v>0</v>
      </c>
      <c r="AD72" s="76">
        <v>0</v>
      </c>
      <c r="AE72" s="76">
        <v>0</v>
      </c>
      <c r="AF72" s="76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6">
        <v>0</v>
      </c>
      <c r="AD76" s="76">
        <v>0</v>
      </c>
      <c r="AE76" s="76">
        <v>0</v>
      </c>
      <c r="AF76" s="76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6">
        <v>0</v>
      </c>
      <c r="AD77" s="76">
        <v>0</v>
      </c>
      <c r="AE77" s="76">
        <v>0</v>
      </c>
      <c r="AF77" s="76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" si="13">SUMIF(B67:B77,"&gt;0")</f>
        <v>66</v>
      </c>
      <c r="C78" s="61">
        <f t="shared" ref="C78:AF78" si="14">SUMIF(C67:C77,"&gt;0")</f>
        <v>16.899999999999999</v>
      </c>
      <c r="D78" s="61">
        <f t="shared" si="14"/>
        <v>20.399999999999999</v>
      </c>
      <c r="E78" s="61">
        <f t="shared" si="14"/>
        <v>17.3</v>
      </c>
      <c r="F78" s="61">
        <f t="shared" si="14"/>
        <v>15.3</v>
      </c>
      <c r="G78" s="61">
        <f t="shared" si="14"/>
        <v>26.1</v>
      </c>
      <c r="H78" s="61">
        <f t="shared" si="14"/>
        <v>25.5</v>
      </c>
      <c r="I78" s="61">
        <f t="shared" si="14"/>
        <v>23.4</v>
      </c>
      <c r="J78" s="61">
        <f t="shared" si="14"/>
        <v>40.5</v>
      </c>
      <c r="K78" s="61">
        <f t="shared" si="14"/>
        <v>51.3</v>
      </c>
      <c r="L78" s="61">
        <f t="shared" si="14"/>
        <v>42.5</v>
      </c>
      <c r="M78" s="61">
        <f t="shared" si="14"/>
        <v>40.799999999999997</v>
      </c>
      <c r="N78" s="61">
        <f t="shared" si="14"/>
        <v>41.6</v>
      </c>
      <c r="O78" s="61">
        <f t="shared" si="14"/>
        <v>43.3</v>
      </c>
      <c r="P78" s="61">
        <f t="shared" si="14"/>
        <v>181.1</v>
      </c>
      <c r="Q78" s="61">
        <f t="shared" si="14"/>
        <v>188.4</v>
      </c>
      <c r="R78" s="61">
        <f t="shared" si="14"/>
        <v>184.6</v>
      </c>
      <c r="S78" s="61">
        <f t="shared" si="14"/>
        <v>200.1</v>
      </c>
      <c r="T78" s="61">
        <f t="shared" si="14"/>
        <v>200.1</v>
      </c>
      <c r="U78" s="61">
        <f t="shared" si="14"/>
        <v>202.07</v>
      </c>
      <c r="V78" s="61">
        <f t="shared" si="14"/>
        <v>50.01</v>
      </c>
      <c r="W78" s="61">
        <f t="shared" si="14"/>
        <v>52</v>
      </c>
      <c r="X78" s="61">
        <v>52.6</v>
      </c>
      <c r="Y78" s="61">
        <f t="shared" si="14"/>
        <v>49.6</v>
      </c>
      <c r="Z78" s="61">
        <f t="shared" si="14"/>
        <v>43.8</v>
      </c>
      <c r="AA78" s="61">
        <f t="shared" si="14"/>
        <v>52</v>
      </c>
      <c r="AB78" s="61">
        <f t="shared" si="14"/>
        <v>46.1</v>
      </c>
      <c r="AC78" s="61">
        <f t="shared" si="14"/>
        <v>35.200000000000003</v>
      </c>
      <c r="AD78" s="61">
        <f t="shared" si="14"/>
        <v>17.100000000000001</v>
      </c>
      <c r="AE78" s="61">
        <f t="shared" si="14"/>
        <v>15.9</v>
      </c>
      <c r="AF78" s="61">
        <f t="shared" si="14"/>
        <v>29</v>
      </c>
      <c r="AG78" s="81">
        <f>SUM(AG67:AG77)</f>
        <v>0</v>
      </c>
      <c r="AH78" s="48">
        <f t="shared" si="2"/>
        <v>202.07</v>
      </c>
      <c r="AI78" s="49">
        <f t="shared" si="3"/>
        <v>15.3</v>
      </c>
      <c r="AK78" s="50"/>
    </row>
    <row r="79" spans="1:37" x14ac:dyDescent="0.25">
      <c r="A79" s="44" t="s">
        <v>83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/>
      <c r="AD80" s="77"/>
      <c r="AE80" s="77"/>
      <c r="AF80" s="77"/>
      <c r="AG80" s="75">
        <v>14.4</v>
      </c>
      <c r="AH80" s="48">
        <f t="shared" ref="AH80:AH113" si="15">MAX(B80:AF80)</f>
        <v>0</v>
      </c>
      <c r="AI80" s="49">
        <f t="shared" ref="AI80:AI113" si="16">MIN(B80:AF80)</f>
        <v>0</v>
      </c>
      <c r="AK80" s="50"/>
    </row>
    <row r="81" spans="1:37" ht="15.75" thickBot="1" x14ac:dyDescent="0.3">
      <c r="A81" s="78" t="s">
        <v>85</v>
      </c>
      <c r="B81" s="79">
        <v>0</v>
      </c>
      <c r="C81" s="79">
        <v>0</v>
      </c>
      <c r="D81" s="79">
        <v>0</v>
      </c>
      <c r="E81" s="79">
        <v>0</v>
      </c>
      <c r="F81" s="79">
        <v>0</v>
      </c>
      <c r="G81" s="79">
        <v>0</v>
      </c>
      <c r="H81" s="79">
        <v>0</v>
      </c>
      <c r="I81" s="79">
        <v>0</v>
      </c>
      <c r="J81" s="79">
        <v>0</v>
      </c>
      <c r="K81" s="79">
        <v>0</v>
      </c>
      <c r="L81" s="79">
        <v>0</v>
      </c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/>
      <c r="AD81" s="79"/>
      <c r="AE81" s="79"/>
      <c r="AF81" s="79"/>
      <c r="AG81" s="80">
        <v>2</v>
      </c>
      <c r="AH81" s="48">
        <f t="shared" si="15"/>
        <v>0</v>
      </c>
      <c r="AI81" s="49">
        <f t="shared" si="16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5"/>
        <v>0</v>
      </c>
      <c r="AI82" s="49">
        <f t="shared" si="16"/>
        <v>0</v>
      </c>
    </row>
    <row r="83" spans="1:37" ht="15.75" thickBot="1" x14ac:dyDescent="0.3">
      <c r="A83" s="74" t="s">
        <v>87</v>
      </c>
      <c r="B83" s="83">
        <f t="shared" ref="B83" si="17">B44+B48+B66+B62+B78+B82</f>
        <v>937.24</v>
      </c>
      <c r="C83" s="83">
        <f t="shared" ref="C83:AG83" si="18">C44+C48+C66+C62+C78+C82</f>
        <v>942.04</v>
      </c>
      <c r="D83" s="83">
        <f t="shared" si="18"/>
        <v>905.84</v>
      </c>
      <c r="E83" s="83">
        <f t="shared" si="18"/>
        <v>928.04</v>
      </c>
      <c r="F83" s="83">
        <f t="shared" si="18"/>
        <v>947.34</v>
      </c>
      <c r="G83" s="83">
        <f t="shared" si="18"/>
        <v>1018.84</v>
      </c>
      <c r="H83" s="83">
        <f t="shared" si="18"/>
        <v>1080.74</v>
      </c>
      <c r="I83" s="83">
        <f t="shared" si="18"/>
        <v>1199.5400000000002</v>
      </c>
      <c r="J83" s="83">
        <f t="shared" si="18"/>
        <v>1312.04</v>
      </c>
      <c r="K83" s="83">
        <f t="shared" si="18"/>
        <v>1526.0399999999997</v>
      </c>
      <c r="L83" s="83">
        <f t="shared" si="18"/>
        <v>1643.64</v>
      </c>
      <c r="M83" s="83">
        <f t="shared" si="18"/>
        <v>1667.64</v>
      </c>
      <c r="N83" s="83">
        <f t="shared" si="18"/>
        <v>1603.14</v>
      </c>
      <c r="O83" s="83">
        <f t="shared" si="18"/>
        <v>1383.04</v>
      </c>
      <c r="P83" s="83">
        <f t="shared" si="18"/>
        <v>1297.9399999999998</v>
      </c>
      <c r="Q83" s="83">
        <f t="shared" si="18"/>
        <v>1239.94</v>
      </c>
      <c r="R83" s="83">
        <f t="shared" si="18"/>
        <v>1194.44</v>
      </c>
      <c r="S83" s="83">
        <f t="shared" si="18"/>
        <v>1195.54</v>
      </c>
      <c r="T83" s="83">
        <f t="shared" si="18"/>
        <v>1228.24</v>
      </c>
      <c r="U83" s="83">
        <f t="shared" si="18"/>
        <v>1259.71</v>
      </c>
      <c r="V83" s="83">
        <f t="shared" si="18"/>
        <v>1308.05</v>
      </c>
      <c r="W83" s="83">
        <f t="shared" si="18"/>
        <v>1460.54</v>
      </c>
      <c r="X83" s="83">
        <v>1644.44</v>
      </c>
      <c r="Y83" s="83">
        <f t="shared" si="18"/>
        <v>1588.3400000000001</v>
      </c>
      <c r="Z83" s="83">
        <f t="shared" si="18"/>
        <v>1487.9399999999998</v>
      </c>
      <c r="AA83" s="83">
        <f t="shared" si="18"/>
        <v>1396.1399999999999</v>
      </c>
      <c r="AB83" s="83">
        <f t="shared" si="18"/>
        <v>1380.6399999999999</v>
      </c>
      <c r="AC83" s="83">
        <f t="shared" si="18"/>
        <v>1369.2400000000002</v>
      </c>
      <c r="AD83" s="83">
        <f t="shared" si="18"/>
        <v>1324.54</v>
      </c>
      <c r="AE83" s="83">
        <f t="shared" si="18"/>
        <v>993.24000000000012</v>
      </c>
      <c r="AF83" s="83">
        <f t="shared" si="18"/>
        <v>1026.94</v>
      </c>
      <c r="AG83" s="62">
        <f t="shared" si="18"/>
        <v>2004.1900000000003</v>
      </c>
      <c r="AH83" s="48">
        <f t="shared" si="15"/>
        <v>1667.64</v>
      </c>
      <c r="AI83" s="49">
        <f t="shared" si="16"/>
        <v>905.84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5"/>
        <v>0</v>
      </c>
      <c r="AI84" s="49">
        <f t="shared" si="16"/>
        <v>0</v>
      </c>
    </row>
    <row r="85" spans="1:37" ht="15.75" thickBot="1" x14ac:dyDescent="0.3">
      <c r="A85" s="74" t="s">
        <v>89</v>
      </c>
      <c r="B85" s="83">
        <f t="shared" ref="B85" si="19">B83+B84</f>
        <v>937.24</v>
      </c>
      <c r="C85" s="83">
        <f t="shared" ref="C85:AF85" si="20">C83+C84</f>
        <v>942.04</v>
      </c>
      <c r="D85" s="83">
        <f t="shared" si="20"/>
        <v>905.84</v>
      </c>
      <c r="E85" s="83">
        <f t="shared" si="20"/>
        <v>928.04</v>
      </c>
      <c r="F85" s="83">
        <f t="shared" si="20"/>
        <v>947.34</v>
      </c>
      <c r="G85" s="83">
        <f t="shared" si="20"/>
        <v>1018.84</v>
      </c>
      <c r="H85" s="83">
        <f t="shared" si="20"/>
        <v>1080.74</v>
      </c>
      <c r="I85" s="83">
        <f t="shared" si="20"/>
        <v>1199.5400000000002</v>
      </c>
      <c r="J85" s="83">
        <f t="shared" si="20"/>
        <v>1312.04</v>
      </c>
      <c r="K85" s="83">
        <f t="shared" si="20"/>
        <v>1526.0399999999997</v>
      </c>
      <c r="L85" s="83">
        <f t="shared" si="20"/>
        <v>1643.64</v>
      </c>
      <c r="M85" s="83">
        <f t="shared" si="20"/>
        <v>1667.64</v>
      </c>
      <c r="N85" s="83">
        <f t="shared" si="20"/>
        <v>1603.14</v>
      </c>
      <c r="O85" s="83">
        <f t="shared" si="20"/>
        <v>1383.04</v>
      </c>
      <c r="P85" s="83">
        <f t="shared" si="20"/>
        <v>1297.9399999999998</v>
      </c>
      <c r="Q85" s="83">
        <f t="shared" si="20"/>
        <v>1239.94</v>
      </c>
      <c r="R85" s="83">
        <f t="shared" si="20"/>
        <v>1194.44</v>
      </c>
      <c r="S85" s="83">
        <f t="shared" si="20"/>
        <v>1195.54</v>
      </c>
      <c r="T85" s="83">
        <f t="shared" si="20"/>
        <v>1228.24</v>
      </c>
      <c r="U85" s="83">
        <f t="shared" si="20"/>
        <v>1259.71</v>
      </c>
      <c r="V85" s="83">
        <f t="shared" si="20"/>
        <v>1308.05</v>
      </c>
      <c r="W85" s="83">
        <f t="shared" si="20"/>
        <v>1460.54</v>
      </c>
      <c r="X85" s="83">
        <v>1644.44</v>
      </c>
      <c r="Y85" s="83">
        <f t="shared" si="20"/>
        <v>1588.3400000000001</v>
      </c>
      <c r="Z85" s="83">
        <f t="shared" si="20"/>
        <v>1487.9399999999998</v>
      </c>
      <c r="AA85" s="83">
        <f t="shared" si="20"/>
        <v>1396.1399999999999</v>
      </c>
      <c r="AB85" s="83">
        <f t="shared" si="20"/>
        <v>1380.6399999999999</v>
      </c>
      <c r="AC85" s="83">
        <f t="shared" si="20"/>
        <v>1369.2400000000002</v>
      </c>
      <c r="AD85" s="83">
        <f t="shared" si="20"/>
        <v>1324.54</v>
      </c>
      <c r="AE85" s="83">
        <f t="shared" si="20"/>
        <v>993.24000000000012</v>
      </c>
      <c r="AF85" s="83">
        <f t="shared" si="20"/>
        <v>1026.94</v>
      </c>
      <c r="AG85" s="81">
        <f>AG82+AG78+AG66+AG62+AG44+AG84</f>
        <v>1466.0900000000001</v>
      </c>
      <c r="AH85" s="48">
        <f t="shared" si="15"/>
        <v>1667.64</v>
      </c>
      <c r="AI85" s="49">
        <f t="shared" si="16"/>
        <v>905.84</v>
      </c>
    </row>
    <row r="86" spans="1:37" ht="15.75" thickBot="1" x14ac:dyDescent="0.3">
      <c r="A86" s="74" t="s">
        <v>90</v>
      </c>
      <c r="B86" s="83">
        <f t="shared" ref="B86" si="21">B85-B93</f>
        <v>937.24</v>
      </c>
      <c r="C86" s="83">
        <f t="shared" ref="C86:AF86" si="22">C85-C93</f>
        <v>937.04</v>
      </c>
      <c r="D86" s="83">
        <f t="shared" si="22"/>
        <v>905.84</v>
      </c>
      <c r="E86" s="83">
        <f t="shared" si="22"/>
        <v>928.04</v>
      </c>
      <c r="F86" s="83">
        <f t="shared" si="22"/>
        <v>943.54000000000008</v>
      </c>
      <c r="G86" s="83">
        <f t="shared" si="22"/>
        <v>1018.84</v>
      </c>
      <c r="H86" s="83">
        <f t="shared" si="22"/>
        <v>1073.04</v>
      </c>
      <c r="I86" s="83">
        <f t="shared" si="22"/>
        <v>1199.5400000000002</v>
      </c>
      <c r="J86" s="83">
        <f t="shared" si="22"/>
        <v>1312.04</v>
      </c>
      <c r="K86" s="83">
        <f t="shared" si="22"/>
        <v>1439.0399999999997</v>
      </c>
      <c r="L86" s="83">
        <f t="shared" si="22"/>
        <v>1524.74</v>
      </c>
      <c r="M86" s="83">
        <f t="shared" si="22"/>
        <v>1502.44</v>
      </c>
      <c r="N86" s="83">
        <f t="shared" si="22"/>
        <v>1439.14</v>
      </c>
      <c r="O86" s="83">
        <f t="shared" si="22"/>
        <v>1383.04</v>
      </c>
      <c r="P86" s="83">
        <f t="shared" si="22"/>
        <v>1297.9399999999998</v>
      </c>
      <c r="Q86" s="83">
        <f t="shared" si="22"/>
        <v>1239.94</v>
      </c>
      <c r="R86" s="83">
        <f t="shared" si="22"/>
        <v>1194.44</v>
      </c>
      <c r="S86" s="83">
        <f t="shared" si="22"/>
        <v>1195.54</v>
      </c>
      <c r="T86" s="83">
        <f t="shared" si="22"/>
        <v>1228.24</v>
      </c>
      <c r="U86" s="83">
        <f t="shared" si="22"/>
        <v>1259.71</v>
      </c>
      <c r="V86" s="83">
        <f t="shared" si="22"/>
        <v>1207.05</v>
      </c>
      <c r="W86" s="83">
        <f t="shared" si="22"/>
        <v>1359.54</v>
      </c>
      <c r="X86" s="83">
        <v>1522.24</v>
      </c>
      <c r="Y86" s="83">
        <f t="shared" si="22"/>
        <v>1448.0400000000002</v>
      </c>
      <c r="Z86" s="83">
        <f t="shared" si="22"/>
        <v>1352.9399999999998</v>
      </c>
      <c r="AA86" s="83">
        <f t="shared" si="22"/>
        <v>1306.1399999999999</v>
      </c>
      <c r="AB86" s="83">
        <f t="shared" si="22"/>
        <v>1269.4399999999998</v>
      </c>
      <c r="AC86" s="83">
        <f t="shared" si="22"/>
        <v>1223.6400000000003</v>
      </c>
      <c r="AD86" s="83">
        <f t="shared" si="22"/>
        <v>1172.54</v>
      </c>
      <c r="AE86" s="83">
        <f t="shared" si="22"/>
        <v>987.34000000000015</v>
      </c>
      <c r="AF86" s="83">
        <f t="shared" si="22"/>
        <v>1026.94</v>
      </c>
      <c r="AG86" s="81"/>
      <c r="AH86" s="48">
        <f t="shared" si="15"/>
        <v>1524.74</v>
      </c>
      <c r="AI86" s="49">
        <f t="shared" si="16"/>
        <v>905.84</v>
      </c>
    </row>
    <row r="87" spans="1:37" x14ac:dyDescent="0.25">
      <c r="A87" s="44" t="s">
        <v>74</v>
      </c>
      <c r="B87" s="76">
        <f t="shared" ref="B87" si="23">IF(B70&lt;0,B70*-1,0)</f>
        <v>0</v>
      </c>
      <c r="C87" s="76">
        <f t="shared" ref="C87:AF87" si="24">IF(C70&lt;0,C70*-1,0)</f>
        <v>0</v>
      </c>
      <c r="D87" s="76">
        <f t="shared" si="24"/>
        <v>0</v>
      </c>
      <c r="E87" s="76">
        <f t="shared" si="24"/>
        <v>0</v>
      </c>
      <c r="F87" s="76">
        <f t="shared" si="24"/>
        <v>0</v>
      </c>
      <c r="G87" s="76">
        <f t="shared" si="24"/>
        <v>0</v>
      </c>
      <c r="H87" s="76">
        <f t="shared" si="24"/>
        <v>0</v>
      </c>
      <c r="I87" s="76">
        <f t="shared" si="24"/>
        <v>0</v>
      </c>
      <c r="J87" s="76">
        <f t="shared" si="24"/>
        <v>0</v>
      </c>
      <c r="K87" s="76">
        <f t="shared" si="24"/>
        <v>0</v>
      </c>
      <c r="L87" s="76">
        <f t="shared" si="24"/>
        <v>0</v>
      </c>
      <c r="M87" s="76">
        <f t="shared" si="24"/>
        <v>0</v>
      </c>
      <c r="N87" s="76">
        <f t="shared" si="24"/>
        <v>0</v>
      </c>
      <c r="O87" s="76">
        <f t="shared" si="24"/>
        <v>0</v>
      </c>
      <c r="P87" s="76">
        <f t="shared" ref="P87" si="25">IF(P70&lt;0,P70*-1,0)</f>
        <v>0</v>
      </c>
      <c r="Q87" s="76">
        <f t="shared" si="24"/>
        <v>0</v>
      </c>
      <c r="R87" s="76">
        <f t="shared" si="24"/>
        <v>0</v>
      </c>
      <c r="S87" s="76">
        <f t="shared" si="24"/>
        <v>0</v>
      </c>
      <c r="T87" s="76">
        <f t="shared" si="24"/>
        <v>0</v>
      </c>
      <c r="U87" s="76">
        <f t="shared" si="24"/>
        <v>0</v>
      </c>
      <c r="V87" s="76">
        <f t="shared" si="24"/>
        <v>0</v>
      </c>
      <c r="W87" s="76">
        <f t="shared" si="24"/>
        <v>0</v>
      </c>
      <c r="X87" s="76">
        <v>0</v>
      </c>
      <c r="Y87" s="76">
        <f t="shared" si="24"/>
        <v>0</v>
      </c>
      <c r="Z87" s="76">
        <f t="shared" si="24"/>
        <v>0</v>
      </c>
      <c r="AA87" s="76">
        <f t="shared" si="24"/>
        <v>0</v>
      </c>
      <c r="AB87" s="76">
        <f t="shared" si="24"/>
        <v>0</v>
      </c>
      <c r="AC87" s="76">
        <f t="shared" si="24"/>
        <v>0</v>
      </c>
      <c r="AD87" s="76">
        <f t="shared" si="24"/>
        <v>0</v>
      </c>
      <c r="AE87" s="76">
        <f t="shared" si="24"/>
        <v>0</v>
      </c>
      <c r="AF87" s="76">
        <f t="shared" si="24"/>
        <v>0</v>
      </c>
      <c r="AG87" s="52"/>
      <c r="AH87" s="48">
        <f t="shared" si="15"/>
        <v>0</v>
      </c>
      <c r="AI87" s="49">
        <f t="shared" si="16"/>
        <v>0</v>
      </c>
    </row>
    <row r="88" spans="1:37" x14ac:dyDescent="0.25">
      <c r="A88" s="54" t="s">
        <v>72</v>
      </c>
      <c r="B88" s="76">
        <f t="shared" ref="B88" si="26">IF(B68&lt;0,B68*-1,0)</f>
        <v>0</v>
      </c>
      <c r="C88" s="76">
        <f t="shared" ref="C88:AF88" si="27">IF(C68&lt;0,C68*-1,0)</f>
        <v>0</v>
      </c>
      <c r="D88" s="76">
        <f t="shared" si="27"/>
        <v>0</v>
      </c>
      <c r="E88" s="76">
        <f t="shared" si="27"/>
        <v>0</v>
      </c>
      <c r="F88" s="76">
        <f t="shared" si="27"/>
        <v>0</v>
      </c>
      <c r="G88" s="76">
        <f t="shared" si="27"/>
        <v>0</v>
      </c>
      <c r="H88" s="76">
        <f t="shared" si="27"/>
        <v>0</v>
      </c>
      <c r="I88" s="76">
        <f t="shared" si="27"/>
        <v>0</v>
      </c>
      <c r="J88" s="76">
        <f t="shared" si="27"/>
        <v>0</v>
      </c>
      <c r="K88" s="76">
        <f t="shared" si="27"/>
        <v>0</v>
      </c>
      <c r="L88" s="76">
        <f t="shared" si="27"/>
        <v>0</v>
      </c>
      <c r="M88" s="76">
        <f t="shared" si="27"/>
        <v>0</v>
      </c>
      <c r="N88" s="76">
        <f t="shared" si="27"/>
        <v>0</v>
      </c>
      <c r="O88" s="76">
        <f t="shared" si="27"/>
        <v>0</v>
      </c>
      <c r="P88" s="76">
        <f t="shared" ref="P88" si="28">IF(P68&lt;0,P68*-1,0)</f>
        <v>0</v>
      </c>
      <c r="Q88" s="76">
        <f t="shared" si="27"/>
        <v>0</v>
      </c>
      <c r="R88" s="76">
        <f t="shared" si="27"/>
        <v>0</v>
      </c>
      <c r="S88" s="76">
        <f t="shared" si="27"/>
        <v>0</v>
      </c>
      <c r="T88" s="76">
        <f t="shared" si="27"/>
        <v>0</v>
      </c>
      <c r="U88" s="76">
        <f t="shared" si="27"/>
        <v>0</v>
      </c>
      <c r="V88" s="76">
        <f t="shared" si="27"/>
        <v>0</v>
      </c>
      <c r="W88" s="76">
        <f t="shared" si="27"/>
        <v>0</v>
      </c>
      <c r="X88" s="76">
        <v>0</v>
      </c>
      <c r="Y88" s="76">
        <f t="shared" si="27"/>
        <v>0</v>
      </c>
      <c r="Z88" s="76">
        <f t="shared" si="27"/>
        <v>0</v>
      </c>
      <c r="AA88" s="76">
        <f t="shared" si="27"/>
        <v>0</v>
      </c>
      <c r="AB88" s="76">
        <f t="shared" si="27"/>
        <v>0</v>
      </c>
      <c r="AC88" s="76">
        <f t="shared" si="27"/>
        <v>0</v>
      </c>
      <c r="AD88" s="76">
        <f t="shared" si="27"/>
        <v>0</v>
      </c>
      <c r="AE88" s="76">
        <f t="shared" si="27"/>
        <v>0</v>
      </c>
      <c r="AF88" s="76">
        <f t="shared" si="27"/>
        <v>0</v>
      </c>
      <c r="AG88" s="55"/>
      <c r="AH88" s="48">
        <f t="shared" si="15"/>
        <v>0</v>
      </c>
      <c r="AI88" s="49">
        <f t="shared" si="16"/>
        <v>0</v>
      </c>
    </row>
    <row r="89" spans="1:37" x14ac:dyDescent="0.25">
      <c r="A89" s="78" t="s">
        <v>91</v>
      </c>
      <c r="B89" s="76">
        <f t="shared" ref="B89" si="29">IF(B71&lt;0,B71*-1,0)</f>
        <v>0</v>
      </c>
      <c r="C89" s="76">
        <f t="shared" ref="C89:AF89" si="30">IF(C71&lt;0,C71*-1,0)</f>
        <v>0</v>
      </c>
      <c r="D89" s="76">
        <f t="shared" si="30"/>
        <v>0</v>
      </c>
      <c r="E89" s="76">
        <f t="shared" si="30"/>
        <v>0</v>
      </c>
      <c r="F89" s="76">
        <f t="shared" si="30"/>
        <v>0</v>
      </c>
      <c r="G89" s="76">
        <f t="shared" si="30"/>
        <v>0</v>
      </c>
      <c r="H89" s="76">
        <f t="shared" si="30"/>
        <v>0</v>
      </c>
      <c r="I89" s="76">
        <f t="shared" si="30"/>
        <v>0</v>
      </c>
      <c r="J89" s="76">
        <f t="shared" si="30"/>
        <v>0</v>
      </c>
      <c r="K89" s="76">
        <f t="shared" si="30"/>
        <v>0</v>
      </c>
      <c r="L89" s="76">
        <f t="shared" si="30"/>
        <v>0</v>
      </c>
      <c r="M89" s="76">
        <f t="shared" si="30"/>
        <v>0</v>
      </c>
      <c r="N89" s="76">
        <f t="shared" si="30"/>
        <v>0</v>
      </c>
      <c r="O89" s="76">
        <f t="shared" si="30"/>
        <v>0</v>
      </c>
      <c r="P89" s="76">
        <f t="shared" ref="P89" si="31">IF(P71&lt;0,P71*-1,0)</f>
        <v>0</v>
      </c>
      <c r="Q89" s="76">
        <f t="shared" si="30"/>
        <v>0</v>
      </c>
      <c r="R89" s="76">
        <f t="shared" si="30"/>
        <v>0</v>
      </c>
      <c r="S89" s="76">
        <f t="shared" si="30"/>
        <v>0</v>
      </c>
      <c r="T89" s="76">
        <f t="shared" si="30"/>
        <v>0</v>
      </c>
      <c r="U89" s="76">
        <f t="shared" si="30"/>
        <v>0</v>
      </c>
      <c r="V89" s="76">
        <f t="shared" si="30"/>
        <v>0</v>
      </c>
      <c r="W89" s="76">
        <f t="shared" si="30"/>
        <v>0</v>
      </c>
      <c r="X89" s="76">
        <v>0</v>
      </c>
      <c r="Y89" s="76">
        <f t="shared" si="30"/>
        <v>0</v>
      </c>
      <c r="Z89" s="76">
        <f t="shared" si="30"/>
        <v>0</v>
      </c>
      <c r="AA89" s="76">
        <f t="shared" si="30"/>
        <v>0</v>
      </c>
      <c r="AB89" s="76">
        <f t="shared" si="30"/>
        <v>0</v>
      </c>
      <c r="AC89" s="76">
        <f t="shared" si="30"/>
        <v>0</v>
      </c>
      <c r="AD89" s="76">
        <f t="shared" si="30"/>
        <v>0</v>
      </c>
      <c r="AE89" s="76">
        <f t="shared" si="30"/>
        <v>0</v>
      </c>
      <c r="AF89" s="76">
        <f t="shared" si="30"/>
        <v>0</v>
      </c>
      <c r="AG89" s="86"/>
      <c r="AH89" s="48">
        <f t="shared" si="15"/>
        <v>0</v>
      </c>
      <c r="AI89" s="49">
        <f t="shared" si="16"/>
        <v>0</v>
      </c>
    </row>
    <row r="90" spans="1:37" x14ac:dyDescent="0.25">
      <c r="A90" s="78" t="s">
        <v>92</v>
      </c>
      <c r="B90" s="76">
        <f t="shared" ref="B90" si="32">IF(B69&lt;0,B69*-1,0)</f>
        <v>0</v>
      </c>
      <c r="C90" s="76">
        <f t="shared" ref="C90:AF90" si="33">IF(C69&lt;0,C69*-1,0)</f>
        <v>5</v>
      </c>
      <c r="D90" s="76">
        <f t="shared" si="33"/>
        <v>0</v>
      </c>
      <c r="E90" s="76">
        <f t="shared" si="33"/>
        <v>0</v>
      </c>
      <c r="F90" s="76">
        <f t="shared" si="33"/>
        <v>3.8</v>
      </c>
      <c r="G90" s="76">
        <f t="shared" si="33"/>
        <v>0</v>
      </c>
      <c r="H90" s="76">
        <f t="shared" si="33"/>
        <v>7.7</v>
      </c>
      <c r="I90" s="76">
        <f t="shared" si="33"/>
        <v>0</v>
      </c>
      <c r="J90" s="76">
        <f t="shared" si="33"/>
        <v>0</v>
      </c>
      <c r="K90" s="76">
        <f t="shared" si="33"/>
        <v>87</v>
      </c>
      <c r="L90" s="76">
        <f t="shared" si="33"/>
        <v>118.9</v>
      </c>
      <c r="M90" s="76">
        <f t="shared" si="33"/>
        <v>165.2</v>
      </c>
      <c r="N90" s="76">
        <f t="shared" si="33"/>
        <v>164</v>
      </c>
      <c r="O90" s="76">
        <f t="shared" si="33"/>
        <v>0</v>
      </c>
      <c r="P90" s="76">
        <f t="shared" ref="P90" si="34">IF(P69&lt;0,P69*-1,0)</f>
        <v>0</v>
      </c>
      <c r="Q90" s="76">
        <f t="shared" si="33"/>
        <v>0</v>
      </c>
      <c r="R90" s="76">
        <f t="shared" si="33"/>
        <v>0</v>
      </c>
      <c r="S90" s="76">
        <f t="shared" si="33"/>
        <v>0</v>
      </c>
      <c r="T90" s="76">
        <f t="shared" si="33"/>
        <v>0</v>
      </c>
      <c r="U90" s="76">
        <f t="shared" si="33"/>
        <v>0</v>
      </c>
      <c r="V90" s="76">
        <f t="shared" si="33"/>
        <v>101</v>
      </c>
      <c r="W90" s="76">
        <f t="shared" si="33"/>
        <v>101</v>
      </c>
      <c r="X90" s="76">
        <v>122.2</v>
      </c>
      <c r="Y90" s="76">
        <f t="shared" si="33"/>
        <v>140.30000000000001</v>
      </c>
      <c r="Z90" s="76">
        <f t="shared" si="33"/>
        <v>135</v>
      </c>
      <c r="AA90" s="76">
        <f t="shared" si="33"/>
        <v>90</v>
      </c>
      <c r="AB90" s="76">
        <f t="shared" si="33"/>
        <v>111.2</v>
      </c>
      <c r="AC90" s="76">
        <f t="shared" si="33"/>
        <v>145.6</v>
      </c>
      <c r="AD90" s="76">
        <f t="shared" si="33"/>
        <v>152</v>
      </c>
      <c r="AE90" s="76">
        <f t="shared" si="33"/>
        <v>5.9</v>
      </c>
      <c r="AF90" s="76">
        <f t="shared" si="33"/>
        <v>0</v>
      </c>
      <c r="AG90" s="86"/>
      <c r="AH90" s="48">
        <f t="shared" si="15"/>
        <v>165.2</v>
      </c>
      <c r="AI90" s="49">
        <f t="shared" si="16"/>
        <v>0</v>
      </c>
    </row>
    <row r="91" spans="1:37" x14ac:dyDescent="0.25">
      <c r="A91" s="78" t="s">
        <v>71</v>
      </c>
      <c r="B91" s="76">
        <f t="shared" ref="B91" si="35">IF(B67&lt;0,B67*-1,0)</f>
        <v>0</v>
      </c>
      <c r="C91" s="76">
        <f t="shared" ref="C91:AF91" si="36">IF(C67&lt;0,C67*-1,0)</f>
        <v>0</v>
      </c>
      <c r="D91" s="76">
        <f t="shared" si="36"/>
        <v>0</v>
      </c>
      <c r="E91" s="76">
        <f t="shared" si="36"/>
        <v>0</v>
      </c>
      <c r="F91" s="76">
        <f t="shared" si="36"/>
        <v>0</v>
      </c>
      <c r="G91" s="76">
        <f t="shared" si="36"/>
        <v>0</v>
      </c>
      <c r="H91" s="76">
        <f t="shared" si="36"/>
        <v>0</v>
      </c>
      <c r="I91" s="76">
        <f t="shared" si="36"/>
        <v>0</v>
      </c>
      <c r="J91" s="76">
        <f t="shared" si="36"/>
        <v>0</v>
      </c>
      <c r="K91" s="76">
        <f t="shared" si="36"/>
        <v>0</v>
      </c>
      <c r="L91" s="76">
        <f t="shared" si="36"/>
        <v>0</v>
      </c>
      <c r="M91" s="76">
        <f t="shared" si="36"/>
        <v>0</v>
      </c>
      <c r="N91" s="76">
        <f t="shared" si="36"/>
        <v>0</v>
      </c>
      <c r="O91" s="76">
        <f t="shared" si="36"/>
        <v>0</v>
      </c>
      <c r="P91" s="76">
        <f t="shared" ref="P91" si="37">IF(P67&lt;0,P67*-1,0)</f>
        <v>0</v>
      </c>
      <c r="Q91" s="76">
        <f t="shared" si="36"/>
        <v>0</v>
      </c>
      <c r="R91" s="76">
        <f t="shared" si="36"/>
        <v>0</v>
      </c>
      <c r="S91" s="76">
        <f t="shared" si="36"/>
        <v>0</v>
      </c>
      <c r="T91" s="76">
        <f t="shared" si="36"/>
        <v>0</v>
      </c>
      <c r="U91" s="76">
        <f t="shared" si="36"/>
        <v>0</v>
      </c>
      <c r="V91" s="76">
        <f t="shared" si="36"/>
        <v>0</v>
      </c>
      <c r="W91" s="76">
        <f t="shared" si="36"/>
        <v>0</v>
      </c>
      <c r="X91" s="76">
        <v>0</v>
      </c>
      <c r="Y91" s="76">
        <f t="shared" si="36"/>
        <v>0</v>
      </c>
      <c r="Z91" s="76">
        <f t="shared" si="36"/>
        <v>0</v>
      </c>
      <c r="AA91" s="76">
        <f t="shared" si="36"/>
        <v>0</v>
      </c>
      <c r="AB91" s="76">
        <f t="shared" si="36"/>
        <v>0</v>
      </c>
      <c r="AC91" s="76">
        <f t="shared" si="36"/>
        <v>0</v>
      </c>
      <c r="AD91" s="76">
        <f t="shared" si="36"/>
        <v>0</v>
      </c>
      <c r="AE91" s="76">
        <f t="shared" si="36"/>
        <v>0</v>
      </c>
      <c r="AF91" s="76">
        <f t="shared" si="36"/>
        <v>0</v>
      </c>
      <c r="AG91" s="86"/>
      <c r="AH91" s="48">
        <f t="shared" si="15"/>
        <v>0</v>
      </c>
      <c r="AI91" s="49">
        <f t="shared" si="16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>
        <v>0</v>
      </c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5"/>
        <v>0</v>
      </c>
      <c r="AI92" s="49">
        <f t="shared" si="16"/>
        <v>0</v>
      </c>
    </row>
    <row r="93" spans="1:37" ht="15.75" thickBot="1" x14ac:dyDescent="0.3">
      <c r="A93" s="87" t="s">
        <v>94</v>
      </c>
      <c r="B93" s="61">
        <f t="shared" ref="B93" si="38">SUM(B87:B92)</f>
        <v>0</v>
      </c>
      <c r="C93" s="61">
        <f t="shared" ref="C93:AF93" si="39">SUM(C87:C92)</f>
        <v>5</v>
      </c>
      <c r="D93" s="61">
        <f t="shared" si="39"/>
        <v>0</v>
      </c>
      <c r="E93" s="61">
        <f t="shared" si="39"/>
        <v>0</v>
      </c>
      <c r="F93" s="61">
        <f t="shared" si="39"/>
        <v>3.8</v>
      </c>
      <c r="G93" s="61">
        <f t="shared" si="39"/>
        <v>0</v>
      </c>
      <c r="H93" s="61">
        <f t="shared" si="39"/>
        <v>7.7</v>
      </c>
      <c r="I93" s="61">
        <f t="shared" si="39"/>
        <v>0</v>
      </c>
      <c r="J93" s="61">
        <f t="shared" si="39"/>
        <v>0</v>
      </c>
      <c r="K93" s="61">
        <f t="shared" si="39"/>
        <v>87</v>
      </c>
      <c r="L93" s="61">
        <f t="shared" si="39"/>
        <v>118.9</v>
      </c>
      <c r="M93" s="61">
        <f t="shared" si="39"/>
        <v>165.2</v>
      </c>
      <c r="N93" s="61">
        <f t="shared" si="39"/>
        <v>164</v>
      </c>
      <c r="O93" s="61">
        <f t="shared" si="39"/>
        <v>0</v>
      </c>
      <c r="P93" s="61">
        <f t="shared" si="39"/>
        <v>0</v>
      </c>
      <c r="Q93" s="61">
        <f t="shared" si="39"/>
        <v>0</v>
      </c>
      <c r="R93" s="61">
        <f t="shared" si="39"/>
        <v>0</v>
      </c>
      <c r="S93" s="61">
        <f t="shared" si="39"/>
        <v>0</v>
      </c>
      <c r="T93" s="61">
        <f t="shared" si="39"/>
        <v>0</v>
      </c>
      <c r="U93" s="61">
        <f t="shared" si="39"/>
        <v>0</v>
      </c>
      <c r="V93" s="61">
        <f t="shared" si="39"/>
        <v>101</v>
      </c>
      <c r="W93" s="61">
        <f t="shared" si="39"/>
        <v>101</v>
      </c>
      <c r="X93" s="61">
        <v>122.2</v>
      </c>
      <c r="Y93" s="61">
        <f t="shared" si="39"/>
        <v>140.30000000000001</v>
      </c>
      <c r="Z93" s="61">
        <f t="shared" si="39"/>
        <v>135</v>
      </c>
      <c r="AA93" s="61">
        <f t="shared" si="39"/>
        <v>90</v>
      </c>
      <c r="AB93" s="61">
        <f t="shared" si="39"/>
        <v>111.2</v>
      </c>
      <c r="AC93" s="61">
        <f t="shared" si="39"/>
        <v>145.6</v>
      </c>
      <c r="AD93" s="61">
        <f t="shared" si="39"/>
        <v>152</v>
      </c>
      <c r="AE93" s="61">
        <f t="shared" si="39"/>
        <v>5.9</v>
      </c>
      <c r="AF93" s="61">
        <f t="shared" si="39"/>
        <v>0</v>
      </c>
      <c r="AG93" s="81"/>
      <c r="AH93" s="48">
        <f t="shared" si="15"/>
        <v>165.2</v>
      </c>
      <c r="AI93" s="49">
        <f t="shared" si="16"/>
        <v>0</v>
      </c>
      <c r="AK93" s="50"/>
    </row>
    <row r="94" spans="1:37" ht="15.75" thickBot="1" x14ac:dyDescent="0.3">
      <c r="A94" s="74" t="s">
        <v>95</v>
      </c>
      <c r="B94" s="61">
        <f t="shared" ref="B94" si="40">B78-B93</f>
        <v>66</v>
      </c>
      <c r="C94" s="61">
        <f t="shared" ref="C94:AF94" si="41">C78-C93</f>
        <v>11.899999999999999</v>
      </c>
      <c r="D94" s="61">
        <f t="shared" si="41"/>
        <v>20.399999999999999</v>
      </c>
      <c r="E94" s="61">
        <f t="shared" si="41"/>
        <v>17.3</v>
      </c>
      <c r="F94" s="61">
        <f t="shared" si="41"/>
        <v>11.5</v>
      </c>
      <c r="G94" s="61">
        <f t="shared" si="41"/>
        <v>26.1</v>
      </c>
      <c r="H94" s="61">
        <f t="shared" si="41"/>
        <v>17.8</v>
      </c>
      <c r="I94" s="61">
        <f t="shared" si="41"/>
        <v>23.4</v>
      </c>
      <c r="J94" s="61">
        <f t="shared" si="41"/>
        <v>40.5</v>
      </c>
      <c r="K94" s="61">
        <f t="shared" si="41"/>
        <v>-35.700000000000003</v>
      </c>
      <c r="L94" s="61">
        <f t="shared" si="41"/>
        <v>-76.400000000000006</v>
      </c>
      <c r="M94" s="61">
        <f t="shared" si="41"/>
        <v>-124.39999999999999</v>
      </c>
      <c r="N94" s="61">
        <f t="shared" si="41"/>
        <v>-122.4</v>
      </c>
      <c r="O94" s="61">
        <f t="shared" si="41"/>
        <v>43.3</v>
      </c>
      <c r="P94" s="61">
        <f t="shared" si="41"/>
        <v>181.1</v>
      </c>
      <c r="Q94" s="61">
        <f t="shared" si="41"/>
        <v>188.4</v>
      </c>
      <c r="R94" s="61">
        <f t="shared" si="41"/>
        <v>184.6</v>
      </c>
      <c r="S94" s="61">
        <f t="shared" si="41"/>
        <v>200.1</v>
      </c>
      <c r="T94" s="61">
        <f t="shared" si="41"/>
        <v>200.1</v>
      </c>
      <c r="U94" s="61">
        <f t="shared" si="41"/>
        <v>202.07</v>
      </c>
      <c r="V94" s="61">
        <f t="shared" si="41"/>
        <v>-50.99</v>
      </c>
      <c r="W94" s="61">
        <f t="shared" si="41"/>
        <v>-49</v>
      </c>
      <c r="X94" s="61">
        <v>-69.599999999999994</v>
      </c>
      <c r="Y94" s="61">
        <f t="shared" si="41"/>
        <v>-90.700000000000017</v>
      </c>
      <c r="Z94" s="61">
        <f t="shared" si="41"/>
        <v>-91.2</v>
      </c>
      <c r="AA94" s="61">
        <f t="shared" si="41"/>
        <v>-38</v>
      </c>
      <c r="AB94" s="61">
        <f t="shared" si="41"/>
        <v>-65.099999999999994</v>
      </c>
      <c r="AC94" s="61">
        <f t="shared" si="41"/>
        <v>-110.39999999999999</v>
      </c>
      <c r="AD94" s="61">
        <f t="shared" si="41"/>
        <v>-134.9</v>
      </c>
      <c r="AE94" s="61">
        <f t="shared" si="41"/>
        <v>10</v>
      </c>
      <c r="AF94" s="61">
        <f t="shared" si="41"/>
        <v>29</v>
      </c>
      <c r="AG94" s="81"/>
      <c r="AH94" s="48">
        <f t="shared" si="15"/>
        <v>202.07</v>
      </c>
      <c r="AI94" s="49">
        <f t="shared" si="16"/>
        <v>-134.9</v>
      </c>
    </row>
    <row r="95" spans="1:37" x14ac:dyDescent="0.25">
      <c r="A95" s="88" t="s">
        <v>96</v>
      </c>
      <c r="B95" s="89">
        <v>50.09</v>
      </c>
      <c r="C95" s="89">
        <v>49.95</v>
      </c>
      <c r="D95" s="89">
        <v>50</v>
      </c>
      <c r="E95" s="89">
        <v>49.957999999999998</v>
      </c>
      <c r="F95" s="89">
        <v>50.006999999999998</v>
      </c>
      <c r="G95" s="89">
        <v>49.948999999999998</v>
      </c>
      <c r="H95" s="89">
        <v>49.83</v>
      </c>
      <c r="I95" s="89">
        <v>49.779000000000003</v>
      </c>
      <c r="J95" s="89">
        <v>49.859000000000002</v>
      </c>
      <c r="K95" s="89">
        <v>49.713999999999999</v>
      </c>
      <c r="L95" s="89">
        <v>49.7</v>
      </c>
      <c r="M95" s="89">
        <v>49.718000000000004</v>
      </c>
      <c r="N95" s="89">
        <v>49.863</v>
      </c>
      <c r="O95" s="89">
        <v>49.98</v>
      </c>
      <c r="P95" s="89">
        <v>50.048999999999999</v>
      </c>
      <c r="Q95" s="89">
        <v>50.048999999999999</v>
      </c>
      <c r="R95" s="89">
        <v>50.323</v>
      </c>
      <c r="S95" s="89">
        <v>50.05</v>
      </c>
      <c r="T95" s="89">
        <v>50.01</v>
      </c>
      <c r="U95" s="89">
        <v>50.09</v>
      </c>
      <c r="V95" s="89">
        <v>50.01</v>
      </c>
      <c r="W95" s="89">
        <v>50.01</v>
      </c>
      <c r="X95" s="89">
        <v>50.1</v>
      </c>
      <c r="Y95" s="89">
        <v>50.045999999999999</v>
      </c>
      <c r="Z95" s="89">
        <v>49.9</v>
      </c>
      <c r="AA95" s="89">
        <v>49.8</v>
      </c>
      <c r="AB95" s="89">
        <v>50.064</v>
      </c>
      <c r="AC95" s="89">
        <v>50.02</v>
      </c>
      <c r="AD95" s="89">
        <v>49.95</v>
      </c>
      <c r="AE95" s="89">
        <v>50.08</v>
      </c>
      <c r="AF95" s="89">
        <v>50.04</v>
      </c>
      <c r="AG95" s="90"/>
      <c r="AH95" s="48">
        <f t="shared" si="15"/>
        <v>50.323</v>
      </c>
      <c r="AI95" s="49">
        <f t="shared" si="16"/>
        <v>49.7</v>
      </c>
    </row>
    <row r="96" spans="1:37" x14ac:dyDescent="0.25">
      <c r="A96" s="91" t="s">
        <v>97</v>
      </c>
      <c r="B96" s="65">
        <v>129.6</v>
      </c>
      <c r="C96" s="65">
        <v>129.69999999999999</v>
      </c>
      <c r="D96" s="65">
        <v>129.80000000000001</v>
      </c>
      <c r="E96" s="65">
        <v>128.6</v>
      </c>
      <c r="F96" s="65">
        <v>128.30000000000001</v>
      </c>
      <c r="G96" s="65">
        <v>128</v>
      </c>
      <c r="H96" s="65">
        <v>126.2</v>
      </c>
      <c r="I96" s="65">
        <v>124.2</v>
      </c>
      <c r="J96" s="65">
        <v>124.2</v>
      </c>
      <c r="K96" s="65">
        <v>126.1</v>
      </c>
      <c r="L96" s="65">
        <v>124</v>
      </c>
      <c r="M96" s="65">
        <v>124.1</v>
      </c>
      <c r="N96" s="65">
        <v>126.2</v>
      </c>
      <c r="O96" s="65">
        <v>126.6</v>
      </c>
      <c r="P96" s="65">
        <v>127.3</v>
      </c>
      <c r="Q96" s="65">
        <v>127.3</v>
      </c>
      <c r="R96" s="65">
        <v>126.9</v>
      </c>
      <c r="S96" s="65">
        <v>126.3</v>
      </c>
      <c r="T96" s="65">
        <v>126.9</v>
      </c>
      <c r="U96" s="65">
        <v>126.4</v>
      </c>
      <c r="V96" s="65">
        <v>126.9</v>
      </c>
      <c r="W96" s="65">
        <v>126.9</v>
      </c>
      <c r="X96" s="65">
        <v>128.69999999999999</v>
      </c>
      <c r="Y96" s="65">
        <v>129.6</v>
      </c>
      <c r="Z96" s="65">
        <v>130.30000000000001</v>
      </c>
      <c r="AA96" s="65">
        <v>130.4</v>
      </c>
      <c r="AB96" s="65">
        <v>129.4</v>
      </c>
      <c r="AC96" s="65">
        <v>129.69999999999999</v>
      </c>
      <c r="AD96" s="65">
        <v>129.9</v>
      </c>
      <c r="AE96" s="65">
        <v>129.80000000000001</v>
      </c>
      <c r="AF96" s="65">
        <v>129.69999999999999</v>
      </c>
      <c r="AG96" s="92"/>
      <c r="AH96" s="48">
        <f t="shared" si="15"/>
        <v>130.4</v>
      </c>
      <c r="AI96" s="49">
        <f t="shared" si="16"/>
        <v>124</v>
      </c>
    </row>
    <row r="97" spans="1:35" x14ac:dyDescent="0.25">
      <c r="A97" s="91" t="s">
        <v>98</v>
      </c>
      <c r="B97" s="65">
        <v>133.4</v>
      </c>
      <c r="C97" s="65">
        <v>133.5</v>
      </c>
      <c r="D97" s="65">
        <v>133.69999999999999</v>
      </c>
      <c r="E97" s="65">
        <v>133</v>
      </c>
      <c r="F97" s="65">
        <v>132.80000000000001</v>
      </c>
      <c r="G97" s="65">
        <v>132.1</v>
      </c>
      <c r="H97" s="65">
        <v>130.5</v>
      </c>
      <c r="I97" s="65">
        <v>128.80000000000001</v>
      </c>
      <c r="J97" s="65">
        <v>128.30000000000001</v>
      </c>
      <c r="K97" s="65">
        <v>129.1</v>
      </c>
      <c r="L97" s="65">
        <v>127.6</v>
      </c>
      <c r="M97" s="65">
        <v>127.2</v>
      </c>
      <c r="N97" s="65">
        <v>129.30000000000001</v>
      </c>
      <c r="O97" s="65">
        <v>129.5</v>
      </c>
      <c r="P97" s="65">
        <v>130.1</v>
      </c>
      <c r="Q97" s="65">
        <v>130.1</v>
      </c>
      <c r="R97" s="65">
        <v>130.5</v>
      </c>
      <c r="S97" s="65">
        <v>130</v>
      </c>
      <c r="T97" s="65">
        <v>129.69999999999999</v>
      </c>
      <c r="U97" s="65">
        <v>129.6</v>
      </c>
      <c r="V97" s="65">
        <v>129.80000000000001</v>
      </c>
      <c r="W97" s="65">
        <v>129.80000000000001</v>
      </c>
      <c r="X97" s="65">
        <v>130.5</v>
      </c>
      <c r="Y97" s="65">
        <v>131</v>
      </c>
      <c r="Z97" s="65">
        <v>131.4</v>
      </c>
      <c r="AA97" s="65">
        <v>131.80000000000001</v>
      </c>
      <c r="AB97" s="65">
        <v>131.19999999999999</v>
      </c>
      <c r="AC97" s="65">
        <v>131.9</v>
      </c>
      <c r="AD97" s="65">
        <v>132.30000000000001</v>
      </c>
      <c r="AE97" s="65">
        <v>133.1</v>
      </c>
      <c r="AF97" s="65">
        <v>133.19999999999999</v>
      </c>
      <c r="AG97" s="92"/>
      <c r="AH97" s="48">
        <f t="shared" si="15"/>
        <v>133.69999999999999</v>
      </c>
      <c r="AI97" s="49">
        <f t="shared" si="16"/>
        <v>127.2</v>
      </c>
    </row>
    <row r="98" spans="1:35" x14ac:dyDescent="0.25">
      <c r="A98" s="91" t="s">
        <v>99</v>
      </c>
      <c r="B98" s="65">
        <v>131.6</v>
      </c>
      <c r="C98" s="65">
        <v>131.6</v>
      </c>
      <c r="D98" s="65">
        <v>131.5</v>
      </c>
      <c r="E98" s="65">
        <v>130.69999999999999</v>
      </c>
      <c r="F98" s="65">
        <v>130.4</v>
      </c>
      <c r="G98" s="65">
        <v>129.19999999999999</v>
      </c>
      <c r="H98" s="65">
        <v>127.8</v>
      </c>
      <c r="I98" s="65">
        <v>128</v>
      </c>
      <c r="J98" s="65">
        <v>129.69999999999999</v>
      </c>
      <c r="K98" s="65">
        <v>129</v>
      </c>
      <c r="L98" s="65">
        <v>128.4</v>
      </c>
      <c r="M98" s="65">
        <v>131.80000000000001</v>
      </c>
      <c r="N98" s="65">
        <v>128.19999999999999</v>
      </c>
      <c r="O98" s="65">
        <v>130</v>
      </c>
      <c r="P98" s="65">
        <v>130.4</v>
      </c>
      <c r="Q98" s="65">
        <v>130.4</v>
      </c>
      <c r="R98" s="65">
        <v>130</v>
      </c>
      <c r="S98" s="65">
        <v>127</v>
      </c>
      <c r="T98" s="65">
        <v>130</v>
      </c>
      <c r="U98" s="65">
        <v>129.5</v>
      </c>
      <c r="V98" s="65">
        <v>129.69999999999999</v>
      </c>
      <c r="W98" s="65">
        <v>129.69999999999999</v>
      </c>
      <c r="X98" s="65">
        <v>129.4</v>
      </c>
      <c r="Y98" s="65">
        <v>131</v>
      </c>
      <c r="Z98" s="65">
        <v>131.69999999999999</v>
      </c>
      <c r="AA98" s="65">
        <v>132.30000000000001</v>
      </c>
      <c r="AB98" s="65">
        <v>133.6</v>
      </c>
      <c r="AC98" s="65">
        <v>131.4</v>
      </c>
      <c r="AD98" s="65">
        <v>129.6</v>
      </c>
      <c r="AE98" s="65">
        <v>131.1</v>
      </c>
      <c r="AF98" s="65">
        <v>130.69999999999999</v>
      </c>
      <c r="AG98" s="92"/>
      <c r="AH98" s="48">
        <f t="shared" si="15"/>
        <v>133.6</v>
      </c>
      <c r="AI98" s="49">
        <f t="shared" si="16"/>
        <v>127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5"/>
        <v>0</v>
      </c>
      <c r="AI99" s="49">
        <f t="shared" si="16"/>
        <v>0</v>
      </c>
    </row>
    <row r="100" spans="1:35" x14ac:dyDescent="0.25">
      <c r="A100" s="93" t="s">
        <v>101</v>
      </c>
      <c r="B100" s="94">
        <v>133.5</v>
      </c>
      <c r="C100" s="94">
        <v>134.19999999999999</v>
      </c>
      <c r="D100" s="94">
        <v>133.9</v>
      </c>
      <c r="E100" s="94">
        <v>132.69999999999999</v>
      </c>
      <c r="F100" s="94">
        <v>132.69999999999999</v>
      </c>
      <c r="G100" s="94">
        <v>134.4</v>
      </c>
      <c r="H100" s="94">
        <v>134.4</v>
      </c>
      <c r="I100" s="94">
        <v>132.9</v>
      </c>
      <c r="J100" s="94">
        <v>133.30000000000001</v>
      </c>
      <c r="K100" s="94">
        <v>135.4</v>
      </c>
      <c r="L100" s="94">
        <v>134</v>
      </c>
      <c r="M100" s="94">
        <v>132.9</v>
      </c>
      <c r="N100" s="94">
        <v>132.1</v>
      </c>
      <c r="O100" s="94">
        <v>134</v>
      </c>
      <c r="P100" s="94">
        <v>135.69999999999999</v>
      </c>
      <c r="Q100" s="94">
        <v>135.69999999999999</v>
      </c>
      <c r="R100" s="94">
        <v>135</v>
      </c>
      <c r="S100" s="94">
        <v>132.6</v>
      </c>
      <c r="T100" s="94">
        <v>132.30000000000001</v>
      </c>
      <c r="U100" s="94">
        <v>132.80000000000001</v>
      </c>
      <c r="V100" s="94">
        <v>132.6</v>
      </c>
      <c r="W100" s="94">
        <v>132.6</v>
      </c>
      <c r="X100" s="94">
        <v>132.80000000000001</v>
      </c>
      <c r="Y100" s="94">
        <v>135</v>
      </c>
      <c r="Z100" s="94">
        <v>134.80000000000001</v>
      </c>
      <c r="AA100" s="94">
        <v>136.30000000000001</v>
      </c>
      <c r="AB100" s="94">
        <v>135</v>
      </c>
      <c r="AC100" s="94">
        <v>134.6</v>
      </c>
      <c r="AD100" s="94">
        <v>134.6</v>
      </c>
      <c r="AE100" s="94">
        <v>132.80000000000001</v>
      </c>
      <c r="AF100" s="94">
        <v>132.9</v>
      </c>
      <c r="AG100" s="95"/>
      <c r="AH100" s="48">
        <f t="shared" si="15"/>
        <v>136.30000000000001</v>
      </c>
      <c r="AI100" s="49">
        <f t="shared" si="16"/>
        <v>132.1</v>
      </c>
    </row>
    <row r="101" spans="1:35" x14ac:dyDescent="0.25">
      <c r="A101" s="91" t="s">
        <v>102</v>
      </c>
      <c r="B101" s="65">
        <v>132.80000000000001</v>
      </c>
      <c r="C101" s="65">
        <v>135.30000000000001</v>
      </c>
      <c r="D101" s="65">
        <v>134.4</v>
      </c>
      <c r="E101" s="65">
        <v>131.9</v>
      </c>
      <c r="F101" s="65">
        <v>132.6</v>
      </c>
      <c r="G101" s="65">
        <v>133.80000000000001</v>
      </c>
      <c r="H101" s="65">
        <v>132.4</v>
      </c>
      <c r="I101" s="65">
        <v>128.69999999999999</v>
      </c>
      <c r="J101" s="65">
        <v>129.30000000000001</v>
      </c>
      <c r="K101" s="65">
        <v>131.69999999999999</v>
      </c>
      <c r="L101" s="65">
        <v>129</v>
      </c>
      <c r="M101" s="65">
        <v>126.3</v>
      </c>
      <c r="N101" s="65">
        <v>130.69999999999999</v>
      </c>
      <c r="O101" s="65">
        <v>129.30000000000001</v>
      </c>
      <c r="P101" s="65">
        <v>129.80000000000001</v>
      </c>
      <c r="Q101" s="65">
        <v>129.80000000000001</v>
      </c>
      <c r="R101" s="65">
        <v>133.4</v>
      </c>
      <c r="S101" s="65">
        <v>132.9</v>
      </c>
      <c r="T101" s="65">
        <v>132.5</v>
      </c>
      <c r="U101" s="65">
        <v>132.5</v>
      </c>
      <c r="V101" s="65">
        <v>133.5</v>
      </c>
      <c r="W101" s="65">
        <v>133.5</v>
      </c>
      <c r="X101" s="65">
        <v>130.19999999999999</v>
      </c>
      <c r="Y101" s="65">
        <v>132</v>
      </c>
      <c r="Z101" s="65">
        <v>132.80000000000001</v>
      </c>
      <c r="AA101" s="65">
        <v>132</v>
      </c>
      <c r="AB101" s="65">
        <v>132.4</v>
      </c>
      <c r="AC101" s="65">
        <v>134.9</v>
      </c>
      <c r="AD101" s="65">
        <v>135.4</v>
      </c>
      <c r="AE101" s="65">
        <v>135.9</v>
      </c>
      <c r="AF101" s="65">
        <v>136</v>
      </c>
      <c r="AG101" s="92"/>
      <c r="AH101" s="48">
        <f t="shared" si="15"/>
        <v>136</v>
      </c>
      <c r="AI101" s="49">
        <f t="shared" si="16"/>
        <v>126.3</v>
      </c>
    </row>
    <row r="102" spans="1:35" ht="15.75" thickBot="1" x14ac:dyDescent="0.3">
      <c r="A102" s="91" t="s">
        <v>104</v>
      </c>
      <c r="B102" s="96">
        <v>67.099999999999994</v>
      </c>
      <c r="C102" s="96">
        <v>67.099999999999994</v>
      </c>
      <c r="D102" s="96">
        <v>67.3</v>
      </c>
      <c r="E102" s="96">
        <v>67</v>
      </c>
      <c r="F102" s="96">
        <v>66.900000000000006</v>
      </c>
      <c r="G102" s="96">
        <v>66.5</v>
      </c>
      <c r="H102" s="96">
        <v>65.7</v>
      </c>
      <c r="I102" s="96">
        <v>64.8</v>
      </c>
      <c r="J102" s="96">
        <v>64.599999999999994</v>
      </c>
      <c r="K102" s="96">
        <v>65</v>
      </c>
      <c r="L102" s="96">
        <v>64</v>
      </c>
      <c r="M102" s="96">
        <v>64</v>
      </c>
      <c r="N102" s="96">
        <v>65</v>
      </c>
      <c r="O102" s="96">
        <v>65.2</v>
      </c>
      <c r="P102" s="96">
        <v>65.3</v>
      </c>
      <c r="Q102" s="96">
        <v>65.3</v>
      </c>
      <c r="R102" s="96">
        <v>65.400000000000006</v>
      </c>
      <c r="S102" s="96">
        <v>65.099999999999994</v>
      </c>
      <c r="T102" s="96">
        <v>65.3</v>
      </c>
      <c r="U102" s="96">
        <v>65.3</v>
      </c>
      <c r="V102" s="96">
        <v>65.400000000000006</v>
      </c>
      <c r="W102" s="96">
        <v>65.400000000000006</v>
      </c>
      <c r="X102" s="96">
        <v>65.599999999999994</v>
      </c>
      <c r="Y102" s="96">
        <v>66</v>
      </c>
      <c r="Z102" s="96">
        <v>66</v>
      </c>
      <c r="AA102" s="96">
        <v>66.3</v>
      </c>
      <c r="AB102" s="96">
        <v>66.099999999999994</v>
      </c>
      <c r="AC102" s="96">
        <v>66.5</v>
      </c>
      <c r="AD102" s="96">
        <v>66.7</v>
      </c>
      <c r="AE102" s="96">
        <v>67.099999999999994</v>
      </c>
      <c r="AF102" s="96">
        <v>67.099999999999994</v>
      </c>
      <c r="AG102" s="97"/>
      <c r="AH102" s="48">
        <f t="shared" si="15"/>
        <v>67.3</v>
      </c>
      <c r="AI102" s="49">
        <f t="shared" si="16"/>
        <v>64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248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5"/>
        <v>0</v>
      </c>
      <c r="AI103" s="49">
        <f t="shared" si="16"/>
        <v>0</v>
      </c>
    </row>
    <row r="104" spans="1:35" ht="15.75" thickBot="1" x14ac:dyDescent="0.3">
      <c r="A104" s="99" t="s">
        <v>105</v>
      </c>
      <c r="B104" s="100">
        <f t="shared" ref="B104" si="42">SUM(B16,B22,B25:B26,B52,B54:B55,B57,B59,B105:B109,B131,B137,B143,B152,B154,B166,B173,B176:B177,B184,B186,B188,B192:B194,B196:B198,B203,B209:B210,B212:B214,B222,B227)</f>
        <v>96.199999999999974</v>
      </c>
      <c r="C104" s="100">
        <f t="shared" ref="C104:AF104" si="43">SUM(C16,C22,C25:C26,C52,C54:C55,C57,C59,C105:C109,C131,C137,C143,C152,C154,C166,C173,C176:C177,C184,C186,C188,C192:C194,C196:C198,C203,C209:C210,C212:C214,C222,C227)</f>
        <v>87.339999999999975</v>
      </c>
      <c r="D104" s="100">
        <f t="shared" si="43"/>
        <v>80.34</v>
      </c>
      <c r="E104" s="100">
        <f t="shared" si="43"/>
        <v>79.739999999999995</v>
      </c>
      <c r="F104" s="100">
        <f t="shared" si="43"/>
        <v>81.339999999999989</v>
      </c>
      <c r="G104" s="100">
        <f t="shared" si="43"/>
        <v>116.44</v>
      </c>
      <c r="H104" s="100">
        <f t="shared" si="43"/>
        <v>141.04000000000002</v>
      </c>
      <c r="I104" s="100">
        <f t="shared" si="43"/>
        <v>186.73999999999998</v>
      </c>
      <c r="J104" s="100">
        <f t="shared" si="43"/>
        <v>232.34000000000003</v>
      </c>
      <c r="K104" s="100">
        <f t="shared" si="43"/>
        <v>304.44</v>
      </c>
      <c r="L104" s="100">
        <f t="shared" si="43"/>
        <v>292.04000000000002</v>
      </c>
      <c r="M104" s="100">
        <f t="shared" si="43"/>
        <v>290.94</v>
      </c>
      <c r="N104" s="100">
        <f t="shared" si="43"/>
        <v>285.54000000000002</v>
      </c>
      <c r="O104" s="100">
        <f t="shared" si="43"/>
        <v>287.14000000000004</v>
      </c>
      <c r="P104" s="100">
        <f t="shared" si="43"/>
        <v>269.24</v>
      </c>
      <c r="Q104" s="100">
        <f t="shared" si="43"/>
        <v>268.3</v>
      </c>
      <c r="R104" s="100">
        <f t="shared" si="43"/>
        <v>229.3</v>
      </c>
      <c r="S104" s="100">
        <f t="shared" si="43"/>
        <v>223.8</v>
      </c>
      <c r="T104" s="100">
        <f t="shared" si="43"/>
        <v>115.1</v>
      </c>
      <c r="U104" s="100">
        <f t="shared" si="43"/>
        <v>248.99999999999997</v>
      </c>
      <c r="V104" s="100">
        <f t="shared" si="43"/>
        <v>290.79999999999995</v>
      </c>
      <c r="W104" s="100">
        <f t="shared" si="43"/>
        <v>314.59999999999997</v>
      </c>
      <c r="X104" s="100">
        <v>403.89708333333334</v>
      </c>
      <c r="Y104" s="100">
        <f t="shared" si="43"/>
        <v>358.2</v>
      </c>
      <c r="Z104" s="100">
        <f t="shared" si="43"/>
        <v>300.3</v>
      </c>
      <c r="AA104" s="100">
        <f t="shared" si="43"/>
        <v>318.5</v>
      </c>
      <c r="AB104" s="100">
        <f t="shared" si="43"/>
        <v>301.2</v>
      </c>
      <c r="AC104" s="100">
        <f t="shared" si="43"/>
        <v>280.80000000000007</v>
      </c>
      <c r="AD104" s="100">
        <f t="shared" si="43"/>
        <v>261.09999999999997</v>
      </c>
      <c r="AE104" s="100">
        <f t="shared" si="43"/>
        <v>149.50000000000003</v>
      </c>
      <c r="AF104" s="100">
        <f t="shared" si="43"/>
        <v>125.6</v>
      </c>
      <c r="AG104" s="101"/>
      <c r="AH104" s="48">
        <f t="shared" si="15"/>
        <v>403.89708333333334</v>
      </c>
      <c r="AI104" s="49">
        <f t="shared" si="16"/>
        <v>79.739999999999995</v>
      </c>
    </row>
    <row r="105" spans="1:35" x14ac:dyDescent="0.25">
      <c r="A105" s="88" t="s">
        <v>106</v>
      </c>
      <c r="B105" s="102">
        <v>13.5</v>
      </c>
      <c r="C105" s="102">
        <v>23</v>
      </c>
      <c r="D105" s="102">
        <v>18.5</v>
      </c>
      <c r="E105" s="102">
        <v>18.7</v>
      </c>
      <c r="F105" s="102">
        <v>28.9</v>
      </c>
      <c r="G105" s="102">
        <v>25.3</v>
      </c>
      <c r="H105" s="102">
        <v>38.9</v>
      </c>
      <c r="I105" s="102">
        <v>39.200000000000003</v>
      </c>
      <c r="J105" s="102">
        <v>45.5</v>
      </c>
      <c r="K105" s="102">
        <v>39.6</v>
      </c>
      <c r="L105" s="102">
        <v>36</v>
      </c>
      <c r="M105" s="102">
        <v>35.9</v>
      </c>
      <c r="N105" s="102">
        <v>30.3</v>
      </c>
      <c r="O105" s="102">
        <v>42.9</v>
      </c>
      <c r="P105" s="102">
        <v>39.200000000000003</v>
      </c>
      <c r="Q105" s="102">
        <v>39.200000000000003</v>
      </c>
      <c r="R105" s="102">
        <v>40.4</v>
      </c>
      <c r="S105" s="102">
        <v>33.700000000000003</v>
      </c>
      <c r="T105" s="102">
        <v>36.700000000000003</v>
      </c>
      <c r="U105" s="102">
        <v>37.6</v>
      </c>
      <c r="V105" s="102">
        <v>48.1</v>
      </c>
      <c r="W105" s="102">
        <v>42.7</v>
      </c>
      <c r="X105" s="102">
        <v>33.9</v>
      </c>
      <c r="Y105" s="102">
        <v>40</v>
      </c>
      <c r="Z105" s="102">
        <v>45.4</v>
      </c>
      <c r="AA105" s="102">
        <v>53.9</v>
      </c>
      <c r="AB105" s="102">
        <v>57.9</v>
      </c>
      <c r="AC105" s="102">
        <v>54.3</v>
      </c>
      <c r="AD105" s="102">
        <v>54</v>
      </c>
      <c r="AE105" s="102">
        <v>31.8</v>
      </c>
      <c r="AF105" s="102">
        <v>20.7</v>
      </c>
      <c r="AG105" s="103">
        <v>75</v>
      </c>
      <c r="AH105" s="48">
        <f t="shared" si="15"/>
        <v>57.9</v>
      </c>
      <c r="AI105" s="49">
        <f t="shared" si="16"/>
        <v>13.5</v>
      </c>
    </row>
    <row r="106" spans="1:35" x14ac:dyDescent="0.25">
      <c r="A106" s="91" t="s">
        <v>107</v>
      </c>
      <c r="B106" s="104">
        <v>26.2</v>
      </c>
      <c r="C106" s="104">
        <v>38.1</v>
      </c>
      <c r="D106" s="104">
        <v>31.3</v>
      </c>
      <c r="E106" s="104">
        <v>32.799999999999997</v>
      </c>
      <c r="F106" s="104">
        <v>47.8</v>
      </c>
      <c r="G106" s="104">
        <v>41.7</v>
      </c>
      <c r="H106" s="104">
        <v>61.9</v>
      </c>
      <c r="I106" s="104">
        <v>60.1</v>
      </c>
      <c r="J106" s="104">
        <v>68.8</v>
      </c>
      <c r="K106" s="104">
        <v>61.3</v>
      </c>
      <c r="L106" s="104">
        <v>55.6</v>
      </c>
      <c r="M106" s="104">
        <v>56.2</v>
      </c>
      <c r="N106" s="104">
        <v>48.9</v>
      </c>
      <c r="O106" s="104">
        <v>66.2</v>
      </c>
      <c r="P106" s="104">
        <v>61</v>
      </c>
      <c r="Q106" s="104">
        <v>61</v>
      </c>
      <c r="R106" s="104">
        <v>60.2</v>
      </c>
      <c r="S106" s="104">
        <v>54.3</v>
      </c>
      <c r="T106" s="104">
        <f>-29.8-32.3</f>
        <v>-62.099999999999994</v>
      </c>
      <c r="U106" s="104">
        <v>55.7</v>
      </c>
      <c r="V106" s="104">
        <v>68</v>
      </c>
      <c r="W106" s="104">
        <v>61.7</v>
      </c>
      <c r="X106" s="104">
        <v>47.6</v>
      </c>
      <c r="Y106" s="104">
        <v>56.9</v>
      </c>
      <c r="Z106" s="104">
        <v>64</v>
      </c>
      <c r="AA106" s="104">
        <v>76.099999999999994</v>
      </c>
      <c r="AB106" s="104">
        <v>82.1</v>
      </c>
      <c r="AC106" s="104">
        <v>78.400000000000006</v>
      </c>
      <c r="AD106" s="104">
        <v>78.400000000000006</v>
      </c>
      <c r="AE106" s="104">
        <v>46.7</v>
      </c>
      <c r="AF106" s="104">
        <v>34.700000000000003</v>
      </c>
      <c r="AG106" s="103">
        <v>240</v>
      </c>
      <c r="AH106" s="48">
        <f t="shared" si="15"/>
        <v>82.1</v>
      </c>
      <c r="AI106" s="49">
        <f t="shared" si="16"/>
        <v>-62.099999999999994</v>
      </c>
    </row>
    <row r="107" spans="1:35" x14ac:dyDescent="0.25">
      <c r="A107" s="91" t="s">
        <v>108</v>
      </c>
      <c r="B107" s="104">
        <f>-48.8-52.5</f>
        <v>-101.3</v>
      </c>
      <c r="C107" s="104">
        <f>-53.8-57.7</f>
        <v>-111.5</v>
      </c>
      <c r="D107" s="104">
        <f>-51.9-55.1</f>
        <v>-107</v>
      </c>
      <c r="E107" s="104">
        <v>-112.1</v>
      </c>
      <c r="F107" s="104">
        <v>-119</v>
      </c>
      <c r="G107" s="104">
        <v>-90</v>
      </c>
      <c r="H107" s="104">
        <v>-97</v>
      </c>
      <c r="I107" s="104">
        <v>-56</v>
      </c>
      <c r="J107" s="104">
        <v>-80</v>
      </c>
      <c r="K107" s="104">
        <v>-60</v>
      </c>
      <c r="L107" s="104">
        <v>-81</v>
      </c>
      <c r="M107" s="104">
        <v>-80</v>
      </c>
      <c r="N107" s="104">
        <f>-22-32</f>
        <v>-54</v>
      </c>
      <c r="O107" s="104">
        <f>-25-36</f>
        <v>-61</v>
      </c>
      <c r="P107" s="104">
        <f>-23.1-28</f>
        <v>-51.1</v>
      </c>
      <c r="Q107" s="104">
        <f>-23.1-28</f>
        <v>-51.1</v>
      </c>
      <c r="R107" s="104">
        <f>-32-35</f>
        <v>-67</v>
      </c>
      <c r="S107" s="104">
        <f>-32.4-35.1</f>
        <v>-67.5</v>
      </c>
      <c r="T107" s="104">
        <f>-30.1-31.9</f>
        <v>-62</v>
      </c>
      <c r="U107" s="104">
        <f>-28.6-26.4</f>
        <v>-55</v>
      </c>
      <c r="V107" s="104">
        <f>---23.8-25.7</f>
        <v>-49.5</v>
      </c>
      <c r="W107" s="104">
        <f>-35.6-23.2</f>
        <v>-58.8</v>
      </c>
      <c r="X107" s="104">
        <v>-51.900000000000006</v>
      </c>
      <c r="Y107" s="104">
        <v>-18</v>
      </c>
      <c r="Z107" s="104">
        <f>-46.8-15.7</f>
        <v>-62.5</v>
      </c>
      <c r="AA107" s="104">
        <f>-1.5-21.6</f>
        <v>-23.1</v>
      </c>
      <c r="AB107" s="104">
        <f>-17.6-27.7</f>
        <v>-45.3</v>
      </c>
      <c r="AC107" s="104">
        <f>-20.1-30.4</f>
        <v>-50.5</v>
      </c>
      <c r="AD107" s="104">
        <f>-26.9-37.4</f>
        <v>-64.3</v>
      </c>
      <c r="AE107" s="104">
        <f>-42.1-44.4</f>
        <v>-86.5</v>
      </c>
      <c r="AF107" s="104">
        <f>-45-48.2</f>
        <v>-93.2</v>
      </c>
      <c r="AG107" s="103">
        <v>240</v>
      </c>
      <c r="AH107" s="48">
        <f t="shared" si="15"/>
        <v>-18</v>
      </c>
      <c r="AI107" s="49">
        <f t="shared" si="16"/>
        <v>-119</v>
      </c>
    </row>
    <row r="108" spans="1:35" x14ac:dyDescent="0.25">
      <c r="A108" s="91" t="s">
        <v>109</v>
      </c>
      <c r="B108" s="104">
        <v>-8.5</v>
      </c>
      <c r="C108" s="104">
        <v>-11.9</v>
      </c>
      <c r="D108" s="104">
        <v>-9.9</v>
      </c>
      <c r="E108" s="104">
        <v>-10.9</v>
      </c>
      <c r="F108" s="104">
        <v>-12.6</v>
      </c>
      <c r="G108" s="104">
        <v>-4</v>
      </c>
      <c r="H108" s="104">
        <v>-6.2</v>
      </c>
      <c r="I108" s="104">
        <v>0</v>
      </c>
      <c r="J108" s="104">
        <v>-3.1</v>
      </c>
      <c r="K108" s="104">
        <v>32.299999999999997</v>
      </c>
      <c r="L108" s="104">
        <v>46.9</v>
      </c>
      <c r="M108" s="104">
        <v>43.2</v>
      </c>
      <c r="N108" s="104">
        <v>40</v>
      </c>
      <c r="O108" s="104">
        <v>41.9</v>
      </c>
      <c r="P108" s="104">
        <v>18.399999999999999</v>
      </c>
      <c r="Q108" s="104">
        <v>18.399999999999999</v>
      </c>
      <c r="R108" s="104">
        <v>5.2</v>
      </c>
      <c r="S108" s="104">
        <v>6</v>
      </c>
      <c r="T108" s="104">
        <v>6.9</v>
      </c>
      <c r="U108" s="104">
        <v>7.8</v>
      </c>
      <c r="V108" s="104">
        <v>12.3</v>
      </c>
      <c r="W108" s="104">
        <v>52</v>
      </c>
      <c r="X108" s="104">
        <v>55.3</v>
      </c>
      <c r="Y108" s="104">
        <v>56.3</v>
      </c>
      <c r="Z108" s="104">
        <v>57</v>
      </c>
      <c r="AA108" s="104">
        <v>35.200000000000003</v>
      </c>
      <c r="AB108" s="104">
        <v>54.5</v>
      </c>
      <c r="AC108" s="104">
        <v>51.6</v>
      </c>
      <c r="AD108" s="104">
        <v>49</v>
      </c>
      <c r="AE108" s="104">
        <v>-0.7</v>
      </c>
      <c r="AF108" s="104">
        <v>-1.9</v>
      </c>
      <c r="AG108" s="103">
        <v>60</v>
      </c>
      <c r="AH108" s="48">
        <f t="shared" si="15"/>
        <v>57</v>
      </c>
      <c r="AI108" s="49">
        <f t="shared" si="16"/>
        <v>-12.6</v>
      </c>
    </row>
    <row r="109" spans="1:35" x14ac:dyDescent="0.25">
      <c r="A109" s="105" t="s">
        <v>110</v>
      </c>
      <c r="B109" s="106">
        <v>23</v>
      </c>
      <c r="C109" s="106">
        <v>5.6</v>
      </c>
      <c r="D109" s="106">
        <v>4</v>
      </c>
      <c r="E109" s="106">
        <v>7.8</v>
      </c>
      <c r="F109" s="106">
        <v>-7.2</v>
      </c>
      <c r="G109" s="106">
        <v>0</v>
      </c>
      <c r="H109" s="106">
        <v>0</v>
      </c>
      <c r="I109" s="106">
        <v>0</v>
      </c>
      <c r="J109" s="106">
        <v>57.7</v>
      </c>
      <c r="K109" s="106">
        <v>87.8</v>
      </c>
      <c r="L109" s="106">
        <v>91.1</v>
      </c>
      <c r="M109" s="106">
        <v>92.2</v>
      </c>
      <c r="N109" s="106">
        <v>72.900000000000006</v>
      </c>
      <c r="O109" s="106">
        <v>49.7</v>
      </c>
      <c r="P109" s="106">
        <v>54.3</v>
      </c>
      <c r="Q109" s="106">
        <v>54.3</v>
      </c>
      <c r="R109" s="106">
        <v>44</v>
      </c>
      <c r="S109" s="106">
        <v>50.8</v>
      </c>
      <c r="T109" s="106">
        <v>49.1</v>
      </c>
      <c r="U109" s="106">
        <v>56.6</v>
      </c>
      <c r="V109" s="106">
        <v>65.599999999999994</v>
      </c>
      <c r="W109" s="106">
        <v>75.8</v>
      </c>
      <c r="X109" s="106">
        <v>96</v>
      </c>
      <c r="Y109" s="106">
        <v>81.8</v>
      </c>
      <c r="Z109" s="106">
        <v>55.2</v>
      </c>
      <c r="AA109" s="106">
        <v>35.200000000000003</v>
      </c>
      <c r="AB109" s="106">
        <v>10.8</v>
      </c>
      <c r="AC109" s="106">
        <v>2.6</v>
      </c>
      <c r="AD109" s="106">
        <v>0</v>
      </c>
      <c r="AE109" s="106">
        <v>14.1</v>
      </c>
      <c r="AF109" s="106">
        <v>22.2</v>
      </c>
      <c r="AG109" s="107">
        <v>120</v>
      </c>
      <c r="AH109" s="48">
        <f t="shared" si="15"/>
        <v>96</v>
      </c>
      <c r="AI109" s="49">
        <f t="shared" si="16"/>
        <v>-7.2</v>
      </c>
    </row>
    <row r="110" spans="1:35" x14ac:dyDescent="0.25">
      <c r="A110" s="105" t="s">
        <v>111</v>
      </c>
      <c r="B110" s="106">
        <v>40.5</v>
      </c>
      <c r="C110" s="106">
        <v>18.600000000000001</v>
      </c>
      <c r="D110" s="106">
        <v>20.6</v>
      </c>
      <c r="E110" s="106">
        <v>27.7</v>
      </c>
      <c r="F110" s="106">
        <v>14.2</v>
      </c>
      <c r="G110" s="106">
        <v>43.2</v>
      </c>
      <c r="H110" s="106">
        <v>35</v>
      </c>
      <c r="I110" s="106">
        <v>67.900000000000006</v>
      </c>
      <c r="J110" s="106">
        <v>51.3</v>
      </c>
      <c r="K110" s="106">
        <v>69</v>
      </c>
      <c r="L110" s="106">
        <v>69</v>
      </c>
      <c r="M110" s="106">
        <v>69.5</v>
      </c>
      <c r="N110" s="106">
        <v>49.9</v>
      </c>
      <c r="O110" s="106">
        <v>38.6</v>
      </c>
      <c r="P110" s="106">
        <v>51.5</v>
      </c>
      <c r="Q110" s="106">
        <v>49.9</v>
      </c>
      <c r="R110" s="106">
        <v>49.9</v>
      </c>
      <c r="S110" s="106">
        <v>56.3</v>
      </c>
      <c r="T110" s="106">
        <v>51.2</v>
      </c>
      <c r="U110" s="106">
        <v>53.2</v>
      </c>
      <c r="V110" s="106">
        <v>46.2</v>
      </c>
      <c r="W110" s="106">
        <v>39.700000000000003</v>
      </c>
      <c r="X110" s="106">
        <v>58.1</v>
      </c>
      <c r="Y110" s="106">
        <v>44.6</v>
      </c>
      <c r="Z110" s="106">
        <v>23.4</v>
      </c>
      <c r="AA110" s="106">
        <v>14.1</v>
      </c>
      <c r="AB110" s="106">
        <v>-6.8</v>
      </c>
      <c r="AC110" s="106">
        <v>-9.3000000000000007</v>
      </c>
      <c r="AD110" s="106">
        <v>-10.199999999999999</v>
      </c>
      <c r="AE110" s="106">
        <v>19.399999999999999</v>
      </c>
      <c r="AF110" s="106">
        <v>31.6</v>
      </c>
      <c r="AG110" s="107"/>
      <c r="AH110" s="48">
        <f t="shared" si="15"/>
        <v>69.5</v>
      </c>
      <c r="AI110" s="49">
        <f t="shared" si="16"/>
        <v>-10.199999999999999</v>
      </c>
    </row>
    <row r="111" spans="1:35" x14ac:dyDescent="0.25">
      <c r="A111" s="105" t="s">
        <v>112</v>
      </c>
      <c r="B111" s="106">
        <v>41.4</v>
      </c>
      <c r="C111" s="106">
        <v>19.399999999999999</v>
      </c>
      <c r="D111" s="106">
        <v>26.9</v>
      </c>
      <c r="E111" s="106">
        <v>30.9</v>
      </c>
      <c r="F111" s="106">
        <v>33.1</v>
      </c>
      <c r="G111" s="106">
        <v>38.200000000000003</v>
      </c>
      <c r="H111" s="106">
        <v>17.100000000000001</v>
      </c>
      <c r="I111" s="106">
        <v>24.5</v>
      </c>
      <c r="J111" s="106">
        <v>8.1</v>
      </c>
      <c r="K111" s="106">
        <v>14.4</v>
      </c>
      <c r="L111" s="106">
        <v>22</v>
      </c>
      <c r="M111" s="106">
        <v>23.3</v>
      </c>
      <c r="N111" s="106">
        <v>13.6</v>
      </c>
      <c r="O111" s="106">
        <v>8.1</v>
      </c>
      <c r="P111" s="106">
        <v>8.6999999999999993</v>
      </c>
      <c r="Q111" s="106">
        <v>0.1</v>
      </c>
      <c r="R111" s="106">
        <v>0.1</v>
      </c>
      <c r="S111" s="106">
        <v>17.100000000000001</v>
      </c>
      <c r="T111" s="106">
        <v>-3</v>
      </c>
      <c r="U111" s="106">
        <v>-9.9</v>
      </c>
      <c r="V111" s="106">
        <v>-2.6</v>
      </c>
      <c r="W111" s="106">
        <v>20.7</v>
      </c>
      <c r="X111" s="106">
        <v>40.1</v>
      </c>
      <c r="Y111" s="106">
        <v>30.8</v>
      </c>
      <c r="Z111" s="106">
        <v>20.5</v>
      </c>
      <c r="AA111" s="106">
        <v>5.0999999999999996</v>
      </c>
      <c r="AB111" s="106">
        <v>-11.1</v>
      </c>
      <c r="AC111" s="106">
        <v>3.7</v>
      </c>
      <c r="AD111" s="106">
        <v>6.7</v>
      </c>
      <c r="AE111" s="106">
        <v>32.4</v>
      </c>
      <c r="AF111" s="106">
        <v>39.6</v>
      </c>
      <c r="AG111" s="108"/>
      <c r="AH111" s="48">
        <f t="shared" si="15"/>
        <v>41.4</v>
      </c>
      <c r="AI111" s="49">
        <f t="shared" si="16"/>
        <v>-11.1</v>
      </c>
    </row>
    <row r="112" spans="1:35" x14ac:dyDescent="0.25">
      <c r="A112" s="109" t="s">
        <v>113</v>
      </c>
      <c r="B112" s="94">
        <v>40.200000000000003</v>
      </c>
      <c r="C112" s="94">
        <v>43.6</v>
      </c>
      <c r="D112" s="94">
        <v>43.8</v>
      </c>
      <c r="E112" s="94">
        <v>44.9</v>
      </c>
      <c r="F112" s="94">
        <v>45.2</v>
      </c>
      <c r="G112" s="94">
        <v>42.2</v>
      </c>
      <c r="H112" s="94">
        <v>38.6</v>
      </c>
      <c r="I112" s="94">
        <v>32.700000000000003</v>
      </c>
      <c r="J112" s="94">
        <v>24.2</v>
      </c>
      <c r="K112" s="94">
        <v>18.100000000000001</v>
      </c>
      <c r="L112" s="94">
        <v>13.9</v>
      </c>
      <c r="M112" s="94">
        <v>11</v>
      </c>
      <c r="N112" s="94">
        <v>15.9</v>
      </c>
      <c r="O112" s="94">
        <v>20.3</v>
      </c>
      <c r="P112" s="94">
        <v>23.8</v>
      </c>
      <c r="Q112" s="94">
        <v>25.9</v>
      </c>
      <c r="R112" s="94">
        <v>25.9</v>
      </c>
      <c r="S112" s="94">
        <v>23.6</v>
      </c>
      <c r="T112" s="94">
        <v>21.7</v>
      </c>
      <c r="U112" s="94">
        <v>15</v>
      </c>
      <c r="V112" s="94">
        <v>7.4</v>
      </c>
      <c r="W112" s="94">
        <v>-3.3</v>
      </c>
      <c r="X112" s="94">
        <v>81.400000000000006</v>
      </c>
      <c r="Y112" s="94">
        <v>4.4000000000000004</v>
      </c>
      <c r="Z112" s="94">
        <v>10</v>
      </c>
      <c r="AA112" s="94">
        <v>15.3</v>
      </c>
      <c r="AB112" s="94">
        <v>24.5</v>
      </c>
      <c r="AC112" s="94">
        <v>31.8</v>
      </c>
      <c r="AD112" s="94">
        <v>34.5</v>
      </c>
      <c r="AE112" s="94">
        <v>38.200000000000003</v>
      </c>
      <c r="AF112" s="94">
        <v>36.4</v>
      </c>
      <c r="AG112" s="108"/>
      <c r="AH112" s="48">
        <f t="shared" si="15"/>
        <v>81.400000000000006</v>
      </c>
      <c r="AI112" s="49">
        <f t="shared" si="16"/>
        <v>-3.3</v>
      </c>
    </row>
    <row r="113" spans="1:37" ht="15.75" thickBot="1" x14ac:dyDescent="0.3">
      <c r="A113" s="109" t="s">
        <v>114</v>
      </c>
      <c r="B113" s="94">
        <v>59.2</v>
      </c>
      <c r="C113" s="94">
        <v>75.8</v>
      </c>
      <c r="D113" s="94">
        <v>68.599999999999994</v>
      </c>
      <c r="E113" s="94">
        <v>72.7</v>
      </c>
      <c r="F113" s="94">
        <v>81.5</v>
      </c>
      <c r="G113" s="94">
        <v>58.8</v>
      </c>
      <c r="H113" s="94">
        <v>71.8</v>
      </c>
      <c r="I113" s="94">
        <v>40</v>
      </c>
      <c r="J113" s="94">
        <v>59.9</v>
      </c>
      <c r="K113" s="94">
        <v>50.2</v>
      </c>
      <c r="L113" s="94">
        <v>59</v>
      </c>
      <c r="M113" s="94">
        <v>57.3</v>
      </c>
      <c r="N113" s="94">
        <v>61.3</v>
      </c>
      <c r="O113" s="94">
        <v>73.8</v>
      </c>
      <c r="P113" s="94">
        <v>46.7</v>
      </c>
      <c r="Q113" s="94">
        <v>52.3</v>
      </c>
      <c r="R113" s="94">
        <v>52.3</v>
      </c>
      <c r="S113" s="94">
        <v>49.3</v>
      </c>
      <c r="T113" s="94">
        <v>48</v>
      </c>
      <c r="U113" s="94">
        <v>40</v>
      </c>
      <c r="V113" s="94">
        <v>41.2</v>
      </c>
      <c r="W113" s="94">
        <v>44.6</v>
      </c>
      <c r="X113" s="94">
        <v>10</v>
      </c>
      <c r="Y113" s="94">
        <v>40.9</v>
      </c>
      <c r="Z113" s="94">
        <v>49</v>
      </c>
      <c r="AA113" s="94">
        <v>58.4</v>
      </c>
      <c r="AB113" s="94">
        <v>71</v>
      </c>
      <c r="AC113" s="94">
        <v>73.099999999999994</v>
      </c>
      <c r="AD113" s="94">
        <v>76.400000000000006</v>
      </c>
      <c r="AE113" s="94">
        <v>57.1</v>
      </c>
      <c r="AF113" s="94">
        <v>59.2</v>
      </c>
      <c r="AG113" s="108"/>
      <c r="AH113" s="48">
        <f t="shared" si="15"/>
        <v>81.5</v>
      </c>
      <c r="AI113" s="49">
        <f t="shared" si="16"/>
        <v>10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44">SUM(B115:B219)</f>
        <v>0</v>
      </c>
      <c r="C220" s="125">
        <f t="shared" si="44"/>
        <v>0</v>
      </c>
      <c r="D220" s="125">
        <f t="shared" si="44"/>
        <v>0</v>
      </c>
      <c r="E220" s="125">
        <f t="shared" si="44"/>
        <v>0</v>
      </c>
      <c r="F220" s="125">
        <f t="shared" si="44"/>
        <v>0</v>
      </c>
      <c r="G220" s="125">
        <f t="shared" si="44"/>
        <v>0</v>
      </c>
      <c r="H220" s="125">
        <f t="shared" si="44"/>
        <v>0</v>
      </c>
      <c r="I220" s="125">
        <f t="shared" si="44"/>
        <v>0</v>
      </c>
      <c r="J220" s="125">
        <f t="shared" si="44"/>
        <v>0</v>
      </c>
      <c r="K220" s="125">
        <f t="shared" si="44"/>
        <v>0</v>
      </c>
      <c r="L220" s="125">
        <f t="shared" si="44"/>
        <v>0</v>
      </c>
      <c r="M220" s="125">
        <f t="shared" si="44"/>
        <v>0</v>
      </c>
      <c r="N220" s="125">
        <f t="shared" si="44"/>
        <v>0</v>
      </c>
      <c r="O220" s="125">
        <f t="shared" si="44"/>
        <v>0</v>
      </c>
      <c r="P220" s="125">
        <f t="shared" si="44"/>
        <v>0</v>
      </c>
      <c r="Q220" s="125">
        <f t="shared" si="44"/>
        <v>0</v>
      </c>
      <c r="R220" s="125">
        <f t="shared" si="44"/>
        <v>0</v>
      </c>
      <c r="S220" s="125">
        <f t="shared" si="44"/>
        <v>0</v>
      </c>
      <c r="T220" s="125">
        <f t="shared" si="44"/>
        <v>0</v>
      </c>
      <c r="U220" s="125">
        <f t="shared" si="44"/>
        <v>0</v>
      </c>
      <c r="V220" s="125">
        <f t="shared" si="44"/>
        <v>0</v>
      </c>
      <c r="W220" s="125">
        <f t="shared" si="44"/>
        <v>0</v>
      </c>
      <c r="X220" s="125">
        <f t="shared" si="44"/>
        <v>0</v>
      </c>
      <c r="Y220" s="125">
        <f t="shared" si="44"/>
        <v>0</v>
      </c>
      <c r="Z220" s="125">
        <f t="shared" si="44"/>
        <v>0</v>
      </c>
      <c r="AA220" s="125">
        <f t="shared" si="44"/>
        <v>0</v>
      </c>
      <c r="AB220" s="125">
        <f t="shared" si="44"/>
        <v>0</v>
      </c>
      <c r="AC220" s="125">
        <f t="shared" si="44"/>
        <v>0</v>
      </c>
      <c r="AD220" s="125">
        <f t="shared" si="44"/>
        <v>0</v>
      </c>
      <c r="AE220" s="125">
        <f t="shared" si="44"/>
        <v>0</v>
      </c>
      <c r="AF220" s="126">
        <f t="shared" si="44"/>
        <v>0</v>
      </c>
      <c r="AG220" s="127">
        <f t="shared" si="44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45">AF222</f>
        <v>0</v>
      </c>
      <c r="C222" s="129">
        <v>0.3</v>
      </c>
      <c r="D222" s="129">
        <f t="shared" ref="D222:P227" si="46">C222</f>
        <v>0.3</v>
      </c>
      <c r="E222" s="129">
        <f t="shared" si="46"/>
        <v>0.3</v>
      </c>
      <c r="F222" s="129">
        <f t="shared" si="46"/>
        <v>0.3</v>
      </c>
      <c r="G222" s="129">
        <f t="shared" si="46"/>
        <v>0.3</v>
      </c>
      <c r="H222" s="129">
        <f t="shared" si="46"/>
        <v>0.3</v>
      </c>
      <c r="I222" s="129">
        <f t="shared" si="46"/>
        <v>0.3</v>
      </c>
      <c r="J222" s="129">
        <f t="shared" si="46"/>
        <v>0.3</v>
      </c>
      <c r="K222" s="129">
        <f t="shared" si="46"/>
        <v>0.3</v>
      </c>
      <c r="L222" s="129">
        <f t="shared" si="46"/>
        <v>0.3</v>
      </c>
      <c r="M222" s="129">
        <f t="shared" si="46"/>
        <v>0.3</v>
      </c>
      <c r="N222" s="129">
        <f t="shared" si="46"/>
        <v>0.3</v>
      </c>
      <c r="O222" s="129">
        <f t="shared" si="46"/>
        <v>0.3</v>
      </c>
      <c r="P222" s="129">
        <f t="shared" si="46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45"/>
        <v>0</v>
      </c>
      <c r="C223" s="117">
        <v>0.4</v>
      </c>
      <c r="D223" s="117">
        <f t="shared" si="46"/>
        <v>0.4</v>
      </c>
      <c r="E223" s="117">
        <f t="shared" si="46"/>
        <v>0.4</v>
      </c>
      <c r="F223" s="117">
        <f t="shared" si="46"/>
        <v>0.4</v>
      </c>
      <c r="G223" s="117">
        <f t="shared" si="46"/>
        <v>0.4</v>
      </c>
      <c r="H223" s="117">
        <f t="shared" si="46"/>
        <v>0.4</v>
      </c>
      <c r="I223" s="117">
        <f t="shared" si="46"/>
        <v>0.4</v>
      </c>
      <c r="J223" s="117">
        <f t="shared" si="46"/>
        <v>0.4</v>
      </c>
      <c r="K223" s="117">
        <f t="shared" si="46"/>
        <v>0.4</v>
      </c>
      <c r="L223" s="117">
        <f t="shared" si="46"/>
        <v>0.4</v>
      </c>
      <c r="M223" s="117">
        <f t="shared" si="46"/>
        <v>0.4</v>
      </c>
      <c r="N223" s="117">
        <f t="shared" si="46"/>
        <v>0.4</v>
      </c>
      <c r="O223" s="117">
        <f t="shared" si="46"/>
        <v>0.4</v>
      </c>
      <c r="P223" s="117">
        <f t="shared" si="46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45"/>
        <v>0</v>
      </c>
      <c r="C224" s="117">
        <v>1.5</v>
      </c>
      <c r="D224" s="117">
        <f t="shared" si="46"/>
        <v>1.5</v>
      </c>
      <c r="E224" s="117">
        <f t="shared" si="46"/>
        <v>1.5</v>
      </c>
      <c r="F224" s="117">
        <f t="shared" si="46"/>
        <v>1.5</v>
      </c>
      <c r="G224" s="117">
        <f t="shared" si="46"/>
        <v>1.5</v>
      </c>
      <c r="H224" s="117">
        <f t="shared" si="46"/>
        <v>1.5</v>
      </c>
      <c r="I224" s="117">
        <f t="shared" si="46"/>
        <v>1.5</v>
      </c>
      <c r="J224" s="117">
        <f t="shared" si="46"/>
        <v>1.5</v>
      </c>
      <c r="K224" s="117">
        <f t="shared" si="46"/>
        <v>1.5</v>
      </c>
      <c r="L224" s="117">
        <f t="shared" si="46"/>
        <v>1.5</v>
      </c>
      <c r="M224" s="117">
        <f t="shared" si="46"/>
        <v>1.5</v>
      </c>
      <c r="N224" s="117">
        <f t="shared" si="46"/>
        <v>1.5</v>
      </c>
      <c r="O224" s="117">
        <f t="shared" si="46"/>
        <v>1.5</v>
      </c>
      <c r="P224" s="117">
        <f t="shared" si="46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45"/>
        <v>0</v>
      </c>
      <c r="C225" s="117">
        <v>0.3</v>
      </c>
      <c r="D225" s="117">
        <f t="shared" si="46"/>
        <v>0.3</v>
      </c>
      <c r="E225" s="117">
        <f t="shared" si="46"/>
        <v>0.3</v>
      </c>
      <c r="F225" s="117">
        <f t="shared" si="46"/>
        <v>0.3</v>
      </c>
      <c r="G225" s="117">
        <f t="shared" si="46"/>
        <v>0.3</v>
      </c>
      <c r="H225" s="117">
        <f t="shared" si="46"/>
        <v>0.3</v>
      </c>
      <c r="I225" s="117">
        <f t="shared" si="46"/>
        <v>0.3</v>
      </c>
      <c r="J225" s="117">
        <f t="shared" si="46"/>
        <v>0.3</v>
      </c>
      <c r="K225" s="117">
        <f t="shared" si="46"/>
        <v>0.3</v>
      </c>
      <c r="L225" s="117">
        <f t="shared" si="46"/>
        <v>0.3</v>
      </c>
      <c r="M225" s="117">
        <f t="shared" si="46"/>
        <v>0.3</v>
      </c>
      <c r="N225" s="117">
        <f t="shared" si="46"/>
        <v>0.3</v>
      </c>
      <c r="O225" s="117">
        <f t="shared" si="46"/>
        <v>0.3</v>
      </c>
      <c r="P225" s="117">
        <f t="shared" si="46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45"/>
        <v>0</v>
      </c>
      <c r="C226" s="117">
        <v>0.4</v>
      </c>
      <c r="D226" s="117">
        <f t="shared" si="46"/>
        <v>0.4</v>
      </c>
      <c r="E226" s="117">
        <f t="shared" si="46"/>
        <v>0.4</v>
      </c>
      <c r="F226" s="117">
        <f t="shared" si="46"/>
        <v>0.4</v>
      </c>
      <c r="G226" s="117">
        <f t="shared" si="46"/>
        <v>0.4</v>
      </c>
      <c r="H226" s="117">
        <f t="shared" si="46"/>
        <v>0.4</v>
      </c>
      <c r="I226" s="117">
        <f t="shared" si="46"/>
        <v>0.4</v>
      </c>
      <c r="J226" s="117">
        <f t="shared" si="46"/>
        <v>0.4</v>
      </c>
      <c r="K226" s="117">
        <f t="shared" si="46"/>
        <v>0.4</v>
      </c>
      <c r="L226" s="117">
        <f t="shared" si="46"/>
        <v>0.4</v>
      </c>
      <c r="M226" s="117">
        <f t="shared" si="46"/>
        <v>0.4</v>
      </c>
      <c r="N226" s="117">
        <f t="shared" si="46"/>
        <v>0.4</v>
      </c>
      <c r="O226" s="117">
        <f t="shared" si="46"/>
        <v>0.4</v>
      </c>
      <c r="P226" s="117">
        <f t="shared" si="46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45"/>
        <v>0</v>
      </c>
      <c r="C227" s="121">
        <v>0.64</v>
      </c>
      <c r="D227" s="121">
        <f t="shared" si="46"/>
        <v>0.64</v>
      </c>
      <c r="E227" s="121">
        <f t="shared" si="46"/>
        <v>0.64</v>
      </c>
      <c r="F227" s="121">
        <f t="shared" si="46"/>
        <v>0.64</v>
      </c>
      <c r="G227" s="121">
        <f t="shared" si="46"/>
        <v>0.64</v>
      </c>
      <c r="H227" s="121">
        <f t="shared" si="46"/>
        <v>0.64</v>
      </c>
      <c r="I227" s="121">
        <f t="shared" si="46"/>
        <v>0.64</v>
      </c>
      <c r="J227" s="121">
        <f t="shared" si="46"/>
        <v>0.64</v>
      </c>
      <c r="K227" s="121">
        <f t="shared" si="46"/>
        <v>0.64</v>
      </c>
      <c r="L227" s="121">
        <f t="shared" si="46"/>
        <v>0.64</v>
      </c>
      <c r="M227" s="121">
        <f t="shared" si="46"/>
        <v>0.64</v>
      </c>
      <c r="N227" s="121">
        <f t="shared" si="46"/>
        <v>0.64</v>
      </c>
      <c r="O227" s="121">
        <f t="shared" si="46"/>
        <v>0.64</v>
      </c>
      <c r="P227" s="121">
        <f t="shared" si="46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47">SUM(B222:B227)</f>
        <v>0</v>
      </c>
      <c r="C228" s="125">
        <f t="shared" si="47"/>
        <v>3.54</v>
      </c>
      <c r="D228" s="125">
        <f t="shared" si="47"/>
        <v>3.54</v>
      </c>
      <c r="E228" s="125">
        <f t="shared" si="47"/>
        <v>3.54</v>
      </c>
      <c r="F228" s="125">
        <f t="shared" si="47"/>
        <v>3.54</v>
      </c>
      <c r="G228" s="125">
        <f t="shared" si="47"/>
        <v>3.54</v>
      </c>
      <c r="H228" s="125">
        <f t="shared" si="47"/>
        <v>3.54</v>
      </c>
      <c r="I228" s="125">
        <f t="shared" si="47"/>
        <v>3.54</v>
      </c>
      <c r="J228" s="125">
        <f t="shared" si="47"/>
        <v>3.54</v>
      </c>
      <c r="K228" s="125">
        <f t="shared" si="47"/>
        <v>3.54</v>
      </c>
      <c r="L228" s="125">
        <f t="shared" si="47"/>
        <v>3.54</v>
      </c>
      <c r="M228" s="125">
        <f t="shared" si="47"/>
        <v>3.54</v>
      </c>
      <c r="N228" s="125">
        <f t="shared" si="47"/>
        <v>3.54</v>
      </c>
      <c r="O228" s="125">
        <f t="shared" si="47"/>
        <v>3.54</v>
      </c>
      <c r="P228" s="125">
        <f t="shared" si="47"/>
        <v>3.54</v>
      </c>
      <c r="Q228" s="125">
        <f t="shared" si="47"/>
        <v>0</v>
      </c>
      <c r="R228" s="125">
        <f t="shared" si="47"/>
        <v>0</v>
      </c>
      <c r="S228" s="125">
        <f t="shared" si="47"/>
        <v>0</v>
      </c>
      <c r="T228" s="125">
        <f t="shared" si="47"/>
        <v>0</v>
      </c>
      <c r="U228" s="125">
        <f t="shared" si="47"/>
        <v>0</v>
      </c>
      <c r="V228" s="125">
        <f t="shared" si="47"/>
        <v>0</v>
      </c>
      <c r="W228" s="125">
        <f t="shared" si="47"/>
        <v>0</v>
      </c>
      <c r="X228" s="125">
        <f t="shared" si="47"/>
        <v>0</v>
      </c>
      <c r="Y228" s="125">
        <f t="shared" si="47"/>
        <v>0</v>
      </c>
      <c r="Z228" s="125">
        <f t="shared" si="47"/>
        <v>0</v>
      </c>
      <c r="AA228" s="125">
        <f t="shared" si="47"/>
        <v>0</v>
      </c>
      <c r="AB228" s="125">
        <f t="shared" si="47"/>
        <v>0</v>
      </c>
      <c r="AC228" s="125">
        <f t="shared" si="47"/>
        <v>0</v>
      </c>
      <c r="AD228" s="125">
        <f t="shared" si="47"/>
        <v>0</v>
      </c>
      <c r="AE228" s="125">
        <f t="shared" si="47"/>
        <v>0</v>
      </c>
      <c r="AF228" s="125">
        <f t="shared" si="47"/>
        <v>0</v>
      </c>
      <c r="AG228" s="134">
        <f t="shared" si="47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1667.64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2079/08/26)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48">B85</f>
        <v>937.24</v>
      </c>
      <c r="U242" s="159">
        <f t="shared" si="48"/>
        <v>942.04</v>
      </c>
      <c r="V242" s="159">
        <f t="shared" si="48"/>
        <v>905.84</v>
      </c>
      <c r="W242" s="159">
        <f t="shared" si="48"/>
        <v>928.04</v>
      </c>
      <c r="X242" s="159">
        <f t="shared" si="48"/>
        <v>947.34</v>
      </c>
      <c r="Y242" s="159">
        <f t="shared" si="48"/>
        <v>1018.84</v>
      </c>
      <c r="Z242" s="159">
        <f t="shared" si="48"/>
        <v>1080.74</v>
      </c>
      <c r="AA242" s="159">
        <f t="shared" si="48"/>
        <v>1199.5400000000002</v>
      </c>
      <c r="AB242" s="159">
        <f t="shared" si="48"/>
        <v>1312.04</v>
      </c>
      <c r="AC242" s="159">
        <f t="shared" si="48"/>
        <v>1526.0399999999997</v>
      </c>
      <c r="AD242" s="159">
        <f t="shared" si="48"/>
        <v>1643.64</v>
      </c>
      <c r="AE242" s="159">
        <f t="shared" si="48"/>
        <v>1667.64</v>
      </c>
      <c r="AF242" s="159">
        <f t="shared" si="48"/>
        <v>1603.14</v>
      </c>
      <c r="AG242" s="159">
        <f t="shared" si="48"/>
        <v>1383.04</v>
      </c>
      <c r="AH242" s="159">
        <f t="shared" si="48"/>
        <v>1297.9399999999998</v>
      </c>
      <c r="AI242" s="159">
        <f t="shared" si="48"/>
        <v>1239.94</v>
      </c>
      <c r="AJ242" s="159">
        <f t="shared" si="48"/>
        <v>1194.44</v>
      </c>
      <c r="AK242" s="159">
        <f t="shared" si="48"/>
        <v>1195.54</v>
      </c>
      <c r="AL242" s="159">
        <f t="shared" si="48"/>
        <v>1228.24</v>
      </c>
      <c r="AM242" s="159">
        <f t="shared" si="48"/>
        <v>1259.71</v>
      </c>
      <c r="AN242" s="159">
        <f t="shared" si="48"/>
        <v>1308.05</v>
      </c>
      <c r="AO242" s="159">
        <f t="shared" si="48"/>
        <v>1460.54</v>
      </c>
      <c r="AP242" s="159">
        <f t="shared" si="48"/>
        <v>1644.44</v>
      </c>
      <c r="AQ242" s="159">
        <f t="shared" si="48"/>
        <v>1588.3400000000001</v>
      </c>
      <c r="AR242" s="159">
        <f t="shared" si="48"/>
        <v>1487.9399999999998</v>
      </c>
      <c r="AS242" s="159">
        <f t="shared" si="48"/>
        <v>1396.1399999999999</v>
      </c>
      <c r="AT242" s="159">
        <f t="shared" si="48"/>
        <v>1380.6399999999999</v>
      </c>
      <c r="AU242" s="159">
        <f t="shared" si="48"/>
        <v>1369.2400000000002</v>
      </c>
      <c r="AV242" s="159">
        <f t="shared" si="48"/>
        <v>1324.54</v>
      </c>
      <c r="AW242" s="159">
        <f t="shared" si="48"/>
        <v>993.24000000000012</v>
      </c>
      <c r="AX242" s="159">
        <f t="shared" si="48"/>
        <v>1026.94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49">C227</f>
        <v>0.64</v>
      </c>
      <c r="C263" s="162">
        <f t="shared" si="49"/>
        <v>0.64</v>
      </c>
      <c r="D263" s="162">
        <f t="shared" si="49"/>
        <v>0.64</v>
      </c>
      <c r="E263" s="162">
        <f t="shared" si="49"/>
        <v>0.64</v>
      </c>
      <c r="F263" s="162">
        <f t="shared" si="49"/>
        <v>0.64</v>
      </c>
      <c r="G263" s="162">
        <f t="shared" si="49"/>
        <v>0.64</v>
      </c>
      <c r="H263" s="162">
        <f t="shared" si="49"/>
        <v>0.64</v>
      </c>
      <c r="I263" s="162">
        <f t="shared" si="49"/>
        <v>0.64</v>
      </c>
      <c r="J263" s="162">
        <f t="shared" si="49"/>
        <v>0.64</v>
      </c>
      <c r="K263" s="162">
        <f t="shared" si="49"/>
        <v>0.64</v>
      </c>
      <c r="L263" s="162">
        <f t="shared" si="49"/>
        <v>0.64</v>
      </c>
      <c r="M263" s="162">
        <f t="shared" si="49"/>
        <v>0.64</v>
      </c>
      <c r="N263" s="162">
        <f t="shared" si="49"/>
        <v>0.64</v>
      </c>
      <c r="O263" s="162">
        <f t="shared" si="49"/>
        <v>0.64</v>
      </c>
      <c r="P263" s="162">
        <f t="shared" si="49"/>
        <v>0</v>
      </c>
      <c r="Q263" s="162">
        <f t="shared" si="49"/>
        <v>0</v>
      </c>
      <c r="R263" s="162">
        <f t="shared" si="49"/>
        <v>0</v>
      </c>
      <c r="S263" s="162">
        <f t="shared" si="49"/>
        <v>0</v>
      </c>
      <c r="T263" s="162">
        <f t="shared" si="49"/>
        <v>0</v>
      </c>
      <c r="U263" s="162">
        <f t="shared" si="49"/>
        <v>0</v>
      </c>
      <c r="V263" s="162">
        <f t="shared" si="49"/>
        <v>0</v>
      </c>
      <c r="W263" s="162">
        <f t="shared" si="49"/>
        <v>0</v>
      </c>
      <c r="X263" s="162">
        <f t="shared" si="49"/>
        <v>0</v>
      </c>
      <c r="Y263" s="162">
        <f t="shared" si="49"/>
        <v>0</v>
      </c>
      <c r="Z263" s="162">
        <f t="shared" si="49"/>
        <v>0</v>
      </c>
      <c r="AA263" s="162">
        <f t="shared" si="49"/>
        <v>0</v>
      </c>
      <c r="AB263" s="162">
        <f t="shared" si="49"/>
        <v>0</v>
      </c>
      <c r="AC263" s="162">
        <f t="shared" si="49"/>
        <v>0</v>
      </c>
      <c r="AD263" s="162">
        <f t="shared" si="49"/>
        <v>0</v>
      </c>
      <c r="AE263" s="162">
        <f t="shared" si="49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50">IF(B231&lt;100,"",B231-520)</f>
        <v/>
      </c>
      <c r="C264" s="163" t="str">
        <f t="shared" si="50"/>
        <v/>
      </c>
      <c r="D264" s="163" t="str">
        <f t="shared" si="50"/>
        <v/>
      </c>
      <c r="E264" s="163" t="str">
        <f t="shared" si="50"/>
        <v/>
      </c>
      <c r="F264" s="163" t="str">
        <f t="shared" si="50"/>
        <v/>
      </c>
      <c r="G264" s="163" t="str">
        <f t="shared" si="50"/>
        <v/>
      </c>
      <c r="H264" s="163" t="str">
        <f t="shared" si="50"/>
        <v/>
      </c>
      <c r="I264" s="163" t="str">
        <f t="shared" si="50"/>
        <v/>
      </c>
      <c r="J264" s="163" t="str">
        <f t="shared" si="50"/>
        <v/>
      </c>
      <c r="K264" s="163" t="str">
        <f t="shared" si="50"/>
        <v/>
      </c>
      <c r="L264" s="163" t="str">
        <f t="shared" si="50"/>
        <v/>
      </c>
      <c r="M264" s="163" t="str">
        <f t="shared" si="50"/>
        <v/>
      </c>
      <c r="N264" s="163" t="str">
        <f t="shared" si="50"/>
        <v/>
      </c>
      <c r="O264" s="163" t="str">
        <f t="shared" si="50"/>
        <v/>
      </c>
      <c r="P264" s="163" t="str">
        <f t="shared" si="50"/>
        <v/>
      </c>
      <c r="Q264" s="163" t="str">
        <f t="shared" si="50"/>
        <v/>
      </c>
      <c r="R264" s="163" t="str">
        <f t="shared" si="50"/>
        <v/>
      </c>
      <c r="S264" s="163" t="str">
        <f t="shared" si="50"/>
        <v/>
      </c>
      <c r="T264" s="163" t="str">
        <f t="shared" si="50"/>
        <v/>
      </c>
      <c r="U264" s="163" t="str">
        <f t="shared" si="50"/>
        <v/>
      </c>
      <c r="V264" s="163" t="str">
        <f t="shared" si="50"/>
        <v/>
      </c>
      <c r="W264" s="163" t="str">
        <f t="shared" si="50"/>
        <v/>
      </c>
      <c r="X264" s="163" t="str">
        <f t="shared" si="50"/>
        <v/>
      </c>
      <c r="Y264" s="163" t="str">
        <f t="shared" si="50"/>
        <v/>
      </c>
      <c r="Z264" s="163" t="str">
        <f t="shared" si="50"/>
        <v/>
      </c>
      <c r="AA264" s="163" t="str">
        <f t="shared" si="50"/>
        <v/>
      </c>
      <c r="AB264" s="163" t="str">
        <f t="shared" si="50"/>
        <v/>
      </c>
      <c r="AC264" s="163" t="str">
        <f t="shared" si="50"/>
        <v/>
      </c>
      <c r="AD264" s="163" t="str">
        <f t="shared" si="50"/>
        <v/>
      </c>
      <c r="AE264" s="163" t="str">
        <f t="shared" si="50"/>
        <v/>
      </c>
      <c r="AF264" s="163" t="str">
        <f t="shared" si="50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51">IF(B232&lt;100,"",B232-620)</f>
        <v/>
      </c>
      <c r="C265" s="163" t="str">
        <f t="shared" si="51"/>
        <v/>
      </c>
      <c r="D265" s="163" t="str">
        <f t="shared" si="51"/>
        <v/>
      </c>
      <c r="E265" s="163" t="str">
        <f t="shared" si="51"/>
        <v/>
      </c>
      <c r="F265" s="163" t="str">
        <f t="shared" si="51"/>
        <v/>
      </c>
      <c r="G265" s="163" t="str">
        <f t="shared" si="51"/>
        <v/>
      </c>
      <c r="H265" s="163" t="str">
        <f t="shared" si="51"/>
        <v/>
      </c>
      <c r="I265" s="163" t="str">
        <f t="shared" si="51"/>
        <v/>
      </c>
      <c r="J265" s="163" t="str">
        <f t="shared" si="51"/>
        <v/>
      </c>
      <c r="K265" s="163" t="str">
        <f t="shared" si="51"/>
        <v/>
      </c>
      <c r="L265" s="163" t="str">
        <f t="shared" si="51"/>
        <v/>
      </c>
      <c r="M265" s="163" t="str">
        <f t="shared" si="51"/>
        <v/>
      </c>
      <c r="N265" s="163" t="str">
        <f t="shared" si="51"/>
        <v/>
      </c>
      <c r="O265" s="163" t="str">
        <f t="shared" si="51"/>
        <v/>
      </c>
      <c r="P265" s="163" t="str">
        <f t="shared" si="51"/>
        <v/>
      </c>
      <c r="Q265" s="163" t="str">
        <f t="shared" si="51"/>
        <v/>
      </c>
      <c r="R265" s="163" t="str">
        <f t="shared" si="51"/>
        <v/>
      </c>
      <c r="S265" s="163" t="str">
        <f t="shared" si="51"/>
        <v/>
      </c>
      <c r="T265" s="163" t="str">
        <f t="shared" si="51"/>
        <v/>
      </c>
      <c r="U265" s="163" t="str">
        <f t="shared" si="51"/>
        <v/>
      </c>
      <c r="V265" s="163" t="str">
        <f t="shared" si="51"/>
        <v/>
      </c>
      <c r="W265" s="163" t="str">
        <f t="shared" si="51"/>
        <v/>
      </c>
      <c r="X265" s="163" t="str">
        <f t="shared" si="51"/>
        <v/>
      </c>
      <c r="Y265" s="163" t="str">
        <f t="shared" si="51"/>
        <v/>
      </c>
      <c r="Z265" s="163" t="str">
        <f t="shared" si="51"/>
        <v/>
      </c>
      <c r="AA265" s="163" t="str">
        <f t="shared" si="51"/>
        <v/>
      </c>
      <c r="AB265" s="163" t="str">
        <f t="shared" si="51"/>
        <v/>
      </c>
      <c r="AC265" s="163" t="str">
        <f t="shared" si="51"/>
        <v/>
      </c>
      <c r="AD265" s="163" t="str">
        <f t="shared" si="51"/>
        <v/>
      </c>
      <c r="AE265" s="163" t="str">
        <f t="shared" si="51"/>
        <v/>
      </c>
      <c r="AF265" s="163" t="str">
        <f t="shared" si="51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52">IF(B233&lt;100,"",B233-330)</f>
        <v/>
      </c>
      <c r="C266" s="163" t="str">
        <f t="shared" si="52"/>
        <v/>
      </c>
      <c r="D266" s="163" t="str">
        <f t="shared" si="52"/>
        <v/>
      </c>
      <c r="E266" s="163" t="str">
        <f t="shared" si="52"/>
        <v/>
      </c>
      <c r="F266" s="163" t="str">
        <f t="shared" si="52"/>
        <v/>
      </c>
      <c r="G266" s="163" t="str">
        <f t="shared" si="52"/>
        <v/>
      </c>
      <c r="H266" s="163" t="str">
        <f t="shared" si="52"/>
        <v/>
      </c>
      <c r="I266" s="163" t="str">
        <f t="shared" si="52"/>
        <v/>
      </c>
      <c r="J266" s="163" t="str">
        <f t="shared" si="52"/>
        <v/>
      </c>
      <c r="K266" s="163" t="str">
        <f t="shared" si="52"/>
        <v/>
      </c>
      <c r="L266" s="163" t="str">
        <f t="shared" si="52"/>
        <v/>
      </c>
      <c r="M266" s="163" t="str">
        <f t="shared" si="52"/>
        <v/>
      </c>
      <c r="N266" s="163" t="str">
        <f t="shared" si="52"/>
        <v/>
      </c>
      <c r="O266" s="163" t="str">
        <f t="shared" si="52"/>
        <v/>
      </c>
      <c r="P266" s="163" t="str">
        <f t="shared" si="52"/>
        <v/>
      </c>
      <c r="Q266" s="163" t="str">
        <f t="shared" si="52"/>
        <v/>
      </c>
      <c r="R266" s="163" t="str">
        <f t="shared" si="52"/>
        <v/>
      </c>
      <c r="S266" s="163" t="str">
        <f t="shared" si="52"/>
        <v/>
      </c>
      <c r="T266" s="163" t="str">
        <f t="shared" si="52"/>
        <v/>
      </c>
      <c r="U266" s="163" t="str">
        <f t="shared" si="52"/>
        <v/>
      </c>
      <c r="V266" s="163" t="str">
        <f t="shared" si="52"/>
        <v/>
      </c>
      <c r="W266" s="163" t="str">
        <f t="shared" si="52"/>
        <v/>
      </c>
      <c r="X266" s="163" t="str">
        <f t="shared" si="52"/>
        <v/>
      </c>
      <c r="Y266" s="163" t="str">
        <f t="shared" si="52"/>
        <v/>
      </c>
      <c r="Z266" s="163" t="str">
        <f t="shared" si="52"/>
        <v/>
      </c>
      <c r="AA266" s="163" t="str">
        <f t="shared" si="52"/>
        <v/>
      </c>
      <c r="AB266" s="163" t="str">
        <f t="shared" si="52"/>
        <v/>
      </c>
      <c r="AC266" s="163" t="str">
        <f t="shared" si="52"/>
        <v/>
      </c>
      <c r="AD266" s="163" t="str">
        <f t="shared" si="52"/>
        <v/>
      </c>
      <c r="AE266" s="163" t="str">
        <f t="shared" si="52"/>
        <v/>
      </c>
      <c r="AF266" s="163" t="str">
        <f t="shared" si="52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53">IF(B234&lt;100,"",B234-1500)</f>
        <v/>
      </c>
      <c r="C267" s="163" t="str">
        <f t="shared" si="53"/>
        <v/>
      </c>
      <c r="D267" s="163" t="str">
        <f t="shared" si="53"/>
        <v/>
      </c>
      <c r="E267" s="163" t="str">
        <f t="shared" si="53"/>
        <v/>
      </c>
      <c r="F267" s="163" t="str">
        <f t="shared" si="53"/>
        <v/>
      </c>
      <c r="G267" s="163" t="str">
        <f t="shared" si="53"/>
        <v/>
      </c>
      <c r="H267" s="163" t="str">
        <f t="shared" si="53"/>
        <v/>
      </c>
      <c r="I267" s="163" t="str">
        <f t="shared" si="53"/>
        <v/>
      </c>
      <c r="J267" s="163" t="str">
        <f t="shared" si="53"/>
        <v/>
      </c>
      <c r="K267" s="163" t="str">
        <f t="shared" si="53"/>
        <v/>
      </c>
      <c r="L267" s="163" t="str">
        <f t="shared" si="53"/>
        <v/>
      </c>
      <c r="M267" s="163" t="str">
        <f t="shared" si="53"/>
        <v/>
      </c>
      <c r="N267" s="163" t="str">
        <f t="shared" si="53"/>
        <v/>
      </c>
      <c r="O267" s="163" t="str">
        <f t="shared" si="53"/>
        <v/>
      </c>
      <c r="P267" s="163" t="str">
        <f t="shared" si="53"/>
        <v/>
      </c>
      <c r="Q267" s="163" t="str">
        <f t="shared" si="53"/>
        <v/>
      </c>
      <c r="R267" s="163" t="str">
        <f t="shared" si="53"/>
        <v/>
      </c>
      <c r="S267" s="163" t="str">
        <f t="shared" si="53"/>
        <v/>
      </c>
      <c r="T267" s="163" t="str">
        <f t="shared" si="53"/>
        <v/>
      </c>
      <c r="U267" s="163" t="str">
        <f t="shared" si="53"/>
        <v/>
      </c>
      <c r="V267" s="163" t="str">
        <f t="shared" si="53"/>
        <v/>
      </c>
      <c r="W267" s="163" t="str">
        <f t="shared" si="53"/>
        <v/>
      </c>
      <c r="X267" s="163" t="str">
        <f t="shared" si="53"/>
        <v/>
      </c>
      <c r="Y267" s="163" t="str">
        <f t="shared" si="53"/>
        <v/>
      </c>
      <c r="Z267" s="163" t="str">
        <f t="shared" si="53"/>
        <v/>
      </c>
      <c r="AA267" s="163" t="str">
        <f t="shared" si="53"/>
        <v/>
      </c>
      <c r="AB267" s="163" t="str">
        <f t="shared" si="53"/>
        <v/>
      </c>
      <c r="AC267" s="163" t="str">
        <f t="shared" si="53"/>
        <v/>
      </c>
      <c r="AD267" s="163" t="str">
        <f t="shared" si="53"/>
        <v/>
      </c>
      <c r="AE267" s="163" t="str">
        <f t="shared" si="53"/>
        <v/>
      </c>
      <c r="AF267" s="163" t="str">
        <f t="shared" si="53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105:AF105 C107:AF112">
    <cfRule type="expression" dxfId="2703" priority="355">
      <formula>B$9&gt;=20/24</formula>
    </cfRule>
    <cfRule type="expression" dxfId="2702" priority="356">
      <formula>AND(B$9&gt;=14/24,B$9&lt;20/24)</formula>
    </cfRule>
    <cfRule type="expression" dxfId="2701" priority="357">
      <formula>AND(B$9&gt;=8/24,B$9&lt;14/24)</formula>
    </cfRule>
    <cfRule type="expression" dxfId="2700" priority="358">
      <formula>B$9&lt;8/24</formula>
    </cfRule>
  </conditionalFormatting>
  <conditionalFormatting sqref="AL4:AL6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U43:AF43">
    <cfRule type="expression" dxfId="2699" priority="350">
      <formula>U$9&gt;=20/24</formula>
    </cfRule>
    <cfRule type="expression" dxfId="2698" priority="351">
      <formula>AND(U$9&gt;=14/24,U$9&lt;20/24)</formula>
    </cfRule>
    <cfRule type="expression" dxfId="2697" priority="352">
      <formula>AND(U$9&gt;=8/24,U$9&lt;14/24)</formula>
    </cfRule>
    <cfRule type="expression" dxfId="2696" priority="353">
      <formula>U$9&lt;8/24</formula>
    </cfRule>
  </conditionalFormatting>
  <conditionalFormatting sqref="AG61 U43:AF43">
    <cfRule type="expression" dxfId="2695" priority="349">
      <formula>U43&gt;$AG43</formula>
    </cfRule>
  </conditionalFormatting>
  <conditionalFormatting sqref="A95:A105 A55:A82 A91:A93 A198:A228 A42:A53 A114:A185 A38:A39 A87:A89 A84:A85 A107:A109 A35:A36 A17:A18 A11:A15 A20:A33">
    <cfRule type="expression" dxfId="2694" priority="348">
      <formula>$AH11=0</formula>
    </cfRule>
  </conditionalFormatting>
  <conditionalFormatting sqref="A110">
    <cfRule type="expression" dxfId="2693" priority="347">
      <formula>$AH110=0</formula>
    </cfRule>
  </conditionalFormatting>
  <conditionalFormatting sqref="AL39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692" priority="345">
      <formula>$AH41=0</formula>
    </cfRule>
  </conditionalFormatting>
  <conditionalFormatting sqref="A94">
    <cfRule type="expression" dxfId="2691" priority="344">
      <formula>$AH94=0</formula>
    </cfRule>
  </conditionalFormatting>
  <conditionalFormatting sqref="A16">
    <cfRule type="expression" dxfId="2690" priority="343">
      <formula>$AH16=0</formula>
    </cfRule>
  </conditionalFormatting>
  <conditionalFormatting sqref="A192:A197">
    <cfRule type="expression" dxfId="2689" priority="342">
      <formula>$AH192=0</formula>
    </cfRule>
  </conditionalFormatting>
  <conditionalFormatting sqref="A186:A191">
    <cfRule type="expression" dxfId="2688" priority="341">
      <formula>$AH186=0</formula>
    </cfRule>
  </conditionalFormatting>
  <conditionalFormatting sqref="A54">
    <cfRule type="expression" dxfId="2687" priority="340">
      <formula>$AH54=0</formula>
    </cfRule>
  </conditionalFormatting>
  <conditionalFormatting sqref="A90">
    <cfRule type="expression" dxfId="2686" priority="339">
      <formula>$AH90=0</formula>
    </cfRule>
  </conditionalFormatting>
  <conditionalFormatting sqref="C95:AF95">
    <cfRule type="expression" dxfId="2685" priority="335">
      <formula>C$9&gt;=20/24</formula>
    </cfRule>
    <cfRule type="expression" dxfId="2684" priority="336">
      <formula>AND(C$9&gt;=14/24,C$9&lt;20/24)</formula>
    </cfRule>
    <cfRule type="expression" dxfId="2683" priority="337">
      <formula>AND(C$9&gt;=8/24,C$9&lt;14/24)</formula>
    </cfRule>
    <cfRule type="expression" dxfId="2682" priority="338">
      <formula>C$9&lt;8/24</formula>
    </cfRule>
  </conditionalFormatting>
  <conditionalFormatting sqref="AL40">
    <cfRule type="iconSet" priority="33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681" priority="361">
      <formula>C$9&gt;=20/24</formula>
    </cfRule>
    <cfRule type="expression" dxfId="2680" priority="362">
      <formula>AND(C$9&gt;=14/24,C$9&lt;20/24)</formula>
    </cfRule>
    <cfRule type="expression" dxfId="2679" priority="363">
      <formula>AND(C$9&gt;=8/24,C$9&lt;14/24)</formula>
    </cfRule>
    <cfRule type="expression" dxfId="2678" priority="364">
      <formula>C$9&lt;8/24</formula>
    </cfRule>
  </conditionalFormatting>
  <conditionalFormatting sqref="A229">
    <cfRule type="expression" dxfId="2677" priority="365">
      <formula>$AH229=0</formula>
    </cfRule>
  </conditionalFormatting>
  <conditionalFormatting sqref="AG241">
    <cfRule type="expression" dxfId="2676" priority="366">
      <formula>B$9&gt;=20/24</formula>
    </cfRule>
    <cfRule type="expression" dxfId="2675" priority="367">
      <formula>AND(B$9&gt;=14/24,B$9&lt;20/24)</formula>
    </cfRule>
    <cfRule type="expression" dxfId="2674" priority="368">
      <formula>AND(B$9&gt;=8/24,B$9&lt;14/24)</formula>
    </cfRule>
    <cfRule type="expression" dxfId="2673" priority="369">
      <formula>B$9&lt;8/24</formula>
    </cfRule>
  </conditionalFormatting>
  <conditionalFormatting sqref="S8">
    <cfRule type="expression" dxfId="2672" priority="330">
      <formula>U$9&gt;=20/24</formula>
    </cfRule>
    <cfRule type="expression" dxfId="2671" priority="331">
      <formula>AND(U$9&gt;=14/24,U$9&lt;20/24)</formula>
    </cfRule>
    <cfRule type="expression" dxfId="2670" priority="332">
      <formula>AND(U$9&gt;=8/24,U$9&lt;14/24)</formula>
    </cfRule>
    <cfRule type="expression" dxfId="2669" priority="333">
      <formula>U$9&lt;8/24</formula>
    </cfRule>
  </conditionalFormatting>
  <conditionalFormatting sqref="AB8">
    <cfRule type="expression" dxfId="2668" priority="326">
      <formula>AD$9&gt;=20/24</formula>
    </cfRule>
    <cfRule type="expression" dxfId="2667" priority="327">
      <formula>AND(AD$9&gt;=14/24,AD$9&lt;20/24)</formula>
    </cfRule>
    <cfRule type="expression" dxfId="2666" priority="328">
      <formula>AND(AD$9&gt;=8/24,AD$9&lt;14/24)</formula>
    </cfRule>
    <cfRule type="expression" dxfId="2665" priority="329">
      <formula>AD$9&lt;8/24</formula>
    </cfRule>
  </conditionalFormatting>
  <conditionalFormatting sqref="AH241:AX241">
    <cfRule type="expression" dxfId="2664" priority="370">
      <formula>AG$9&gt;=20/24</formula>
    </cfRule>
    <cfRule type="expression" dxfId="2663" priority="371">
      <formula>AND(AG$9&gt;=14/24,AG$9&lt;20/24)</formula>
    </cfRule>
    <cfRule type="expression" dxfId="2662" priority="372">
      <formula>AND(AG$9&gt;=8/24,AG$9&lt;14/24)</formula>
    </cfRule>
    <cfRule type="expression" dxfId="2661" priority="373">
      <formula>AG$9&lt;8/24</formula>
    </cfRule>
  </conditionalFormatting>
  <conditionalFormatting sqref="T241">
    <cfRule type="expression" dxfId="2660" priority="374">
      <formula>AX$9&gt;=20/24</formula>
    </cfRule>
    <cfRule type="expression" dxfId="2659" priority="375">
      <formula>AND(AX$9&gt;=14/24,AX$9&lt;20/24)</formula>
    </cfRule>
    <cfRule type="expression" dxfId="2658" priority="376">
      <formula>AND(AX$9&gt;=8/24,AX$9&lt;14/24)</formula>
    </cfRule>
    <cfRule type="expression" dxfId="2657" priority="377">
      <formula>AX$9&lt;8/24</formula>
    </cfRule>
  </conditionalFormatting>
  <conditionalFormatting sqref="A111:A112">
    <cfRule type="expression" dxfId="2656" priority="325">
      <formula>$AH111=0</formula>
    </cfRule>
  </conditionalFormatting>
  <conditionalFormatting sqref="M52 F50:M51 T50:AF51 E67:AF67">
    <cfRule type="expression" dxfId="2655" priority="321">
      <formula>E$9&gt;=20/24</formula>
    </cfRule>
    <cfRule type="expression" dxfId="2654" priority="322">
      <formula>AND(E$9&gt;=14/24,E$9&lt;20/24)</formula>
    </cfRule>
    <cfRule type="expression" dxfId="2653" priority="323">
      <formula>AND(E$9&gt;=8/24,E$9&lt;14/24)</formula>
    </cfRule>
    <cfRule type="expression" dxfId="2652" priority="324">
      <formula>E$9&lt;8/24</formula>
    </cfRule>
  </conditionalFormatting>
  <conditionalFormatting sqref="E49:L49 T49:AF49">
    <cfRule type="expression" dxfId="2651" priority="317">
      <formula>E$9&gt;=20/24</formula>
    </cfRule>
    <cfRule type="expression" dxfId="2650" priority="318">
      <formula>AND(E$9&gt;=14/24,E$9&lt;20/24)</formula>
    </cfRule>
    <cfRule type="expression" dxfId="2649" priority="319">
      <formula>AND(E$9&gt;=8/24,E$9&lt;14/24)</formula>
    </cfRule>
    <cfRule type="expression" dxfId="2648" priority="320">
      <formula>E$9&lt;8/24</formula>
    </cfRule>
  </conditionalFormatting>
  <conditionalFormatting sqref="E49:J49 F50:J51 M52 L50:M51 L49 K49:K51 T49:AF51">
    <cfRule type="expression" dxfId="2647" priority="316">
      <formula>E49&gt;$AG49</formula>
    </cfRule>
  </conditionalFormatting>
  <conditionalFormatting sqref="C92:AF92 C82:AF82 L43:T43 E68:T69 D96:AF102 M79:AF81 S63:AF65 U68:AF70 AC71:AF77">
    <cfRule type="expression" dxfId="2646" priority="312">
      <formula>C$9&gt;=20/24</formula>
    </cfRule>
    <cfRule type="expression" dxfId="2645" priority="313">
      <formula>AND(C$9&gt;=14/24,C$9&lt;20/24)</formula>
    </cfRule>
    <cfRule type="expression" dxfId="2644" priority="314">
      <formula>AND(C$9&gt;=8/24,C$9&lt;14/24)</formula>
    </cfRule>
    <cfRule type="expression" dxfId="2643" priority="315">
      <formula>C$9&lt;8/24</formula>
    </cfRule>
  </conditionalFormatting>
  <conditionalFormatting sqref="AB52:AF53 F52:L52 C61:AF61 L43:T43 S63:AF65">
    <cfRule type="expression" dxfId="2642" priority="307">
      <formula>C43&gt;$AG43</formula>
    </cfRule>
  </conditionalFormatting>
  <conditionalFormatting sqref="V52:AA53 AC54:AF54">
    <cfRule type="expression" dxfId="2641" priority="290">
      <formula>V$9&gt;=20/24</formula>
    </cfRule>
    <cfRule type="expression" dxfId="2640" priority="291">
      <formula>AND(V$9&gt;=14/24,V$9&lt;20/24)</formula>
    </cfRule>
    <cfRule type="expression" dxfId="2639" priority="292">
      <formula>AND(V$9&gt;=8/24,V$9&lt;14/24)</formula>
    </cfRule>
    <cfRule type="expression" dxfId="2638" priority="293">
      <formula>V$9&lt;8/24</formula>
    </cfRule>
  </conditionalFormatting>
  <conditionalFormatting sqref="V52:AA53 AC54:AF54">
    <cfRule type="expression" dxfId="2637" priority="289">
      <formula>V52&gt;$AG52</formula>
    </cfRule>
  </conditionalFormatting>
  <conditionalFormatting sqref="M49:N49 N50:N53 O49:Q53 U52:U53 R49:S54 T52:T54 U54:AB55 AC55:AF55">
    <cfRule type="expression" dxfId="2636" priority="285">
      <formula>M$9&gt;=20/24</formula>
    </cfRule>
    <cfRule type="expression" dxfId="2635" priority="286">
      <formula>AND(M$9&gt;=14/24,M$9&lt;20/24)</formula>
    </cfRule>
    <cfRule type="expression" dxfId="2634" priority="287">
      <formula>AND(M$9&gt;=8/24,M$9&lt;14/24)</formula>
    </cfRule>
    <cfRule type="expression" dxfId="2633" priority="288">
      <formula>M$9&lt;8/24</formula>
    </cfRule>
  </conditionalFormatting>
  <conditionalFormatting sqref="M49:N49 N50:N53 O49:Q53 U52:U53 R49:S54 T52:T54 U54:AB55 AC55:AF55">
    <cfRule type="expression" dxfId="2632" priority="284">
      <formula>M49&gt;$AG49</formula>
    </cfRule>
  </conditionalFormatting>
  <conditionalFormatting sqref="D49">
    <cfRule type="expression" dxfId="2631" priority="271">
      <formula>D$9&gt;=20/24</formula>
    </cfRule>
    <cfRule type="expression" dxfId="2630" priority="272">
      <formula>AND(D$9&gt;=14/24,D$9&lt;20/24)</formula>
    </cfRule>
    <cfRule type="expression" dxfId="2629" priority="273">
      <formula>AND(D$9&gt;=8/24,D$9&lt;14/24)</formula>
    </cfRule>
    <cfRule type="expression" dxfId="2628" priority="274">
      <formula>D$9&lt;8/24</formula>
    </cfRule>
  </conditionalFormatting>
  <conditionalFormatting sqref="D49">
    <cfRule type="expression" dxfId="2627" priority="270">
      <formula>D49&gt;$AG49</formula>
    </cfRule>
  </conditionalFormatting>
  <conditionalFormatting sqref="C84:AF84 C93:AF93">
    <cfRule type="expression" dxfId="2626" priority="257">
      <formula>C$9&gt;=20/24</formula>
    </cfRule>
    <cfRule type="expression" dxfId="2625" priority="258">
      <formula>AND(C$9&gt;=14/24,C$9&lt;20/24)</formula>
    </cfRule>
    <cfRule type="expression" dxfId="2624" priority="259">
      <formula>AND(C$9&gt;=8/24,C$9&lt;14/24)</formula>
    </cfRule>
    <cfRule type="expression" dxfId="2623" priority="260">
      <formula>C$9&lt;8/24</formula>
    </cfRule>
  </conditionalFormatting>
  <conditionalFormatting sqref="C43:K43">
    <cfRule type="expression" dxfId="2622" priority="253">
      <formula>C$9&gt;=20/24</formula>
    </cfRule>
    <cfRule type="expression" dxfId="2621" priority="254">
      <formula>AND(C$9&gt;=14/24,C$9&lt;20/24)</formula>
    </cfRule>
    <cfRule type="expression" dxfId="2620" priority="255">
      <formula>AND(C$9&gt;=8/24,C$9&lt;14/24)</formula>
    </cfRule>
    <cfRule type="expression" dxfId="2619" priority="256">
      <formula>C$9&lt;8/24</formula>
    </cfRule>
  </conditionalFormatting>
  <conditionalFormatting sqref="C43:K43">
    <cfRule type="expression" dxfId="2618" priority="252">
      <formula>C43&gt;$AG43</formula>
    </cfRule>
  </conditionalFormatting>
  <conditionalFormatting sqref="C50:E51">
    <cfRule type="expression" dxfId="2617" priority="244">
      <formula>C$9&gt;=20/24</formula>
    </cfRule>
    <cfRule type="expression" dxfId="2616" priority="245">
      <formula>AND(C$9&gt;=14/24,C$9&lt;20/24)</formula>
    </cfRule>
    <cfRule type="expression" dxfId="2615" priority="246">
      <formula>AND(C$9&gt;=8/24,C$9&lt;14/24)</formula>
    </cfRule>
    <cfRule type="expression" dxfId="2614" priority="247">
      <formula>C$9&lt;8/24</formula>
    </cfRule>
  </conditionalFormatting>
  <conditionalFormatting sqref="C49">
    <cfRule type="expression" dxfId="2613" priority="240">
      <formula>C$9&gt;=20/24</formula>
    </cfRule>
    <cfRule type="expression" dxfId="2612" priority="241">
      <formula>AND(C$9&gt;=14/24,C$9&lt;20/24)</formula>
    </cfRule>
    <cfRule type="expression" dxfId="2611" priority="242">
      <formula>AND(C$9&gt;=8/24,C$9&lt;14/24)</formula>
    </cfRule>
    <cfRule type="expression" dxfId="2610" priority="243">
      <formula>C$9&lt;8/24</formula>
    </cfRule>
  </conditionalFormatting>
  <conditionalFormatting sqref="C49:C51 D50:E51">
    <cfRule type="expression" dxfId="2609" priority="239">
      <formula>C49&gt;$AG49</formula>
    </cfRule>
  </conditionalFormatting>
  <conditionalFormatting sqref="C96:C102 C66:AG66 C83:AG83 C85:AF85 C94:AF94 J63:R65 E70:T77 U71:AB77">
    <cfRule type="expression" dxfId="2608" priority="235">
      <formula>C$9&gt;=20/24</formula>
    </cfRule>
    <cfRule type="expression" dxfId="2607" priority="236">
      <formula>AND(C$9&gt;=14/24,C$9&lt;20/24)</formula>
    </cfRule>
    <cfRule type="expression" dxfId="2606" priority="237">
      <formula>AND(C$9&gt;=8/24,C$9&lt;14/24)</formula>
    </cfRule>
    <cfRule type="expression" dxfId="2605" priority="238">
      <formula>C$9&lt;8/24</formula>
    </cfRule>
  </conditionalFormatting>
  <conditionalFormatting sqref="C52:E53 F53:M53 C44:AG44 C62:AG62 C66:AG66 J63:R65">
    <cfRule type="expression" dxfId="2604" priority="230">
      <formula>C44&gt;$AG44</formula>
    </cfRule>
  </conditionalFormatting>
  <conditionalFormatting sqref="C54:Q54">
    <cfRule type="expression" dxfId="2603" priority="213">
      <formula>C$9&gt;=20/24</formula>
    </cfRule>
    <cfRule type="expression" dxfId="2602" priority="214">
      <formula>AND(C$9&gt;=14/24,C$9&lt;20/24)</formula>
    </cfRule>
    <cfRule type="expression" dxfId="2601" priority="215">
      <formula>AND(C$9&gt;=8/24,C$9&lt;14/24)</formula>
    </cfRule>
    <cfRule type="expression" dxfId="2600" priority="216">
      <formula>C$9&lt;8/24</formula>
    </cfRule>
  </conditionalFormatting>
  <conditionalFormatting sqref="C54:Q54">
    <cfRule type="expression" dxfId="2599" priority="212">
      <formula>C54&gt;$AG54</formula>
    </cfRule>
  </conditionalFormatting>
  <conditionalFormatting sqref="A40">
    <cfRule type="expression" dxfId="2598" priority="202">
      <formula>$AH40=0</formula>
    </cfRule>
  </conditionalFormatting>
  <conditionalFormatting sqref="C78:AF78">
    <cfRule type="expression" dxfId="2597" priority="198">
      <formula>C$9&gt;=20/24</formula>
    </cfRule>
    <cfRule type="expression" dxfId="2596" priority="199">
      <formula>AND(C$9&gt;=14/24,C$9&lt;20/24)</formula>
    </cfRule>
    <cfRule type="expression" dxfId="2595" priority="200">
      <formula>AND(C$9&gt;=8/24,C$9&lt;14/24)</formula>
    </cfRule>
    <cfRule type="expression" dxfId="2594" priority="201">
      <formula>C$9&lt;8/24</formula>
    </cfRule>
  </conditionalFormatting>
  <conditionalFormatting sqref="C87:AF91">
    <cfRule type="expression" dxfId="2593" priority="194">
      <formula>C$9&gt;=20/24</formula>
    </cfRule>
    <cfRule type="expression" dxfId="2592" priority="195">
      <formula>AND(C$9&gt;=14/24,C$9&lt;20/24)</formula>
    </cfRule>
    <cfRule type="expression" dxfId="2591" priority="196">
      <formula>AND(C$9&gt;=8/24,C$9&lt;14/24)</formula>
    </cfRule>
    <cfRule type="expression" dxfId="2590" priority="197">
      <formula>C$9&lt;8/24</formula>
    </cfRule>
  </conditionalFormatting>
  <conditionalFormatting sqref="AL41 AL38 AL20:AL33 AL35:AL36 AL7:AL18">
    <cfRule type="iconSet" priority="378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2589" priority="190">
      <formula>C$9&gt;=20/24</formula>
    </cfRule>
    <cfRule type="expression" dxfId="2588" priority="191">
      <formula>AND(C$9&gt;=14/24,C$9&lt;20/24)</formula>
    </cfRule>
    <cfRule type="expression" dxfId="2587" priority="192">
      <formula>AND(C$9&gt;=8/24,C$9&lt;14/24)</formula>
    </cfRule>
    <cfRule type="expression" dxfId="2586" priority="193">
      <formula>C$9&lt;8/24</formula>
    </cfRule>
  </conditionalFormatting>
  <conditionalFormatting sqref="C45:AF47">
    <cfRule type="expression" dxfId="2585" priority="189">
      <formula>C45&gt;$AG45</formula>
    </cfRule>
  </conditionalFormatting>
  <conditionalFormatting sqref="C48:AG48">
    <cfRule type="expression" dxfId="2584" priority="185">
      <formula>C$9&gt;=20/24</formula>
    </cfRule>
    <cfRule type="expression" dxfId="2583" priority="186">
      <formula>AND(C$9&gt;=14/24,C$9&lt;20/24)</formula>
    </cfRule>
    <cfRule type="expression" dxfId="2582" priority="187">
      <formula>AND(C$9&gt;=8/24,C$9&lt;14/24)</formula>
    </cfRule>
    <cfRule type="expression" dxfId="2581" priority="188">
      <formula>C$9&lt;8/24</formula>
    </cfRule>
  </conditionalFormatting>
  <conditionalFormatting sqref="C48:AG48">
    <cfRule type="expression" dxfId="2580" priority="184">
      <formula>C48&gt;$AG48</formula>
    </cfRule>
  </conditionalFormatting>
  <conditionalFormatting sqref="C103:AF103">
    <cfRule type="expression" dxfId="2579" priority="180">
      <formula>C$9&gt;=20/24</formula>
    </cfRule>
    <cfRule type="expression" dxfId="2578" priority="181">
      <formula>AND(C$9&gt;=14/24,C$9&lt;20/24)</formula>
    </cfRule>
    <cfRule type="expression" dxfId="2577" priority="182">
      <formula>AND(C$9&gt;=8/24,C$9&lt;14/24)</formula>
    </cfRule>
    <cfRule type="expression" dxfId="2576" priority="183">
      <formula>C$9&lt;8/24</formula>
    </cfRule>
  </conditionalFormatting>
  <conditionalFormatting sqref="AL37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575" priority="170">
      <formula>$AH37=0</formula>
    </cfRule>
  </conditionalFormatting>
  <conditionalFormatting sqref="A86">
    <cfRule type="expression" dxfId="2574" priority="168">
      <formula>$AH86=0</formula>
    </cfRule>
  </conditionalFormatting>
  <conditionalFormatting sqref="A83">
    <cfRule type="expression" dxfId="2573" priority="169">
      <formula>$AH83=0</formula>
    </cfRule>
  </conditionalFormatting>
  <conditionalFormatting sqref="A113">
    <cfRule type="expression" dxfId="2572" priority="159">
      <formula>$AH113=0</formula>
    </cfRule>
  </conditionalFormatting>
  <conditionalFormatting sqref="C106:AF106">
    <cfRule type="expression" dxfId="2571" priority="155">
      <formula>C$9&gt;=20/24</formula>
    </cfRule>
    <cfRule type="expression" dxfId="2570" priority="156">
      <formula>AND(C$9&gt;=14/24,C$9&lt;20/24)</formula>
    </cfRule>
    <cfRule type="expression" dxfId="2569" priority="157">
      <formula>AND(C$9&gt;=8/24,C$9&lt;14/24)</formula>
    </cfRule>
    <cfRule type="expression" dxfId="2568" priority="158">
      <formula>C$9&lt;8/24</formula>
    </cfRule>
  </conditionalFormatting>
  <conditionalFormatting sqref="A106">
    <cfRule type="expression" dxfId="2567" priority="154">
      <formula>$AH106=0</formula>
    </cfRule>
  </conditionalFormatting>
  <conditionalFormatting sqref="U56:AF60">
    <cfRule type="expression" dxfId="2566" priority="146">
      <formula>U$9&gt;=20/24</formula>
    </cfRule>
    <cfRule type="expression" dxfId="2565" priority="147">
      <formula>AND(U$9&gt;=14/24,U$9&lt;20/24)</formula>
    </cfRule>
    <cfRule type="expression" dxfId="2564" priority="148">
      <formula>AND(U$9&gt;=8/24,U$9&lt;14/24)</formula>
    </cfRule>
    <cfRule type="expression" dxfId="2563" priority="149">
      <formula>U$9&lt;8/24</formula>
    </cfRule>
  </conditionalFormatting>
  <conditionalFormatting sqref="U56:AF60">
    <cfRule type="expression" dxfId="2562" priority="145">
      <formula>U56&gt;$AG56</formula>
    </cfRule>
  </conditionalFormatting>
  <conditionalFormatting sqref="A19">
    <cfRule type="expression" dxfId="2561" priority="142">
      <formula>$AH19=0</formula>
    </cfRule>
  </conditionalFormatting>
  <conditionalFormatting sqref="AL19">
    <cfRule type="iconSet" priority="14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560" priority="132">
      <formula>$AH34=0</formula>
    </cfRule>
  </conditionalFormatting>
  <conditionalFormatting sqref="AL34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B105 B107:B112 B22:AF26 B11:AF11 B15:AF15 B17:AF18">
    <cfRule type="expression" dxfId="2559" priority="113">
      <formula>B$9&gt;=20/24</formula>
    </cfRule>
    <cfRule type="expression" dxfId="2558" priority="114">
      <formula>AND(B$9&gt;=14/24,B$9&lt;20/24)</formula>
    </cfRule>
    <cfRule type="expression" dxfId="2557" priority="115">
      <formula>AND(B$9&gt;=8/24,B$9&lt;14/24)</formula>
    </cfRule>
    <cfRule type="expression" dxfId="2556" priority="116">
      <formula>B$9&lt;8/24</formula>
    </cfRule>
  </conditionalFormatting>
  <conditionalFormatting sqref="B43">
    <cfRule type="expression" dxfId="2555" priority="109">
      <formula>B$9&gt;=20/24</formula>
    </cfRule>
    <cfRule type="expression" dxfId="2554" priority="110">
      <formula>AND(B$9&gt;=14/24,B$9&lt;20/24)</formula>
    </cfRule>
    <cfRule type="expression" dxfId="2553" priority="111">
      <formula>AND(B$9&gt;=8/24,B$9&lt;14/24)</formula>
    </cfRule>
    <cfRule type="expression" dxfId="2552" priority="112">
      <formula>B$9&lt;8/24</formula>
    </cfRule>
  </conditionalFormatting>
  <conditionalFormatting sqref="B43 B20:AF20 B22:AF26 B41:AF41 B11:AF18">
    <cfRule type="expression" dxfId="2551" priority="108">
      <formula>B11&gt;$AG11</formula>
    </cfRule>
  </conditionalFormatting>
  <conditionalFormatting sqref="B95">
    <cfRule type="expression" dxfId="2550" priority="104">
      <formula>B$9&gt;=20/24</formula>
    </cfRule>
    <cfRule type="expression" dxfId="2549" priority="105">
      <formula>AND(B$9&gt;=14/24,B$9&lt;20/24)</formula>
    </cfRule>
    <cfRule type="expression" dxfId="2548" priority="106">
      <formula>AND(B$9&gt;=8/24,B$9&lt;14/24)</formula>
    </cfRule>
    <cfRule type="expression" dxfId="2547" priority="107">
      <formula>B$9&lt;8/24</formula>
    </cfRule>
  </conditionalFormatting>
  <conditionalFormatting sqref="B50:B51 B67:D67">
    <cfRule type="expression" dxfId="2546" priority="100">
      <formula>B$9&gt;=20/24</formula>
    </cfRule>
    <cfRule type="expression" dxfId="2545" priority="101">
      <formula>AND(B$9&gt;=14/24,B$9&lt;20/24)</formula>
    </cfRule>
    <cfRule type="expression" dxfId="2544" priority="102">
      <formula>AND(B$9&gt;=8/24,B$9&lt;14/24)</formula>
    </cfRule>
    <cfRule type="expression" dxfId="2543" priority="103">
      <formula>B$9&lt;8/24</formula>
    </cfRule>
  </conditionalFormatting>
  <conditionalFormatting sqref="B49">
    <cfRule type="expression" dxfId="2542" priority="96">
      <formula>B$9&gt;=20/24</formula>
    </cfRule>
    <cfRule type="expression" dxfId="2541" priority="97">
      <formula>AND(B$9&gt;=14/24,B$9&lt;20/24)</formula>
    </cfRule>
    <cfRule type="expression" dxfId="2540" priority="98">
      <formula>AND(B$9&gt;=8/24,B$9&lt;14/24)</formula>
    </cfRule>
    <cfRule type="expression" dxfId="2539" priority="99">
      <formula>B$9&lt;8/24</formula>
    </cfRule>
  </conditionalFormatting>
  <conditionalFormatting sqref="B49:B51">
    <cfRule type="expression" dxfId="2538" priority="95">
      <formula>B49&gt;$AG49</formula>
    </cfRule>
  </conditionalFormatting>
  <conditionalFormatting sqref="B92 B96:B102 B79:B82 B68:D77 C79:L81 B63:I65 B28:AF31 B33:AF33 B35:AF38 B20:AF20 B12:AF14">
    <cfRule type="expression" dxfId="2537" priority="91">
      <formula>B$9&gt;=20/24</formula>
    </cfRule>
    <cfRule type="expression" dxfId="2536" priority="92">
      <formula>AND(B$9&gt;=14/24,B$9&lt;20/24)</formula>
    </cfRule>
    <cfRule type="expression" dxfId="2535" priority="93">
      <formula>AND(B$9&gt;=8/24,B$9&lt;14/24)</formula>
    </cfRule>
    <cfRule type="expression" dxfId="2534" priority="94">
      <formula>B$9&lt;8/24</formula>
    </cfRule>
  </conditionalFormatting>
  <conditionalFormatting sqref="B39:AF39">
    <cfRule type="expression" dxfId="2533" priority="87">
      <formula>B$9&gt;=20/24</formula>
    </cfRule>
    <cfRule type="expression" dxfId="2532" priority="88">
      <formula>AND(B$9&gt;=14/24,B$9&lt;20/24)</formula>
    </cfRule>
    <cfRule type="expression" dxfId="2531" priority="89">
      <formula>AND(B$9&gt;=8/24,B$9&lt;14/24)</formula>
    </cfRule>
    <cfRule type="expression" dxfId="2530" priority="90">
      <formula>B$9&lt;8/24</formula>
    </cfRule>
  </conditionalFormatting>
  <conditionalFormatting sqref="B61 B52:B53 B63:I65 B28:AF33 B35:AF39">
    <cfRule type="expression" dxfId="2529" priority="86">
      <formula>B28&gt;$AG28</formula>
    </cfRule>
  </conditionalFormatting>
  <conditionalFormatting sqref="B41:AF41">
    <cfRule type="expression" dxfId="2528" priority="82">
      <formula>B$9&gt;=20/24</formula>
    </cfRule>
    <cfRule type="expression" dxfId="2527" priority="83">
      <formula>AND(B$9&gt;=14/24,B$9&lt;20/24)</formula>
    </cfRule>
    <cfRule type="expression" dxfId="2526" priority="84">
      <formula>AND(B$9&gt;=8/24,B$9&lt;14/24)</formula>
    </cfRule>
    <cfRule type="expression" dxfId="2525" priority="85">
      <formula>B$9&lt;8/24</formula>
    </cfRule>
  </conditionalFormatting>
  <conditionalFormatting sqref="B16:AF16">
    <cfRule type="expression" dxfId="2524" priority="78">
      <formula>B$9&gt;=20/24</formula>
    </cfRule>
    <cfRule type="expression" dxfId="2523" priority="79">
      <formula>AND(B$9&gt;=14/24,B$9&lt;20/24)</formula>
    </cfRule>
    <cfRule type="expression" dxfId="2522" priority="80">
      <formula>AND(B$9&gt;=8/24,B$9&lt;14/24)</formula>
    </cfRule>
    <cfRule type="expression" dxfId="2521" priority="81">
      <formula>B$9&lt;8/24</formula>
    </cfRule>
  </conditionalFormatting>
  <conditionalFormatting sqref="B40:AF40">
    <cfRule type="expression" dxfId="2520" priority="74">
      <formula>B$9&gt;=20/24</formula>
    </cfRule>
    <cfRule type="expression" dxfId="2519" priority="75">
      <formula>AND(B$9&gt;=14/24,B$9&lt;20/24)</formula>
    </cfRule>
    <cfRule type="expression" dxfId="2518" priority="76">
      <formula>AND(B$9&gt;=8/24,B$9&lt;14/24)</formula>
    </cfRule>
    <cfRule type="expression" dxfId="2517" priority="77">
      <formula>B$9&lt;8/24</formula>
    </cfRule>
  </conditionalFormatting>
  <conditionalFormatting sqref="B40:AF40">
    <cfRule type="expression" dxfId="2516" priority="73">
      <formula>B40&gt;$AG40</formula>
    </cfRule>
  </conditionalFormatting>
  <conditionalFormatting sqref="B54:B60 C55:T60">
    <cfRule type="expression" dxfId="2515" priority="69">
      <formula>B$9&gt;=20/24</formula>
    </cfRule>
    <cfRule type="expression" dxfId="2514" priority="70">
      <formula>AND(B$9&gt;=14/24,B$9&lt;20/24)</formula>
    </cfRule>
    <cfRule type="expression" dxfId="2513" priority="71">
      <formula>AND(B$9&gt;=8/24,B$9&lt;14/24)</formula>
    </cfRule>
    <cfRule type="expression" dxfId="2512" priority="72">
      <formula>B$9&lt;8/24</formula>
    </cfRule>
  </conditionalFormatting>
  <conditionalFormatting sqref="B54:B60 C55:T60">
    <cfRule type="expression" dxfId="2511" priority="68">
      <formula>B54&gt;$AG54</formula>
    </cfRule>
  </conditionalFormatting>
  <conditionalFormatting sqref="B32:AF32">
    <cfRule type="expression" dxfId="2510" priority="64">
      <formula>B$9&gt;=20/24</formula>
    </cfRule>
    <cfRule type="expression" dxfId="2509" priority="65">
      <formula>AND(B$9&gt;=14/24,B$9&lt;20/24)</formula>
    </cfRule>
    <cfRule type="expression" dxfId="2508" priority="66">
      <formula>AND(B$9&gt;=8/24,B$9&lt;14/24)</formula>
    </cfRule>
    <cfRule type="expression" dxfId="2507" priority="67">
      <formula>B$9&lt;8/24</formula>
    </cfRule>
  </conditionalFormatting>
  <conditionalFormatting sqref="B21:AF21 B27:AF27">
    <cfRule type="expression" dxfId="2506" priority="60">
      <formula>B$9&gt;=20/24</formula>
    </cfRule>
    <cfRule type="expression" dxfId="2505" priority="61">
      <formula>AND(B$9&gt;=14/24,B$9&lt;20/24)</formula>
    </cfRule>
    <cfRule type="expression" dxfId="2504" priority="62">
      <formula>AND(B$9&gt;=8/24,B$9&lt;14/24)</formula>
    </cfRule>
    <cfRule type="expression" dxfId="2503" priority="63">
      <formula>B$9&lt;8/24</formula>
    </cfRule>
  </conditionalFormatting>
  <conditionalFormatting sqref="B21:AF21 B27:AF27">
    <cfRule type="expression" dxfId="2502" priority="59">
      <formula>B21&gt;$AG21</formula>
    </cfRule>
  </conditionalFormatting>
  <conditionalFormatting sqref="B84 B93">
    <cfRule type="expression" dxfId="2501" priority="55">
      <formula>B$9&gt;=20/24</formula>
    </cfRule>
    <cfRule type="expression" dxfId="2500" priority="56">
      <formula>AND(B$9&gt;=14/24,B$9&lt;20/24)</formula>
    </cfRule>
    <cfRule type="expression" dxfId="2499" priority="57">
      <formula>AND(B$9&gt;=8/24,B$9&lt;14/24)</formula>
    </cfRule>
    <cfRule type="expression" dxfId="2498" priority="58">
      <formula>B$9&lt;8/24</formula>
    </cfRule>
  </conditionalFormatting>
  <conditionalFormatting sqref="B42:AF42">
    <cfRule type="expression" dxfId="2497" priority="51">
      <formula>B$9&gt;=20/24</formula>
    </cfRule>
    <cfRule type="expression" dxfId="2496" priority="52">
      <formula>AND(B$9&gt;=14/24,B$9&lt;20/24)</formula>
    </cfRule>
    <cfRule type="expression" dxfId="2495" priority="53">
      <formula>AND(B$9&gt;=8/24,B$9&lt;14/24)</formula>
    </cfRule>
    <cfRule type="expression" dxfId="2494" priority="54">
      <formula>B$9&lt;8/24</formula>
    </cfRule>
  </conditionalFormatting>
  <conditionalFormatting sqref="B42:AF42">
    <cfRule type="expression" dxfId="2493" priority="50">
      <formula>B42&gt;$AG42</formula>
    </cfRule>
  </conditionalFormatting>
  <conditionalFormatting sqref="B85 B66 B83 B94">
    <cfRule type="expression" dxfId="2492" priority="46">
      <formula>B$9&gt;=20/24</formula>
    </cfRule>
    <cfRule type="expression" dxfId="2491" priority="47">
      <formula>AND(B$9&gt;=14/24,B$9&lt;20/24)</formula>
    </cfRule>
    <cfRule type="expression" dxfId="2490" priority="48">
      <formula>AND(B$9&gt;=8/24,B$9&lt;14/24)</formula>
    </cfRule>
    <cfRule type="expression" dxfId="2489" priority="49">
      <formula>B$9&lt;8/24</formula>
    </cfRule>
  </conditionalFormatting>
  <conditionalFormatting sqref="B44 B62 B66">
    <cfRule type="expression" dxfId="2488" priority="45">
      <formula>B44&gt;$AG44</formula>
    </cfRule>
  </conditionalFormatting>
  <conditionalFormatting sqref="B78">
    <cfRule type="expression" dxfId="2487" priority="41">
      <formula>B$9&gt;=20/24</formula>
    </cfRule>
    <cfRule type="expression" dxfId="2486" priority="42">
      <formula>AND(B$9&gt;=14/24,B$9&lt;20/24)</formula>
    </cfRule>
    <cfRule type="expression" dxfId="2485" priority="43">
      <formula>AND(B$9&gt;=8/24,B$9&lt;14/24)</formula>
    </cfRule>
    <cfRule type="expression" dxfId="2484" priority="44">
      <formula>B$9&lt;8/24</formula>
    </cfRule>
  </conditionalFormatting>
  <conditionalFormatting sqref="B87:B91">
    <cfRule type="expression" dxfId="2483" priority="37">
      <formula>B$9&gt;=20/24</formula>
    </cfRule>
    <cfRule type="expression" dxfId="2482" priority="38">
      <formula>AND(B$9&gt;=14/24,B$9&lt;20/24)</formula>
    </cfRule>
    <cfRule type="expression" dxfId="2481" priority="39">
      <formula>AND(B$9&gt;=8/24,B$9&lt;14/24)</formula>
    </cfRule>
    <cfRule type="expression" dxfId="2480" priority="40">
      <formula>B$9&lt;8/24</formula>
    </cfRule>
  </conditionalFormatting>
  <conditionalFormatting sqref="B45:B47">
    <cfRule type="expression" dxfId="2479" priority="33">
      <formula>B$9&gt;=20/24</formula>
    </cfRule>
    <cfRule type="expression" dxfId="2478" priority="34">
      <formula>AND(B$9&gt;=14/24,B$9&lt;20/24)</formula>
    </cfRule>
    <cfRule type="expression" dxfId="2477" priority="35">
      <formula>AND(B$9&gt;=8/24,B$9&lt;14/24)</formula>
    </cfRule>
    <cfRule type="expression" dxfId="2476" priority="36">
      <formula>B$9&lt;8/24</formula>
    </cfRule>
  </conditionalFormatting>
  <conditionalFormatting sqref="B45:B47">
    <cfRule type="expression" dxfId="2475" priority="32">
      <formula>B45&gt;$AG45</formula>
    </cfRule>
  </conditionalFormatting>
  <conditionalFormatting sqref="B48">
    <cfRule type="expression" dxfId="2474" priority="28">
      <formula>B$9&gt;=20/24</formula>
    </cfRule>
    <cfRule type="expression" dxfId="2473" priority="29">
      <formula>AND(B$9&gt;=14/24,B$9&lt;20/24)</formula>
    </cfRule>
    <cfRule type="expression" dxfId="2472" priority="30">
      <formula>AND(B$9&gt;=8/24,B$9&lt;14/24)</formula>
    </cfRule>
    <cfRule type="expression" dxfId="2471" priority="31">
      <formula>B$9&lt;8/24</formula>
    </cfRule>
  </conditionalFormatting>
  <conditionalFormatting sqref="B48">
    <cfRule type="expression" dxfId="2470" priority="27">
      <formula>B48&gt;$AG48</formula>
    </cfRule>
  </conditionalFormatting>
  <conditionalFormatting sqref="B103">
    <cfRule type="expression" dxfId="2469" priority="23">
      <formula>B$9&gt;=20/24</formula>
    </cfRule>
    <cfRule type="expression" dxfId="2468" priority="24">
      <formula>AND(B$9&gt;=14/24,B$9&lt;20/24)</formula>
    </cfRule>
    <cfRule type="expression" dxfId="2467" priority="25">
      <formula>AND(B$9&gt;=8/24,B$9&lt;14/24)</formula>
    </cfRule>
    <cfRule type="expression" dxfId="2466" priority="26">
      <formula>B$9&lt;8/24</formula>
    </cfRule>
  </conditionalFormatting>
  <conditionalFormatting sqref="B106">
    <cfRule type="expression" dxfId="2465" priority="11">
      <formula>B$9&gt;=20/24</formula>
    </cfRule>
    <cfRule type="expression" dxfId="2464" priority="12">
      <formula>AND(B$9&gt;=14/24,B$9&lt;20/24)</formula>
    </cfRule>
    <cfRule type="expression" dxfId="2463" priority="13">
      <formula>AND(B$9&gt;=8/24,B$9&lt;14/24)</formula>
    </cfRule>
    <cfRule type="expression" dxfId="2462" priority="14">
      <formula>B$9&lt;8/24</formula>
    </cfRule>
  </conditionalFormatting>
  <conditionalFormatting sqref="B19:AF19">
    <cfRule type="expression" dxfId="2461" priority="10">
      <formula>B19&gt;$AG19</formula>
    </cfRule>
  </conditionalFormatting>
  <conditionalFormatting sqref="B19:AF19">
    <cfRule type="expression" dxfId="2460" priority="6">
      <formula>B$9&gt;=20/24</formula>
    </cfRule>
    <cfRule type="expression" dxfId="2459" priority="7">
      <formula>AND(B$9&gt;=14/24,B$9&lt;20/24)</formula>
    </cfRule>
    <cfRule type="expression" dxfId="2458" priority="8">
      <formula>AND(B$9&gt;=8/24,B$9&lt;14/24)</formula>
    </cfRule>
    <cfRule type="expression" dxfId="2457" priority="9">
      <formula>B$9&lt;8/24</formula>
    </cfRule>
  </conditionalFormatting>
  <conditionalFormatting sqref="B34:AF34">
    <cfRule type="expression" dxfId="2456" priority="2">
      <formula>B$9&gt;=20/24</formula>
    </cfRule>
    <cfRule type="expression" dxfId="2455" priority="3">
      <formula>AND(B$9&gt;=14/24,B$9&lt;20/24)</formula>
    </cfRule>
    <cfRule type="expression" dxfId="2454" priority="4">
      <formula>AND(B$9&gt;=8/24,B$9&lt;14/24)</formula>
    </cfRule>
    <cfRule type="expression" dxfId="2453" priority="5">
      <formula>B$9&lt;8/24</formula>
    </cfRule>
  </conditionalFormatting>
  <conditionalFormatting sqref="B34:AF34">
    <cfRule type="expression" dxfId="2452" priority="1">
      <formula>B34&gt;$AG34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1" id="{A2206D64-4DB6-4814-A2E4-352A52D5C8D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2" id="{56564460-A00A-4778-BE6D-ACBB35F4828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3" id="{2C77D29A-6C80-4949-B3CE-3BB5E97F283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4" id="{33C9B44F-1F2B-44D1-A178-BEC5CC7D529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164" id="{15FE4DAF-D8CA-4AAC-9A2E-EBA3EA91C0A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5" id="{ED25E30B-3FA0-4E04-8855-41FAA09F691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6" id="{B63DA896-1E9E-4C04-99E6-2F561DB0F61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7" id="{72265BF8-187E-46F5-8425-EC4EFEFEF72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19" id="{92D521B9-A826-4ABD-AB46-A6D422BC3E4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" id="{0A22A1E1-F8DD-4B86-B96E-5632678BE9D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" id="{E20CB0E2-5313-46E5-866B-848A6966492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" id="{60DE8F68-EB53-41A2-89D1-F928C58D82B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  <x14:conditionalFormatting xmlns:xm="http://schemas.microsoft.com/office/excel/2006/main">
          <x14:cfRule type="expression" priority="15" id="{CEEEB2A2-00C7-474F-AFD2-03B399F994F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11DD8972-48EC-416D-A198-8101CED6E95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73BD4A61-AEB8-474D-BC62-B59A31E6F4B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B6D553DE-2673-40F4-AC16-CFD80AF3100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274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AF50" sqref="AF5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2079/08/27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66.099999999999994</v>
      </c>
      <c r="C5" s="30">
        <f t="shared" si="0"/>
        <v>61.2</v>
      </c>
      <c r="D5" s="30">
        <f t="shared" si="0"/>
        <v>53.199999999999996</v>
      </c>
      <c r="E5" s="30">
        <f t="shared" si="0"/>
        <v>53.84</v>
      </c>
      <c r="F5" s="30">
        <f t="shared" si="0"/>
        <v>58.2</v>
      </c>
      <c r="G5" s="30">
        <f t="shared" si="0"/>
        <v>68.63</v>
      </c>
      <c r="H5" s="30">
        <f t="shared" si="0"/>
        <v>58.400000000000006</v>
      </c>
      <c r="I5" s="30">
        <f t="shared" si="0"/>
        <v>21.1</v>
      </c>
      <c r="J5" s="30">
        <f t="shared" si="0"/>
        <v>48.3</v>
      </c>
      <c r="K5" s="30">
        <f t="shared" si="0"/>
        <v>43.2</v>
      </c>
      <c r="L5" s="30">
        <f t="shared" si="0"/>
        <v>37.1</v>
      </c>
      <c r="M5" s="30">
        <f t="shared" si="0"/>
        <v>43</v>
      </c>
      <c r="N5" s="30">
        <f t="shared" si="0"/>
        <v>117.8</v>
      </c>
      <c r="O5" s="30">
        <f t="shared" si="0"/>
        <v>174.60000000000002</v>
      </c>
      <c r="P5" s="30">
        <f t="shared" si="0"/>
        <v>193.7</v>
      </c>
      <c r="Q5" s="30">
        <f t="shared" si="0"/>
        <v>194.5</v>
      </c>
      <c r="R5" s="30">
        <f t="shared" si="0"/>
        <v>221.7</v>
      </c>
      <c r="S5" s="30">
        <f t="shared" si="0"/>
        <v>195.7</v>
      </c>
      <c r="T5" s="30">
        <f t="shared" si="0"/>
        <v>197</v>
      </c>
      <c r="U5" s="30">
        <f t="shared" si="0"/>
        <v>56.9</v>
      </c>
      <c r="V5" s="30">
        <f t="shared" si="0"/>
        <v>53.4</v>
      </c>
      <c r="W5" s="30">
        <f t="shared" si="0"/>
        <v>50.2</v>
      </c>
      <c r="X5" s="30">
        <f t="shared" si="0"/>
        <v>21.8</v>
      </c>
      <c r="Y5" s="30">
        <f t="shared" si="0"/>
        <v>44.2</v>
      </c>
      <c r="Z5" s="30">
        <f t="shared" si="0"/>
        <v>52.1</v>
      </c>
      <c r="AA5" s="30">
        <f t="shared" si="0"/>
        <v>46.9</v>
      </c>
      <c r="AB5" s="30">
        <f t="shared" si="0"/>
        <v>43</v>
      </c>
      <c r="AC5" s="30">
        <f t="shared" si="0"/>
        <v>40.200000000000003</v>
      </c>
      <c r="AD5" s="30">
        <f t="shared" si="0"/>
        <v>13.8</v>
      </c>
      <c r="AE5" s="30">
        <f t="shared" si="0"/>
        <v>21.6</v>
      </c>
      <c r="AF5" s="30">
        <f>B78</f>
        <v>23.7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1667MW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Load=945</v>
      </c>
      <c r="B7" s="35">
        <f t="shared" ref="B7:AF7" si="1">B85</f>
        <v>1000.6400000000001</v>
      </c>
      <c r="C7" s="35">
        <f t="shared" si="1"/>
        <v>973.7399999999999</v>
      </c>
      <c r="D7" s="35">
        <f t="shared" si="1"/>
        <v>966.93999999999994</v>
      </c>
      <c r="E7" s="35">
        <f t="shared" si="1"/>
        <v>985.74</v>
      </c>
      <c r="F7" s="35">
        <f t="shared" si="1"/>
        <v>944.88</v>
      </c>
      <c r="G7" s="35">
        <f t="shared" si="1"/>
        <v>1022.1400000000001</v>
      </c>
      <c r="H7" s="35">
        <f t="shared" si="1"/>
        <v>1093.67</v>
      </c>
      <c r="I7" s="35">
        <f t="shared" si="1"/>
        <v>1187.54</v>
      </c>
      <c r="J7" s="35">
        <f t="shared" si="1"/>
        <v>1320.6399999999999</v>
      </c>
      <c r="K7" s="35">
        <f t="shared" si="1"/>
        <v>1486.9399999999998</v>
      </c>
      <c r="L7" s="35">
        <f t="shared" si="1"/>
        <v>1666.94</v>
      </c>
      <c r="M7" s="35">
        <f t="shared" si="1"/>
        <v>1662.4399999999998</v>
      </c>
      <c r="N7" s="35">
        <f t="shared" si="1"/>
        <v>1600.9399999999998</v>
      </c>
      <c r="O7" s="35">
        <f t="shared" si="1"/>
        <v>1388.34</v>
      </c>
      <c r="P7" s="35">
        <f t="shared" si="1"/>
        <v>1322.6399999999999</v>
      </c>
      <c r="Q7" s="35">
        <f t="shared" si="1"/>
        <v>1249.3400000000001</v>
      </c>
      <c r="R7" s="35">
        <f t="shared" si="1"/>
        <v>1168.44</v>
      </c>
      <c r="S7" s="35">
        <f t="shared" si="1"/>
        <v>1180.1400000000001</v>
      </c>
      <c r="T7" s="35">
        <f t="shared" si="1"/>
        <v>1226.5400000000002</v>
      </c>
      <c r="U7" s="35">
        <f t="shared" si="1"/>
        <v>1248.04</v>
      </c>
      <c r="V7" s="35">
        <f t="shared" si="1"/>
        <v>1331.14</v>
      </c>
      <c r="W7" s="35">
        <f t="shared" si="1"/>
        <v>1580.3400000000001</v>
      </c>
      <c r="X7" s="35">
        <f t="shared" si="1"/>
        <v>1673.74</v>
      </c>
      <c r="Y7" s="35">
        <f t="shared" si="1"/>
        <v>1591.34</v>
      </c>
      <c r="Z7" s="35">
        <f t="shared" si="1"/>
        <v>1497.74</v>
      </c>
      <c r="AA7" s="35">
        <f t="shared" si="1"/>
        <v>1415.94</v>
      </c>
      <c r="AB7" s="35">
        <f t="shared" si="1"/>
        <v>1390.64</v>
      </c>
      <c r="AC7" s="35">
        <f t="shared" si="1"/>
        <v>1350.6399999999999</v>
      </c>
      <c r="AD7" s="35">
        <f t="shared" si="1"/>
        <v>1180.9399999999998</v>
      </c>
      <c r="AE7" s="35">
        <f t="shared" si="1"/>
        <v>1030.4399999999998</v>
      </c>
      <c r="AF7" s="35">
        <f t="shared" si="1"/>
        <v>1015.6399999999999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27.5</v>
      </c>
      <c r="C11" s="46">
        <v>27.5</v>
      </c>
      <c r="D11" s="46">
        <v>26.9</v>
      </c>
      <c r="E11" s="46">
        <v>26.9</v>
      </c>
      <c r="F11" s="46">
        <v>26.9</v>
      </c>
      <c r="G11" s="46">
        <v>27.1</v>
      </c>
      <c r="H11" s="46">
        <v>27.1</v>
      </c>
      <c r="I11" s="46">
        <v>27.1</v>
      </c>
      <c r="J11" s="46">
        <v>27.1</v>
      </c>
      <c r="K11" s="46">
        <v>27.1</v>
      </c>
      <c r="L11" s="46">
        <v>27.1</v>
      </c>
      <c r="M11" s="46">
        <v>27.1</v>
      </c>
      <c r="N11" s="46">
        <v>27.1</v>
      </c>
      <c r="O11" s="46">
        <v>27.1</v>
      </c>
      <c r="P11" s="46">
        <v>27.1</v>
      </c>
      <c r="Q11" s="46">
        <v>27.1</v>
      </c>
      <c r="R11" s="46">
        <v>27.1</v>
      </c>
      <c r="S11" s="46">
        <v>27.1</v>
      </c>
      <c r="T11" s="46">
        <v>27.1</v>
      </c>
      <c r="U11" s="46">
        <v>27.1</v>
      </c>
      <c r="V11" s="46">
        <v>27.1</v>
      </c>
      <c r="W11" s="46">
        <v>27.1</v>
      </c>
      <c r="X11" s="46">
        <v>27</v>
      </c>
      <c r="Y11" s="46">
        <v>27</v>
      </c>
      <c r="Z11" s="46">
        <v>27.1</v>
      </c>
      <c r="AA11" s="46">
        <v>27.1</v>
      </c>
      <c r="AB11" s="46">
        <v>27.1</v>
      </c>
      <c r="AC11" s="46">
        <v>27.1</v>
      </c>
      <c r="AD11" s="46">
        <v>27.1</v>
      </c>
      <c r="AE11" s="46">
        <v>27.1</v>
      </c>
      <c r="AF11" s="46">
        <v>27.1</v>
      </c>
      <c r="AG11" s="47">
        <v>52.4</v>
      </c>
      <c r="AH11" s="48">
        <f>MAX(B11:AF11)</f>
        <v>27.5</v>
      </c>
      <c r="AI11" s="49">
        <f>MIN(B11:AF11)</f>
        <v>26.9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50.7</v>
      </c>
      <c r="C12" s="45">
        <v>50.8</v>
      </c>
      <c r="D12" s="45">
        <v>50.7</v>
      </c>
      <c r="E12" s="45">
        <v>50.6</v>
      </c>
      <c r="F12" s="45">
        <v>50.6</v>
      </c>
      <c r="G12" s="45">
        <v>50.7</v>
      </c>
      <c r="H12" s="45">
        <v>50.7</v>
      </c>
      <c r="I12" s="45">
        <v>50.7</v>
      </c>
      <c r="J12" s="45">
        <v>50.7</v>
      </c>
      <c r="K12" s="45">
        <v>50.7</v>
      </c>
      <c r="L12" s="45">
        <v>50.7</v>
      </c>
      <c r="M12" s="45">
        <v>50.7</v>
      </c>
      <c r="N12" s="45">
        <v>50.7</v>
      </c>
      <c r="O12" s="45">
        <v>50.7</v>
      </c>
      <c r="P12" s="45">
        <v>50.7</v>
      </c>
      <c r="Q12" s="45">
        <v>50.7</v>
      </c>
      <c r="R12" s="45">
        <v>50.7</v>
      </c>
      <c r="S12" s="45">
        <v>50.7</v>
      </c>
      <c r="T12" s="45">
        <v>50.7</v>
      </c>
      <c r="U12" s="45">
        <v>50.7</v>
      </c>
      <c r="V12" s="45">
        <v>50.7</v>
      </c>
      <c r="W12" s="45">
        <v>50.7</v>
      </c>
      <c r="X12" s="45">
        <v>50.7</v>
      </c>
      <c r="Y12" s="45">
        <v>50.7</v>
      </c>
      <c r="Z12" s="45">
        <v>50.7</v>
      </c>
      <c r="AA12" s="45">
        <v>50.6</v>
      </c>
      <c r="AB12" s="45">
        <v>50.6</v>
      </c>
      <c r="AC12" s="45">
        <v>50.2</v>
      </c>
      <c r="AD12" s="45">
        <v>50.2</v>
      </c>
      <c r="AE12" s="45">
        <v>50.2</v>
      </c>
      <c r="AF12" s="45">
        <v>50.2</v>
      </c>
      <c r="AG12" s="51">
        <v>50</v>
      </c>
      <c r="AH12" s="48">
        <f t="shared" ref="AH12:AH79" si="2">MAX(B12:AF12)</f>
        <v>50.8</v>
      </c>
      <c r="AI12" s="49">
        <f t="shared" ref="AI12:AI79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26.4</v>
      </c>
      <c r="C13" s="45">
        <v>26</v>
      </c>
      <c r="D13" s="45">
        <v>24.7</v>
      </c>
      <c r="E13" s="45">
        <v>24.8</v>
      </c>
      <c r="F13" s="45">
        <v>24.8</v>
      </c>
      <c r="G13" s="45">
        <v>25.4</v>
      </c>
      <c r="H13" s="45">
        <v>25.4</v>
      </c>
      <c r="I13" s="45">
        <v>25.4</v>
      </c>
      <c r="J13" s="45">
        <v>25.4</v>
      </c>
      <c r="K13" s="45">
        <v>25.4</v>
      </c>
      <c r="L13" s="45">
        <v>25.4</v>
      </c>
      <c r="M13" s="45">
        <v>25.4</v>
      </c>
      <c r="N13" s="45">
        <v>25.4</v>
      </c>
      <c r="O13" s="45">
        <v>25.4</v>
      </c>
      <c r="P13" s="45">
        <v>25.4</v>
      </c>
      <c r="Q13" s="45">
        <v>25.4</v>
      </c>
      <c r="R13" s="45">
        <v>25.4</v>
      </c>
      <c r="S13" s="45">
        <v>25.4</v>
      </c>
      <c r="T13" s="45">
        <v>25.4</v>
      </c>
      <c r="U13" s="45">
        <v>25.4</v>
      </c>
      <c r="V13" s="45">
        <v>25.4</v>
      </c>
      <c r="W13" s="45">
        <v>25.4</v>
      </c>
      <c r="X13" s="45">
        <v>24.7</v>
      </c>
      <c r="Y13" s="45">
        <v>24.7</v>
      </c>
      <c r="Z13" s="45">
        <v>26.9</v>
      </c>
      <c r="AA13" s="45">
        <v>26.9</v>
      </c>
      <c r="AB13" s="45">
        <v>26.9</v>
      </c>
      <c r="AC13" s="45">
        <v>25</v>
      </c>
      <c r="AD13" s="45">
        <v>25</v>
      </c>
      <c r="AE13" s="45">
        <v>25</v>
      </c>
      <c r="AF13" s="45">
        <v>25</v>
      </c>
      <c r="AG13" s="51">
        <v>45</v>
      </c>
      <c r="AH13" s="48">
        <f t="shared" si="2"/>
        <v>26.9</v>
      </c>
      <c r="AI13" s="49">
        <f t="shared" si="3"/>
        <v>24.7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22</v>
      </c>
      <c r="C15" s="45">
        <v>22</v>
      </c>
      <c r="D15" s="45">
        <v>22</v>
      </c>
      <c r="E15" s="45">
        <v>22</v>
      </c>
      <c r="F15" s="45">
        <v>22</v>
      </c>
      <c r="G15" s="45">
        <v>22</v>
      </c>
      <c r="H15" s="45">
        <v>22</v>
      </c>
      <c r="I15" s="45">
        <v>22</v>
      </c>
      <c r="J15" s="45">
        <v>22</v>
      </c>
      <c r="K15" s="45">
        <v>22</v>
      </c>
      <c r="L15" s="45">
        <v>22</v>
      </c>
      <c r="M15" s="45">
        <v>22</v>
      </c>
      <c r="N15" s="45">
        <v>22</v>
      </c>
      <c r="O15" s="45">
        <v>22</v>
      </c>
      <c r="P15" s="45">
        <v>22</v>
      </c>
      <c r="Q15" s="45">
        <v>22</v>
      </c>
      <c r="R15" s="45">
        <v>22</v>
      </c>
      <c r="S15" s="45">
        <v>22</v>
      </c>
      <c r="T15" s="45">
        <v>22</v>
      </c>
      <c r="U15" s="45">
        <v>22</v>
      </c>
      <c r="V15" s="45">
        <v>22</v>
      </c>
      <c r="W15" s="45">
        <v>22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22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14.5</v>
      </c>
      <c r="C16" s="45">
        <v>14.1</v>
      </c>
      <c r="D16" s="45">
        <v>13.7</v>
      </c>
      <c r="E16" s="45">
        <v>13.7</v>
      </c>
      <c r="F16" s="45">
        <v>13.7</v>
      </c>
      <c r="G16" s="45">
        <v>12.7</v>
      </c>
      <c r="H16" s="45">
        <v>12.7</v>
      </c>
      <c r="I16" s="45">
        <v>12.7</v>
      </c>
      <c r="J16" s="45">
        <v>12.7</v>
      </c>
      <c r="K16" s="45">
        <v>12.7</v>
      </c>
      <c r="L16" s="45">
        <v>12.7</v>
      </c>
      <c r="M16" s="45">
        <v>12.7</v>
      </c>
      <c r="N16" s="45">
        <v>12.7</v>
      </c>
      <c r="O16" s="45">
        <v>12.7</v>
      </c>
      <c r="P16" s="45">
        <v>12.7</v>
      </c>
      <c r="Q16" s="45">
        <v>12.7</v>
      </c>
      <c r="R16" s="45">
        <v>12.7</v>
      </c>
      <c r="S16" s="45">
        <v>12.7</v>
      </c>
      <c r="T16" s="45">
        <v>12.7</v>
      </c>
      <c r="U16" s="45">
        <v>12.7</v>
      </c>
      <c r="V16" s="45">
        <v>12.7</v>
      </c>
      <c r="W16" s="45">
        <v>12.7</v>
      </c>
      <c r="X16" s="45">
        <v>14.9</v>
      </c>
      <c r="Y16" s="45">
        <v>14.9</v>
      </c>
      <c r="Z16" s="45">
        <v>15.2</v>
      </c>
      <c r="AA16" s="45">
        <v>15.2</v>
      </c>
      <c r="AB16" s="45">
        <v>15.2</v>
      </c>
      <c r="AC16" s="45">
        <v>15</v>
      </c>
      <c r="AD16" s="45">
        <v>15</v>
      </c>
      <c r="AE16" s="45">
        <v>15</v>
      </c>
      <c r="AF16" s="45">
        <v>15</v>
      </c>
      <c r="AG16" s="52">
        <v>30</v>
      </c>
      <c r="AH16" s="48">
        <f t="shared" si="2"/>
        <v>15.2</v>
      </c>
      <c r="AI16" s="49">
        <f t="shared" si="3"/>
        <v>12.7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13.2</v>
      </c>
      <c r="C17" s="45">
        <v>13.2</v>
      </c>
      <c r="D17" s="45">
        <v>13.2</v>
      </c>
      <c r="E17" s="45">
        <v>13.2</v>
      </c>
      <c r="F17" s="45">
        <v>13.2</v>
      </c>
      <c r="G17" s="45">
        <v>13.2</v>
      </c>
      <c r="H17" s="45">
        <v>13.2</v>
      </c>
      <c r="I17" s="45">
        <v>13.2</v>
      </c>
      <c r="J17" s="45">
        <v>13.2</v>
      </c>
      <c r="K17" s="45">
        <v>13.2</v>
      </c>
      <c r="L17" s="45">
        <v>13.2</v>
      </c>
      <c r="M17" s="45">
        <v>13.2</v>
      </c>
      <c r="N17" s="45">
        <v>13.2</v>
      </c>
      <c r="O17" s="45">
        <v>13.2</v>
      </c>
      <c r="P17" s="45">
        <v>13.2</v>
      </c>
      <c r="Q17" s="45">
        <v>13.2</v>
      </c>
      <c r="R17" s="45">
        <v>13.2</v>
      </c>
      <c r="S17" s="45">
        <v>13.2</v>
      </c>
      <c r="T17" s="45">
        <v>13.2</v>
      </c>
      <c r="U17" s="45">
        <v>13.2</v>
      </c>
      <c r="V17" s="45">
        <v>13.2</v>
      </c>
      <c r="W17" s="45">
        <v>13.2</v>
      </c>
      <c r="X17" s="45">
        <v>13.2</v>
      </c>
      <c r="Y17" s="45">
        <v>13.2</v>
      </c>
      <c r="Z17" s="45">
        <v>13.2</v>
      </c>
      <c r="AA17" s="45">
        <v>13.2</v>
      </c>
      <c r="AB17" s="45">
        <v>13.2</v>
      </c>
      <c r="AC17" s="45">
        <v>13.2</v>
      </c>
      <c r="AD17" s="45">
        <v>13.2</v>
      </c>
      <c r="AE17" s="45">
        <v>13.2</v>
      </c>
      <c r="AF17" s="45">
        <v>13.2</v>
      </c>
      <c r="AG17" s="51">
        <v>24.2</v>
      </c>
      <c r="AH17" s="48">
        <f t="shared" si="2"/>
        <v>13.2</v>
      </c>
      <c r="AI17" s="49">
        <f t="shared" si="3"/>
        <v>13.2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13.3</v>
      </c>
      <c r="C18" s="45">
        <v>13.3</v>
      </c>
      <c r="D18" s="45">
        <v>13.3</v>
      </c>
      <c r="E18" s="45">
        <v>13.3</v>
      </c>
      <c r="F18" s="45">
        <v>13.3</v>
      </c>
      <c r="G18" s="45">
        <v>13.3</v>
      </c>
      <c r="H18" s="45">
        <v>13.3</v>
      </c>
      <c r="I18" s="45">
        <v>13.3</v>
      </c>
      <c r="J18" s="45">
        <v>13.3</v>
      </c>
      <c r="K18" s="45">
        <v>13.3</v>
      </c>
      <c r="L18" s="45">
        <v>13.3</v>
      </c>
      <c r="M18" s="45">
        <v>13.3</v>
      </c>
      <c r="N18" s="45">
        <v>13.3</v>
      </c>
      <c r="O18" s="45">
        <v>13.3</v>
      </c>
      <c r="P18" s="45">
        <v>13.3</v>
      </c>
      <c r="Q18" s="45">
        <v>13.3</v>
      </c>
      <c r="R18" s="45">
        <v>13.3</v>
      </c>
      <c r="S18" s="45">
        <v>13.3</v>
      </c>
      <c r="T18" s="45">
        <v>13.3</v>
      </c>
      <c r="U18" s="45">
        <v>13.3</v>
      </c>
      <c r="V18" s="45">
        <v>13.3</v>
      </c>
      <c r="W18" s="45">
        <v>13.3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13.3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13.2</v>
      </c>
      <c r="C20" s="45">
        <v>13.2</v>
      </c>
      <c r="D20" s="45">
        <v>13.2</v>
      </c>
      <c r="E20" s="45">
        <v>13.2</v>
      </c>
      <c r="F20" s="45">
        <v>13.2</v>
      </c>
      <c r="G20" s="45">
        <v>13.2</v>
      </c>
      <c r="H20" s="45">
        <v>13.2</v>
      </c>
      <c r="I20" s="45">
        <v>13.2</v>
      </c>
      <c r="J20" s="45">
        <v>13.2</v>
      </c>
      <c r="K20" s="45">
        <v>13.2</v>
      </c>
      <c r="L20" s="45">
        <v>13.2</v>
      </c>
      <c r="M20" s="45">
        <v>13.2</v>
      </c>
      <c r="N20" s="45">
        <v>13.2</v>
      </c>
      <c r="O20" s="45">
        <v>13.2</v>
      </c>
      <c r="P20" s="45">
        <v>13.2</v>
      </c>
      <c r="Q20" s="45">
        <v>13.2</v>
      </c>
      <c r="R20" s="45">
        <v>13.2</v>
      </c>
      <c r="S20" s="45">
        <v>13.2</v>
      </c>
      <c r="T20" s="45">
        <v>13.2</v>
      </c>
      <c r="U20" s="45">
        <v>13.2</v>
      </c>
      <c r="V20" s="45">
        <v>13.2</v>
      </c>
      <c r="W20" s="45">
        <v>13.2</v>
      </c>
      <c r="X20" s="45">
        <v>13.2</v>
      </c>
      <c r="Y20" s="45">
        <v>13.2</v>
      </c>
      <c r="Z20" s="45">
        <v>13.2</v>
      </c>
      <c r="AA20" s="45">
        <v>13.2</v>
      </c>
      <c r="AB20" s="45">
        <v>13.2</v>
      </c>
      <c r="AC20" s="45">
        <v>13.2</v>
      </c>
      <c r="AD20" s="45">
        <v>13.2</v>
      </c>
      <c r="AE20" s="45">
        <v>13.2</v>
      </c>
      <c r="AF20" s="45">
        <v>13.2</v>
      </c>
      <c r="AG20" s="51">
        <v>25</v>
      </c>
      <c r="AH20" s="48">
        <f t="shared" si="2"/>
        <v>13.2</v>
      </c>
      <c r="AI20" s="49">
        <f t="shared" si="3"/>
        <v>13.2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12.4</v>
      </c>
      <c r="C24" s="45">
        <v>12.4</v>
      </c>
      <c r="D24" s="45">
        <v>12.4</v>
      </c>
      <c r="E24" s="45">
        <v>12.4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12.4</v>
      </c>
      <c r="N24" s="45">
        <v>12.4</v>
      </c>
      <c r="O24" s="45">
        <v>12.4</v>
      </c>
      <c r="P24" s="45">
        <v>12.4</v>
      </c>
      <c r="Q24" s="45">
        <v>12.4</v>
      </c>
      <c r="R24" s="45">
        <v>12.4</v>
      </c>
      <c r="S24" s="45">
        <v>12.4</v>
      </c>
      <c r="T24" s="45">
        <v>12.4</v>
      </c>
      <c r="U24" s="45">
        <v>12.4</v>
      </c>
      <c r="V24" s="45">
        <v>12.4</v>
      </c>
      <c r="W24" s="45">
        <v>12.4</v>
      </c>
      <c r="X24" s="45">
        <v>12.4</v>
      </c>
      <c r="Y24" s="45">
        <v>12.4</v>
      </c>
      <c r="Z24" s="45">
        <v>12.4</v>
      </c>
      <c r="AA24" s="45">
        <v>12.4</v>
      </c>
      <c r="AB24" s="45">
        <v>12.4</v>
      </c>
      <c r="AC24" s="45">
        <v>12.4</v>
      </c>
      <c r="AD24" s="45">
        <v>12.4</v>
      </c>
      <c r="AE24" s="45">
        <v>12.4</v>
      </c>
      <c r="AF24" s="45">
        <v>12.4</v>
      </c>
      <c r="AG24" s="51">
        <v>23.5</v>
      </c>
      <c r="AH24" s="48">
        <f t="shared" si="2"/>
        <v>12.4</v>
      </c>
      <c r="AI24" s="49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13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13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47</v>
      </c>
      <c r="B43" s="59" t="s">
        <v>282</v>
      </c>
      <c r="C43" s="59">
        <f>30.7+39.3</f>
        <v>70</v>
      </c>
      <c r="D43" s="59">
        <f>31.4+38.9</f>
        <v>70.3</v>
      </c>
      <c r="E43" s="59">
        <f>31.7+38</f>
        <v>69.7</v>
      </c>
      <c r="F43" s="59">
        <f>31.4+38.2</f>
        <v>69.599999999999994</v>
      </c>
      <c r="G43" s="59">
        <f>31.3+38.8</f>
        <v>70.099999999999994</v>
      </c>
      <c r="H43" s="59">
        <f>31.8+38.4</f>
        <v>70.2</v>
      </c>
      <c r="I43" s="59">
        <f>31.5+37.9</f>
        <v>69.400000000000006</v>
      </c>
      <c r="J43" s="59">
        <f>31.5+37</f>
        <v>68.5</v>
      </c>
      <c r="K43" s="59">
        <f>31.2+35.7</f>
        <v>66.900000000000006</v>
      </c>
      <c r="L43" s="57">
        <f>30.2+37.6</f>
        <v>67.8</v>
      </c>
      <c r="M43" s="57">
        <f>37.6+29.5</f>
        <v>67.099999999999994</v>
      </c>
      <c r="N43" s="57">
        <f>38.1+29.4</f>
        <v>67.5</v>
      </c>
      <c r="O43" s="57">
        <f>39.9+30.6</f>
        <v>70.5</v>
      </c>
      <c r="P43" s="57">
        <f>35.6+30.7</f>
        <v>66.3</v>
      </c>
      <c r="Q43" s="57">
        <f>34.6+31.3</f>
        <v>65.900000000000006</v>
      </c>
      <c r="R43" s="57">
        <f>40.4+32</f>
        <v>72.400000000000006</v>
      </c>
      <c r="S43" s="59">
        <f>33+38.9</f>
        <v>71.900000000000006</v>
      </c>
      <c r="T43" s="59">
        <f>28.7+37.1</f>
        <v>65.8</v>
      </c>
      <c r="U43" s="59">
        <f>28.5+41.2</f>
        <v>69.7</v>
      </c>
      <c r="V43" s="59">
        <f>28+36</f>
        <v>64</v>
      </c>
      <c r="W43" s="59">
        <f>25.8+33.6</f>
        <v>59.400000000000006</v>
      </c>
      <c r="X43" s="59">
        <v>60.5</v>
      </c>
      <c r="Y43" s="59">
        <f>25.6+35.2</f>
        <v>60.800000000000004</v>
      </c>
      <c r="Z43" s="59">
        <f>25.3+35.5</f>
        <v>60.8</v>
      </c>
      <c r="AA43" s="59">
        <f>25.7+36.1</f>
        <v>61.8</v>
      </c>
      <c r="AB43" s="59">
        <f>29.1+37.4</f>
        <v>66.5</v>
      </c>
      <c r="AC43" s="59">
        <f>29.1+38.4</f>
        <v>67.5</v>
      </c>
      <c r="AD43" s="59">
        <f>41.6+29.3</f>
        <v>70.900000000000006</v>
      </c>
      <c r="AE43" s="59">
        <f>29.7+41.5</f>
        <v>71.2</v>
      </c>
      <c r="AF43" s="59">
        <f>30+39.5</f>
        <v>69.5</v>
      </c>
      <c r="AG43" s="55">
        <v>240</v>
      </c>
      <c r="AH43" s="48">
        <f t="shared" si="2"/>
        <v>72.400000000000006</v>
      </c>
      <c r="AI43" s="49">
        <f t="shared" si="3"/>
        <v>59.400000000000006</v>
      </c>
      <c r="AK43" s="50"/>
    </row>
    <row r="44" spans="1:88" ht="15.75" thickBot="1" x14ac:dyDescent="0.3">
      <c r="A44" s="60" t="s">
        <v>48</v>
      </c>
      <c r="B44" s="61">
        <f>SUM(B11:B42)</f>
        <v>586.5</v>
      </c>
      <c r="C44" s="61">
        <f t="shared" ref="C44:AG44" si="4">SUM(C11:C42)</f>
        <v>584.79999999999995</v>
      </c>
      <c r="D44" s="61">
        <f t="shared" si="4"/>
        <v>582.4</v>
      </c>
      <c r="E44" s="61">
        <f t="shared" si="4"/>
        <v>582.4</v>
      </c>
      <c r="F44" s="61">
        <f t="shared" si="4"/>
        <v>582.4</v>
      </c>
      <c r="G44" s="61">
        <f t="shared" si="4"/>
        <v>582.29999999999995</v>
      </c>
      <c r="H44" s="61">
        <f t="shared" si="4"/>
        <v>582.29999999999995</v>
      </c>
      <c r="I44" s="61">
        <f t="shared" si="4"/>
        <v>582.29999999999995</v>
      </c>
      <c r="J44" s="61">
        <f t="shared" si="4"/>
        <v>582.29999999999995</v>
      </c>
      <c r="K44" s="61">
        <f t="shared" si="4"/>
        <v>582.29999999999995</v>
      </c>
      <c r="L44" s="61">
        <f t="shared" si="4"/>
        <v>582.29999999999995</v>
      </c>
      <c r="M44" s="61">
        <f t="shared" si="4"/>
        <v>583.29999999999995</v>
      </c>
      <c r="N44" s="61">
        <f t="shared" si="4"/>
        <v>583.29999999999995</v>
      </c>
      <c r="O44" s="61">
        <f t="shared" si="4"/>
        <v>583.29999999999995</v>
      </c>
      <c r="P44" s="61">
        <f t="shared" si="4"/>
        <v>583.29999999999995</v>
      </c>
      <c r="Q44" s="61">
        <f t="shared" si="4"/>
        <v>583.29999999999995</v>
      </c>
      <c r="R44" s="61">
        <f t="shared" si="4"/>
        <v>583.29999999999995</v>
      </c>
      <c r="S44" s="61">
        <f t="shared" si="4"/>
        <v>583.29999999999995</v>
      </c>
      <c r="T44" s="61">
        <f t="shared" si="4"/>
        <v>583.29999999999995</v>
      </c>
      <c r="U44" s="61">
        <f t="shared" si="4"/>
        <v>583.29999999999995</v>
      </c>
      <c r="V44" s="61">
        <f t="shared" si="4"/>
        <v>582.29999999999995</v>
      </c>
      <c r="W44" s="61">
        <f t="shared" si="4"/>
        <v>582.29999999999995</v>
      </c>
      <c r="X44" s="61">
        <f t="shared" si="4"/>
        <v>582.59999999999991</v>
      </c>
      <c r="Y44" s="61">
        <f t="shared" si="4"/>
        <v>582.59999999999991</v>
      </c>
      <c r="Z44" s="61">
        <f t="shared" si="4"/>
        <v>585.20000000000005</v>
      </c>
      <c r="AA44" s="61">
        <f t="shared" si="4"/>
        <v>585.09999999999991</v>
      </c>
      <c r="AB44" s="61">
        <f t="shared" si="4"/>
        <v>585.09999999999991</v>
      </c>
      <c r="AC44" s="61">
        <f t="shared" si="4"/>
        <v>582.59999999999991</v>
      </c>
      <c r="AD44" s="61">
        <f t="shared" si="4"/>
        <v>582.59999999999991</v>
      </c>
      <c r="AE44" s="61">
        <f t="shared" si="4"/>
        <v>582.59999999999991</v>
      </c>
      <c r="AF44" s="61">
        <f t="shared" si="4"/>
        <v>582.59999999999991</v>
      </c>
      <c r="AG44" s="62">
        <f t="shared" si="4"/>
        <v>814.78000000000009</v>
      </c>
      <c r="AH44" s="48">
        <f t="shared" si="2"/>
        <v>586.5</v>
      </c>
      <c r="AI44" s="49">
        <f t="shared" si="3"/>
        <v>582.29999999999995</v>
      </c>
      <c r="AK44" s="50"/>
    </row>
    <row r="45" spans="1:88" x14ac:dyDescent="0.25">
      <c r="A45" s="63" t="s">
        <v>49</v>
      </c>
      <c r="B45" s="45">
        <v>65</v>
      </c>
      <c r="C45" s="45">
        <v>15</v>
      </c>
      <c r="D45" s="45">
        <v>15</v>
      </c>
      <c r="E45" s="45">
        <v>15</v>
      </c>
      <c r="F45" s="45">
        <v>15</v>
      </c>
      <c r="G45" s="45">
        <v>30</v>
      </c>
      <c r="H45" s="45">
        <v>80</v>
      </c>
      <c r="I45" s="45">
        <v>140</v>
      </c>
      <c r="J45" s="45">
        <v>260</v>
      </c>
      <c r="K45" s="45">
        <v>370</v>
      </c>
      <c r="L45" s="45">
        <v>456</v>
      </c>
      <c r="M45" s="45">
        <v>456</v>
      </c>
      <c r="N45" s="45">
        <v>400</v>
      </c>
      <c r="O45" s="45">
        <v>125</v>
      </c>
      <c r="P45" s="45">
        <v>70</v>
      </c>
      <c r="Q45" s="45">
        <v>11</v>
      </c>
      <c r="R45" s="45">
        <v>11</v>
      </c>
      <c r="S45" s="45">
        <v>15</v>
      </c>
      <c r="T45" s="45">
        <v>56</v>
      </c>
      <c r="U45" s="45">
        <v>75</v>
      </c>
      <c r="V45" s="45">
        <v>180</v>
      </c>
      <c r="W45" s="45">
        <v>375</v>
      </c>
      <c r="X45" s="45">
        <v>451</v>
      </c>
      <c r="Y45" s="45">
        <v>400</v>
      </c>
      <c r="Z45" s="45">
        <v>280</v>
      </c>
      <c r="AA45" s="45">
        <v>190</v>
      </c>
      <c r="AB45" s="45">
        <v>170</v>
      </c>
      <c r="AC45" s="45">
        <v>140</v>
      </c>
      <c r="AD45" s="45">
        <v>60</v>
      </c>
      <c r="AE45" s="45">
        <v>30</v>
      </c>
      <c r="AF45" s="45">
        <v>60</v>
      </c>
      <c r="AG45" s="52">
        <v>456</v>
      </c>
      <c r="AH45" s="48">
        <f t="shared" si="2"/>
        <v>456</v>
      </c>
      <c r="AI45" s="49">
        <f t="shared" si="3"/>
        <v>11</v>
      </c>
      <c r="AK45" s="50"/>
    </row>
    <row r="46" spans="1:88" x14ac:dyDescent="0.25">
      <c r="A46" s="64" t="s">
        <v>50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48</v>
      </c>
      <c r="N46" s="65">
        <v>48</v>
      </c>
      <c r="O46" s="65">
        <v>48</v>
      </c>
      <c r="P46" s="65">
        <v>48</v>
      </c>
      <c r="Q46" s="65">
        <v>48</v>
      </c>
      <c r="R46" s="65">
        <v>48</v>
      </c>
      <c r="S46" s="65">
        <v>48</v>
      </c>
      <c r="T46" s="65">
        <v>48</v>
      </c>
      <c r="U46" s="65">
        <v>48</v>
      </c>
      <c r="V46" s="65">
        <v>48</v>
      </c>
      <c r="W46" s="65">
        <v>48</v>
      </c>
      <c r="X46" s="65">
        <v>48</v>
      </c>
      <c r="Y46" s="65">
        <v>48</v>
      </c>
      <c r="Z46" s="65">
        <v>48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48</v>
      </c>
      <c r="AI46" s="49">
        <f t="shared" si="3"/>
        <v>48</v>
      </c>
      <c r="AK46" s="50"/>
    </row>
    <row r="47" spans="1:88" ht="15.75" thickBot="1" x14ac:dyDescent="0.3">
      <c r="A47" s="66" t="s">
        <v>51</v>
      </c>
      <c r="B47" s="67">
        <v>18.399999999999999</v>
      </c>
      <c r="C47" s="67">
        <v>18.399999999999999</v>
      </c>
      <c r="D47" s="67">
        <v>18.399999999999999</v>
      </c>
      <c r="E47" s="67">
        <v>18.399999999999999</v>
      </c>
      <c r="F47" s="67">
        <v>18.399999999999999</v>
      </c>
      <c r="G47" s="67">
        <v>18.399999999999999</v>
      </c>
      <c r="H47" s="67">
        <v>18.399999999999999</v>
      </c>
      <c r="I47" s="67">
        <v>18.399999999999999</v>
      </c>
      <c r="J47" s="67">
        <v>18.399999999999999</v>
      </c>
      <c r="K47" s="67">
        <v>18.399999999999999</v>
      </c>
      <c r="L47" s="67">
        <v>17.3</v>
      </c>
      <c r="M47" s="67">
        <v>17.3</v>
      </c>
      <c r="N47" s="67">
        <v>17.3</v>
      </c>
      <c r="O47" s="67">
        <v>17.3</v>
      </c>
      <c r="P47" s="67">
        <v>17.3</v>
      </c>
      <c r="Q47" s="67">
        <v>17.3</v>
      </c>
      <c r="R47" s="67">
        <v>17.3</v>
      </c>
      <c r="S47" s="67">
        <v>17.3</v>
      </c>
      <c r="T47" s="67">
        <v>17.3</v>
      </c>
      <c r="U47" s="67">
        <v>17.2</v>
      </c>
      <c r="V47" s="67">
        <v>17.3</v>
      </c>
      <c r="W47" s="67">
        <v>17.3</v>
      </c>
      <c r="X47" s="67">
        <v>22.1</v>
      </c>
      <c r="Y47" s="67">
        <v>22.1</v>
      </c>
      <c r="Z47" s="67">
        <v>22</v>
      </c>
      <c r="AA47" s="67">
        <v>20.2</v>
      </c>
      <c r="AB47" s="67">
        <v>20.100000000000001</v>
      </c>
      <c r="AC47" s="67">
        <v>20.100000000000001</v>
      </c>
      <c r="AD47" s="67">
        <v>20.100000000000001</v>
      </c>
      <c r="AE47" s="67">
        <v>20.100000000000001</v>
      </c>
      <c r="AF47" s="67">
        <v>18.3</v>
      </c>
      <c r="AG47" s="68">
        <v>22.1</v>
      </c>
      <c r="AH47" s="48">
        <f t="shared" si="2"/>
        <v>22.1</v>
      </c>
      <c r="AI47" s="49">
        <f t="shared" si="3"/>
        <v>17.2</v>
      </c>
      <c r="AK47" s="50"/>
    </row>
    <row r="48" spans="1:88" ht="15.75" thickBot="1" x14ac:dyDescent="0.3">
      <c r="A48" s="69" t="s">
        <v>52</v>
      </c>
      <c r="B48" s="61">
        <f t="shared" ref="B48" si="5">SUM(B45:B47)</f>
        <v>131.4</v>
      </c>
      <c r="C48" s="61">
        <f t="shared" ref="C48:AG48" si="6">SUM(C45:C47)</f>
        <v>81.400000000000006</v>
      </c>
      <c r="D48" s="61">
        <f t="shared" si="6"/>
        <v>81.400000000000006</v>
      </c>
      <c r="E48" s="61">
        <f t="shared" si="6"/>
        <v>81.400000000000006</v>
      </c>
      <c r="F48" s="61">
        <f t="shared" si="6"/>
        <v>81.400000000000006</v>
      </c>
      <c r="G48" s="61">
        <f t="shared" si="6"/>
        <v>96.4</v>
      </c>
      <c r="H48" s="61">
        <f t="shared" si="6"/>
        <v>146.4</v>
      </c>
      <c r="I48" s="61">
        <f t="shared" si="6"/>
        <v>206.4</v>
      </c>
      <c r="J48" s="61">
        <f t="shared" si="6"/>
        <v>326.39999999999998</v>
      </c>
      <c r="K48" s="61">
        <f t="shared" si="6"/>
        <v>436.4</v>
      </c>
      <c r="L48" s="61">
        <f t="shared" si="6"/>
        <v>521.29999999999995</v>
      </c>
      <c r="M48" s="61">
        <f t="shared" si="6"/>
        <v>521.29999999999995</v>
      </c>
      <c r="N48" s="61">
        <f t="shared" si="6"/>
        <v>465.3</v>
      </c>
      <c r="O48" s="61">
        <f t="shared" si="6"/>
        <v>190.3</v>
      </c>
      <c r="P48" s="61">
        <f t="shared" si="6"/>
        <v>135.30000000000001</v>
      </c>
      <c r="Q48" s="61">
        <f t="shared" si="6"/>
        <v>76.3</v>
      </c>
      <c r="R48" s="61">
        <f t="shared" si="6"/>
        <v>76.3</v>
      </c>
      <c r="S48" s="61">
        <f t="shared" si="6"/>
        <v>80.3</v>
      </c>
      <c r="T48" s="61">
        <f t="shared" si="6"/>
        <v>121.3</v>
      </c>
      <c r="U48" s="61">
        <f t="shared" si="6"/>
        <v>140.19999999999999</v>
      </c>
      <c r="V48" s="61">
        <f t="shared" si="6"/>
        <v>245.3</v>
      </c>
      <c r="W48" s="61">
        <f t="shared" si="6"/>
        <v>440.3</v>
      </c>
      <c r="X48" s="61">
        <f t="shared" si="6"/>
        <v>521.1</v>
      </c>
      <c r="Y48" s="61">
        <f t="shared" si="6"/>
        <v>470.1</v>
      </c>
      <c r="Z48" s="61">
        <f t="shared" si="6"/>
        <v>350</v>
      </c>
      <c r="AA48" s="61">
        <f t="shared" si="6"/>
        <v>258.2</v>
      </c>
      <c r="AB48" s="61">
        <f t="shared" si="6"/>
        <v>238.1</v>
      </c>
      <c r="AC48" s="61">
        <f t="shared" si="6"/>
        <v>208.1</v>
      </c>
      <c r="AD48" s="61">
        <f t="shared" si="6"/>
        <v>128.1</v>
      </c>
      <c r="AE48" s="61">
        <f t="shared" si="6"/>
        <v>98.1</v>
      </c>
      <c r="AF48" s="61">
        <f t="shared" si="6"/>
        <v>126.3</v>
      </c>
      <c r="AG48" s="62">
        <f t="shared" si="6"/>
        <v>538.1</v>
      </c>
      <c r="AH48" s="48">
        <f t="shared" si="2"/>
        <v>521.29999999999995</v>
      </c>
      <c r="AI48" s="49">
        <f t="shared" si="3"/>
        <v>76.3</v>
      </c>
      <c r="AK48" s="50"/>
    </row>
    <row r="49" spans="1:41" x14ac:dyDescent="0.25">
      <c r="A49" s="44" t="s">
        <v>53</v>
      </c>
      <c r="B49" s="45">
        <v>42.1</v>
      </c>
      <c r="C49" s="45">
        <v>30.6</v>
      </c>
      <c r="D49" s="45">
        <v>30.8</v>
      </c>
      <c r="E49" s="45">
        <v>46.5</v>
      </c>
      <c r="F49" s="45">
        <v>32.299999999999997</v>
      </c>
      <c r="G49" s="45">
        <v>66.599999999999994</v>
      </c>
      <c r="H49" s="45">
        <v>66.900000000000006</v>
      </c>
      <c r="I49" s="45">
        <v>110.2</v>
      </c>
      <c r="J49" s="45">
        <v>137.5</v>
      </c>
      <c r="K49" s="45">
        <v>141.5</v>
      </c>
      <c r="L49" s="45">
        <v>141.5</v>
      </c>
      <c r="M49" s="45">
        <v>141.6</v>
      </c>
      <c r="N49" s="45">
        <v>141.6</v>
      </c>
      <c r="O49" s="45">
        <v>141.6</v>
      </c>
      <c r="P49" s="45">
        <v>123.3</v>
      </c>
      <c r="Q49" s="45">
        <v>113</v>
      </c>
      <c r="R49" s="45">
        <v>91.3</v>
      </c>
      <c r="S49" s="45">
        <v>94.7</v>
      </c>
      <c r="T49" s="45">
        <v>94.5</v>
      </c>
      <c r="U49" s="45">
        <v>94.5</v>
      </c>
      <c r="V49" s="45">
        <v>97.6</v>
      </c>
      <c r="W49" s="45">
        <v>139.4</v>
      </c>
      <c r="X49" s="45">
        <v>139.1</v>
      </c>
      <c r="Y49" s="45">
        <v>139.1</v>
      </c>
      <c r="Z49" s="45">
        <v>139</v>
      </c>
      <c r="AA49" s="45">
        <v>140.19999999999999</v>
      </c>
      <c r="AB49" s="45">
        <v>140.19999999999999</v>
      </c>
      <c r="AC49" s="45">
        <v>140.30000000000001</v>
      </c>
      <c r="AD49" s="45">
        <v>104.8</v>
      </c>
      <c r="AE49" s="45">
        <v>91</v>
      </c>
      <c r="AF49" s="45">
        <v>81</v>
      </c>
      <c r="AG49" s="52">
        <v>144</v>
      </c>
      <c r="AH49" s="48">
        <f t="shared" si="2"/>
        <v>141.6</v>
      </c>
      <c r="AI49" s="49">
        <f t="shared" si="3"/>
        <v>30.6</v>
      </c>
      <c r="AK49" s="50"/>
    </row>
    <row r="50" spans="1:41" x14ac:dyDescent="0.25">
      <c r="A50" s="54" t="s">
        <v>54</v>
      </c>
      <c r="B50" s="65">
        <v>33</v>
      </c>
      <c r="C50" s="65">
        <v>27.1</v>
      </c>
      <c r="D50" s="65">
        <v>26.5</v>
      </c>
      <c r="E50" s="65">
        <v>37.799999999999997</v>
      </c>
      <c r="F50" s="65">
        <v>23.3</v>
      </c>
      <c r="G50" s="65">
        <v>36</v>
      </c>
      <c r="H50" s="65">
        <v>47.4</v>
      </c>
      <c r="I50" s="65">
        <v>49.9</v>
      </c>
      <c r="J50" s="65">
        <v>71.3</v>
      </c>
      <c r="K50" s="65">
        <v>68</v>
      </c>
      <c r="L50" s="65">
        <v>70.3</v>
      </c>
      <c r="M50" s="65">
        <v>70.900000000000006</v>
      </c>
      <c r="N50" s="65">
        <v>60</v>
      </c>
      <c r="O50" s="65">
        <v>60</v>
      </c>
      <c r="P50" s="65">
        <v>33.4</v>
      </c>
      <c r="Q50" s="45">
        <v>35</v>
      </c>
      <c r="R50" s="45">
        <v>35.700000000000003</v>
      </c>
      <c r="S50" s="45">
        <v>36.200000000000003</v>
      </c>
      <c r="T50" s="65">
        <v>35.9</v>
      </c>
      <c r="U50" s="65">
        <v>35.5</v>
      </c>
      <c r="V50" s="65">
        <v>68</v>
      </c>
      <c r="W50" s="65">
        <v>69.900000000000006</v>
      </c>
      <c r="X50" s="65">
        <v>70</v>
      </c>
      <c r="Y50" s="65">
        <v>72.2</v>
      </c>
      <c r="Z50" s="65">
        <v>70.900000000000006</v>
      </c>
      <c r="AA50" s="65">
        <v>71</v>
      </c>
      <c r="AB50" s="65">
        <v>71</v>
      </c>
      <c r="AC50" s="65">
        <v>70.900000000000006</v>
      </c>
      <c r="AD50" s="65">
        <v>60.9</v>
      </c>
      <c r="AE50" s="65">
        <v>59.2</v>
      </c>
      <c r="AF50" s="65">
        <v>36.299999999999997</v>
      </c>
      <c r="AG50" s="55">
        <v>70</v>
      </c>
      <c r="AH50" s="48">
        <f t="shared" si="2"/>
        <v>72.2</v>
      </c>
      <c r="AI50" s="49">
        <f t="shared" si="3"/>
        <v>23.3</v>
      </c>
      <c r="AK50" s="50"/>
    </row>
    <row r="51" spans="1:41" x14ac:dyDescent="0.25">
      <c r="A51" s="54" t="s">
        <v>55</v>
      </c>
      <c r="B51" s="65">
        <v>68.900000000000006</v>
      </c>
      <c r="C51" s="65">
        <v>68.7</v>
      </c>
      <c r="D51" s="65">
        <v>69.599999999999994</v>
      </c>
      <c r="E51" s="65">
        <v>69.400000000000006</v>
      </c>
      <c r="F51" s="65">
        <v>56.6</v>
      </c>
      <c r="G51" s="65">
        <v>52.5</v>
      </c>
      <c r="H51" s="65">
        <v>51.9</v>
      </c>
      <c r="I51" s="65">
        <v>51.9</v>
      </c>
      <c r="J51" s="65">
        <v>52</v>
      </c>
      <c r="K51" s="65">
        <v>48.5</v>
      </c>
      <c r="L51" s="65">
        <v>67.3</v>
      </c>
      <c r="M51" s="65">
        <v>68.099999999999994</v>
      </c>
      <c r="N51" s="65">
        <v>68.099999999999994</v>
      </c>
      <c r="O51" s="65">
        <v>68.099999999999994</v>
      </c>
      <c r="P51" s="65">
        <v>41.8</v>
      </c>
      <c r="Q51" s="45">
        <v>44.1</v>
      </c>
      <c r="R51" s="45">
        <v>36</v>
      </c>
      <c r="S51" s="45">
        <v>45.2</v>
      </c>
      <c r="T51" s="65">
        <v>46</v>
      </c>
      <c r="U51" s="65">
        <v>47.2</v>
      </c>
      <c r="V51" s="65">
        <v>69.400000000000006</v>
      </c>
      <c r="W51" s="65">
        <v>68.099999999999994</v>
      </c>
      <c r="X51" s="65">
        <v>68</v>
      </c>
      <c r="Y51" s="65">
        <v>68</v>
      </c>
      <c r="Z51" s="65">
        <v>68</v>
      </c>
      <c r="AA51" s="65">
        <v>68.900000000000006</v>
      </c>
      <c r="AB51" s="65">
        <v>68.900000000000006</v>
      </c>
      <c r="AC51" s="65">
        <v>67.3</v>
      </c>
      <c r="AD51" s="65">
        <v>60</v>
      </c>
      <c r="AE51" s="65">
        <v>59.8</v>
      </c>
      <c r="AF51" s="65">
        <v>55.3</v>
      </c>
      <c r="AG51" s="55">
        <v>69</v>
      </c>
      <c r="AH51" s="48">
        <f t="shared" si="2"/>
        <v>69.599999999999994</v>
      </c>
      <c r="AI51" s="49">
        <f t="shared" si="3"/>
        <v>36</v>
      </c>
      <c r="AK51" s="50"/>
    </row>
    <row r="52" spans="1:41" x14ac:dyDescent="0.25">
      <c r="A52" s="54" t="s">
        <v>56</v>
      </c>
      <c r="B52" s="57">
        <v>60.4</v>
      </c>
      <c r="C52" s="57">
        <v>60.4</v>
      </c>
      <c r="D52" s="57">
        <v>60.4</v>
      </c>
      <c r="E52" s="57">
        <v>60.4</v>
      </c>
      <c r="F52" s="57">
        <v>60.4</v>
      </c>
      <c r="G52" s="57">
        <v>60.4</v>
      </c>
      <c r="H52" s="57">
        <v>60.4</v>
      </c>
      <c r="I52" s="57">
        <v>60.4</v>
      </c>
      <c r="J52" s="57">
        <v>60.4</v>
      </c>
      <c r="K52" s="57">
        <v>60.4</v>
      </c>
      <c r="L52" s="57">
        <v>60.4</v>
      </c>
      <c r="M52" s="65">
        <v>60.4</v>
      </c>
      <c r="N52" s="65">
        <v>60.4</v>
      </c>
      <c r="O52" s="65">
        <v>60.4</v>
      </c>
      <c r="P52" s="65">
        <v>60.4</v>
      </c>
      <c r="Q52" s="45">
        <v>60.4</v>
      </c>
      <c r="R52" s="45">
        <v>60.4</v>
      </c>
      <c r="S52" s="45">
        <v>60.4</v>
      </c>
      <c r="T52" s="45">
        <v>60.4</v>
      </c>
      <c r="U52" s="45">
        <v>60.4</v>
      </c>
      <c r="V52" s="45">
        <v>60.4</v>
      </c>
      <c r="W52" s="65">
        <v>60.4</v>
      </c>
      <c r="X52" s="65">
        <v>60.4</v>
      </c>
      <c r="Y52" s="65">
        <v>60.4</v>
      </c>
      <c r="Z52" s="65">
        <v>60.4</v>
      </c>
      <c r="AA52" s="65">
        <v>60.4</v>
      </c>
      <c r="AB52" s="65">
        <v>60.4</v>
      </c>
      <c r="AC52" s="57">
        <v>60.4</v>
      </c>
      <c r="AD52" s="57">
        <v>60.4</v>
      </c>
      <c r="AE52" s="57">
        <v>60.4</v>
      </c>
      <c r="AF52" s="57">
        <v>60.4</v>
      </c>
      <c r="AG52" s="55">
        <v>60</v>
      </c>
      <c r="AH52" s="48">
        <f t="shared" si="2"/>
        <v>60.4</v>
      </c>
      <c r="AI52" s="49">
        <f t="shared" si="3"/>
        <v>60.4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15.1</v>
      </c>
      <c r="H53" s="57">
        <v>15.1</v>
      </c>
      <c r="I53" s="57">
        <v>13.4</v>
      </c>
      <c r="J53" s="57">
        <v>15</v>
      </c>
      <c r="K53" s="57">
        <v>14.9</v>
      </c>
      <c r="L53" s="57">
        <v>26.5</v>
      </c>
      <c r="M53" s="57">
        <v>26.5</v>
      </c>
      <c r="N53" s="57">
        <v>26</v>
      </c>
      <c r="O53" s="57">
        <v>13.5</v>
      </c>
      <c r="P53" s="57">
        <v>13.5</v>
      </c>
      <c r="Q53" s="45">
        <v>15</v>
      </c>
      <c r="R53" s="45">
        <v>13.3</v>
      </c>
      <c r="S53" s="45">
        <v>0</v>
      </c>
      <c r="T53" s="45">
        <v>0</v>
      </c>
      <c r="U53" s="45">
        <v>0</v>
      </c>
      <c r="V53" s="45">
        <v>0</v>
      </c>
      <c r="W53" s="65">
        <v>15</v>
      </c>
      <c r="X53" s="65">
        <v>30</v>
      </c>
      <c r="Y53" s="65">
        <v>26.6</v>
      </c>
      <c r="Z53" s="65">
        <v>29.5</v>
      </c>
      <c r="AA53" s="65">
        <v>29.1</v>
      </c>
      <c r="AB53" s="65">
        <v>29.1</v>
      </c>
      <c r="AC53" s="57">
        <v>28.6</v>
      </c>
      <c r="AD53" s="57">
        <v>28.3</v>
      </c>
      <c r="AE53" s="57">
        <v>13.4</v>
      </c>
      <c r="AF53" s="57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4</v>
      </c>
      <c r="Q54" s="65">
        <v>4</v>
      </c>
      <c r="R54" s="65">
        <v>4</v>
      </c>
      <c r="S54" s="65">
        <v>4</v>
      </c>
      <c r="T54" s="65">
        <v>4</v>
      </c>
      <c r="U54" s="45">
        <v>4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65">
        <v>0</v>
      </c>
      <c r="AD54" s="65">
        <v>0</v>
      </c>
      <c r="AE54" s="65">
        <v>0</v>
      </c>
      <c r="AF54" s="65">
        <v>0</v>
      </c>
      <c r="AG54" s="55">
        <v>25</v>
      </c>
      <c r="AH54" s="48">
        <f t="shared" si="2"/>
        <v>4</v>
      </c>
      <c r="AI54" s="49">
        <f t="shared" si="3"/>
        <v>0</v>
      </c>
      <c r="AK54" s="50"/>
    </row>
    <row r="55" spans="1:41" x14ac:dyDescent="0.25">
      <c r="A55" s="54" t="s">
        <v>59</v>
      </c>
      <c r="B55" s="45">
        <v>17.3</v>
      </c>
      <c r="C55" s="45">
        <v>17.3</v>
      </c>
      <c r="D55" s="45">
        <v>17.3</v>
      </c>
      <c r="E55" s="45">
        <v>17.3</v>
      </c>
      <c r="F55" s="45">
        <v>17.3</v>
      </c>
      <c r="G55" s="45">
        <v>17.3</v>
      </c>
      <c r="H55" s="4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17.3</v>
      </c>
      <c r="N55" s="65">
        <v>17.3</v>
      </c>
      <c r="O55" s="65">
        <v>17.3</v>
      </c>
      <c r="P55" s="65">
        <v>17.3</v>
      </c>
      <c r="Q55" s="65">
        <v>17.3</v>
      </c>
      <c r="R55" s="65">
        <v>17.3</v>
      </c>
      <c r="S55" s="65">
        <v>17.3</v>
      </c>
      <c r="T55" s="65">
        <v>17.3</v>
      </c>
      <c r="U55" s="65">
        <v>17.3</v>
      </c>
      <c r="V55" s="65">
        <v>17.3</v>
      </c>
      <c r="W55" s="65">
        <v>17.3</v>
      </c>
      <c r="X55" s="65">
        <v>17.3</v>
      </c>
      <c r="Y55" s="65">
        <v>17.3</v>
      </c>
      <c r="Z55" s="45">
        <v>17.3</v>
      </c>
      <c r="AA55" s="45">
        <v>17.3</v>
      </c>
      <c r="AB55" s="45">
        <v>17.3</v>
      </c>
      <c r="AC55" s="65">
        <v>17.3</v>
      </c>
      <c r="AD55" s="65">
        <v>17.3</v>
      </c>
      <c r="AE55" s="65">
        <v>17.3</v>
      </c>
      <c r="AF55" s="65">
        <v>17.3</v>
      </c>
      <c r="AG55" s="55">
        <v>24</v>
      </c>
      <c r="AH55" s="48">
        <f t="shared" si="2"/>
        <v>17.3</v>
      </c>
      <c r="AI55" s="49">
        <f t="shared" si="3"/>
        <v>17.3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15.5</v>
      </c>
      <c r="C57" s="65">
        <v>15.5</v>
      </c>
      <c r="D57" s="65">
        <v>15.5</v>
      </c>
      <c r="E57" s="65">
        <v>15.5</v>
      </c>
      <c r="F57" s="65">
        <v>15.5</v>
      </c>
      <c r="G57" s="65">
        <v>15.5</v>
      </c>
      <c r="H57" s="65">
        <v>15.5</v>
      </c>
      <c r="I57" s="65">
        <v>15.5</v>
      </c>
      <c r="J57" s="65">
        <v>15.5</v>
      </c>
      <c r="K57" s="65">
        <v>15.5</v>
      </c>
      <c r="L57" s="65">
        <v>15.5</v>
      </c>
      <c r="M57" s="65">
        <v>15.5</v>
      </c>
      <c r="N57" s="65">
        <v>15.5</v>
      </c>
      <c r="O57" s="65">
        <v>15.5</v>
      </c>
      <c r="P57" s="65">
        <v>15.2</v>
      </c>
      <c r="Q57" s="65">
        <v>15.2</v>
      </c>
      <c r="R57" s="65">
        <v>15.2</v>
      </c>
      <c r="S57" s="65">
        <v>15.2</v>
      </c>
      <c r="T57" s="65">
        <v>15.2</v>
      </c>
      <c r="U57" s="65">
        <v>15.2</v>
      </c>
      <c r="V57" s="65">
        <v>15.2</v>
      </c>
      <c r="W57" s="65">
        <v>15.2</v>
      </c>
      <c r="X57" s="65">
        <v>13.9</v>
      </c>
      <c r="Y57" s="65">
        <v>13.9</v>
      </c>
      <c r="Z57" s="65">
        <v>13.9</v>
      </c>
      <c r="AA57" s="65">
        <v>14.4</v>
      </c>
      <c r="AB57" s="65">
        <v>14.4</v>
      </c>
      <c r="AC57" s="65">
        <v>14.6</v>
      </c>
      <c r="AD57" s="65">
        <v>14.6</v>
      </c>
      <c r="AE57" s="65">
        <v>14.9</v>
      </c>
      <c r="AF57" s="65">
        <v>14.9</v>
      </c>
      <c r="AG57" s="55">
        <v>14.1</v>
      </c>
      <c r="AH57" s="48">
        <f t="shared" si="2"/>
        <v>15.5</v>
      </c>
      <c r="AI57" s="49">
        <f t="shared" si="3"/>
        <v>13.9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7.6</v>
      </c>
      <c r="C58" s="65">
        <v>7.6</v>
      </c>
      <c r="D58" s="65">
        <v>7.6</v>
      </c>
      <c r="E58" s="65">
        <v>7.6</v>
      </c>
      <c r="F58" s="65">
        <v>7.6</v>
      </c>
      <c r="G58" s="65">
        <v>7.6</v>
      </c>
      <c r="H58" s="65">
        <v>7.6</v>
      </c>
      <c r="I58" s="65">
        <v>7.6</v>
      </c>
      <c r="J58" s="65">
        <v>7.6</v>
      </c>
      <c r="K58" s="65">
        <v>7.6</v>
      </c>
      <c r="L58" s="65">
        <v>7.6</v>
      </c>
      <c r="M58" s="65">
        <v>7.6</v>
      </c>
      <c r="N58" s="65">
        <v>7.6</v>
      </c>
      <c r="O58" s="65">
        <v>7.6</v>
      </c>
      <c r="P58" s="65">
        <v>7.6</v>
      </c>
      <c r="Q58" s="65">
        <v>7.6</v>
      </c>
      <c r="R58" s="65">
        <v>7.6</v>
      </c>
      <c r="S58" s="65">
        <v>7.6</v>
      </c>
      <c r="T58" s="65">
        <v>7.6</v>
      </c>
      <c r="U58" s="65">
        <v>7.6</v>
      </c>
      <c r="V58" s="65">
        <v>7.6</v>
      </c>
      <c r="W58" s="65">
        <v>7.6</v>
      </c>
      <c r="X58" s="65">
        <v>7.6</v>
      </c>
      <c r="Y58" s="65">
        <v>7.6</v>
      </c>
      <c r="Z58" s="65">
        <v>7.6</v>
      </c>
      <c r="AA58" s="65">
        <v>7.6</v>
      </c>
      <c r="AB58" s="65">
        <v>7.6</v>
      </c>
      <c r="AC58" s="65">
        <v>7.4</v>
      </c>
      <c r="AD58" s="65">
        <v>7.4</v>
      </c>
      <c r="AE58" s="65">
        <v>7.4</v>
      </c>
      <c r="AF58" s="65">
        <v>7.4</v>
      </c>
      <c r="AG58" s="55">
        <v>14</v>
      </c>
      <c r="AH58" s="48">
        <f t="shared" si="2"/>
        <v>7.6</v>
      </c>
      <c r="AI58" s="49">
        <f t="shared" si="3"/>
        <v>7.4</v>
      </c>
      <c r="AK58" s="50"/>
    </row>
    <row r="59" spans="1:41" x14ac:dyDescent="0.25">
      <c r="A59" s="54" t="s">
        <v>63</v>
      </c>
      <c r="B59" s="65">
        <v>7.1</v>
      </c>
      <c r="C59" s="65">
        <v>7.1</v>
      </c>
      <c r="D59" s="65">
        <v>7.1</v>
      </c>
      <c r="E59" s="65">
        <v>7.1</v>
      </c>
      <c r="F59" s="65">
        <v>7.1</v>
      </c>
      <c r="G59" s="65">
        <v>7.1</v>
      </c>
      <c r="H59" s="65">
        <v>7.1</v>
      </c>
      <c r="I59" s="65">
        <v>7.1</v>
      </c>
      <c r="J59" s="65">
        <v>7.1</v>
      </c>
      <c r="K59" s="65">
        <v>7.1</v>
      </c>
      <c r="L59" s="65">
        <v>7.1</v>
      </c>
      <c r="M59" s="65">
        <v>7.1</v>
      </c>
      <c r="N59" s="65">
        <v>7.1</v>
      </c>
      <c r="O59" s="65">
        <v>7.1</v>
      </c>
      <c r="P59" s="65">
        <v>7.1</v>
      </c>
      <c r="Q59" s="65">
        <v>7.1</v>
      </c>
      <c r="R59" s="65">
        <v>7.1</v>
      </c>
      <c r="S59" s="65">
        <v>7.1</v>
      </c>
      <c r="T59" s="65">
        <v>7.1</v>
      </c>
      <c r="U59" s="65">
        <v>7.1</v>
      </c>
      <c r="V59" s="65">
        <v>7.1</v>
      </c>
      <c r="W59" s="65">
        <v>7.1</v>
      </c>
      <c r="X59" s="65">
        <v>7.1</v>
      </c>
      <c r="Y59" s="65">
        <v>7.1</v>
      </c>
      <c r="Z59" s="65">
        <v>7.1</v>
      </c>
      <c r="AA59" s="65">
        <v>7.1</v>
      </c>
      <c r="AB59" s="65">
        <v>7.1</v>
      </c>
      <c r="AC59" s="65">
        <v>5.4</v>
      </c>
      <c r="AD59" s="65">
        <v>5.4</v>
      </c>
      <c r="AE59" s="65">
        <v>5.4</v>
      </c>
      <c r="AF59" s="65">
        <v>5.4</v>
      </c>
      <c r="AG59" s="55">
        <v>10.050000000000001</v>
      </c>
      <c r="AH59" s="48">
        <f t="shared" si="2"/>
        <v>7.1</v>
      </c>
      <c r="AI59" s="49">
        <f t="shared" si="3"/>
        <v>5.4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" si="7">SUM(B49:B61)</f>
        <v>259.04000000000002</v>
      </c>
      <c r="C62" s="61">
        <f t="shared" ref="C62:AG62" si="8">SUM(C49:C61)</f>
        <v>241.44</v>
      </c>
      <c r="D62" s="61">
        <f t="shared" si="8"/>
        <v>241.93999999999997</v>
      </c>
      <c r="E62" s="61">
        <f t="shared" si="8"/>
        <v>268.74000000000007</v>
      </c>
      <c r="F62" s="61">
        <f t="shared" si="8"/>
        <v>227.23999999999998</v>
      </c>
      <c r="G62" s="61">
        <f t="shared" si="8"/>
        <v>285.24000000000007</v>
      </c>
      <c r="H62" s="61">
        <f t="shared" si="8"/>
        <v>296.34000000000009</v>
      </c>
      <c r="I62" s="61">
        <f t="shared" si="8"/>
        <v>340.44000000000005</v>
      </c>
      <c r="J62" s="61">
        <f t="shared" si="8"/>
        <v>390.84000000000009</v>
      </c>
      <c r="K62" s="61">
        <f t="shared" si="8"/>
        <v>387.94000000000005</v>
      </c>
      <c r="L62" s="61">
        <f t="shared" si="8"/>
        <v>420.6400000000001</v>
      </c>
      <c r="M62" s="61">
        <f t="shared" si="8"/>
        <v>422.1400000000001</v>
      </c>
      <c r="N62" s="61">
        <f t="shared" si="8"/>
        <v>410.74000000000007</v>
      </c>
      <c r="O62" s="61">
        <f t="shared" si="8"/>
        <v>398.24000000000007</v>
      </c>
      <c r="P62" s="61">
        <f t="shared" si="8"/>
        <v>330.74000000000007</v>
      </c>
      <c r="Q62" s="61">
        <f t="shared" si="8"/>
        <v>325.84000000000009</v>
      </c>
      <c r="R62" s="61">
        <f t="shared" si="8"/>
        <v>295.04000000000008</v>
      </c>
      <c r="S62" s="61">
        <f t="shared" si="8"/>
        <v>294.84000000000009</v>
      </c>
      <c r="T62" s="61">
        <f t="shared" si="8"/>
        <v>295.1400000000001</v>
      </c>
      <c r="U62" s="61">
        <f t="shared" si="8"/>
        <v>295.94000000000005</v>
      </c>
      <c r="V62" s="61">
        <f t="shared" si="8"/>
        <v>349.74000000000007</v>
      </c>
      <c r="W62" s="61">
        <f t="shared" si="8"/>
        <v>407.14000000000004</v>
      </c>
      <c r="X62" s="61">
        <f t="shared" si="8"/>
        <v>420.54000000000008</v>
      </c>
      <c r="Y62" s="61">
        <f t="shared" si="8"/>
        <v>419.34000000000009</v>
      </c>
      <c r="Z62" s="61">
        <f t="shared" si="8"/>
        <v>420.84000000000003</v>
      </c>
      <c r="AA62" s="61">
        <f t="shared" si="8"/>
        <v>423.1400000000001</v>
      </c>
      <c r="AB62" s="61">
        <f t="shared" si="8"/>
        <v>423.1400000000001</v>
      </c>
      <c r="AC62" s="61">
        <f t="shared" si="8"/>
        <v>419.34000000000003</v>
      </c>
      <c r="AD62" s="61">
        <f t="shared" si="8"/>
        <v>366.24</v>
      </c>
      <c r="AE62" s="61">
        <f t="shared" si="8"/>
        <v>335.93999999999994</v>
      </c>
      <c r="AF62" s="61">
        <f t="shared" si="8"/>
        <v>285.14</v>
      </c>
      <c r="AG62" s="62">
        <f t="shared" si="8"/>
        <v>489.91</v>
      </c>
      <c r="AH62" s="48">
        <f t="shared" si="2"/>
        <v>423.1400000000001</v>
      </c>
      <c r="AI62" s="49">
        <f t="shared" si="3"/>
        <v>227.23999999999998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25</v>
      </c>
      <c r="L63" s="45">
        <v>59.8</v>
      </c>
      <c r="M63" s="45">
        <v>59.8</v>
      </c>
      <c r="N63" s="45">
        <v>59.8</v>
      </c>
      <c r="O63" s="45">
        <v>60.1</v>
      </c>
      <c r="P63" s="45">
        <v>60.1</v>
      </c>
      <c r="Q63" s="45">
        <v>40</v>
      </c>
      <c r="R63" s="45">
        <v>9.9</v>
      </c>
      <c r="S63" s="45">
        <v>0</v>
      </c>
      <c r="T63" s="45">
        <v>20.3</v>
      </c>
      <c r="U63" s="45">
        <v>19.7</v>
      </c>
      <c r="V63" s="45">
        <v>59.5</v>
      </c>
      <c r="W63" s="45">
        <v>59.7</v>
      </c>
      <c r="X63" s="45">
        <v>59.7</v>
      </c>
      <c r="Y63" s="45">
        <v>59.7</v>
      </c>
      <c r="Z63" s="45">
        <v>59.7</v>
      </c>
      <c r="AA63" s="45">
        <v>59.6</v>
      </c>
      <c r="AB63" s="45">
        <v>59.6</v>
      </c>
      <c r="AC63" s="45">
        <v>59.6</v>
      </c>
      <c r="AD63" s="45">
        <v>40</v>
      </c>
      <c r="AE63" s="45">
        <v>0</v>
      </c>
      <c r="AF63" s="45">
        <v>0</v>
      </c>
      <c r="AG63" s="52">
        <v>60</v>
      </c>
      <c r="AH63" s="48">
        <f t="shared" si="2"/>
        <v>60.1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5.0999999999999996</v>
      </c>
      <c r="L64" s="65">
        <v>29.1</v>
      </c>
      <c r="M64" s="65">
        <v>28.4</v>
      </c>
      <c r="N64" s="65">
        <v>28.4</v>
      </c>
      <c r="O64" s="65">
        <v>28.3</v>
      </c>
      <c r="P64" s="65">
        <v>28.3</v>
      </c>
      <c r="Q64" s="65">
        <v>22.1</v>
      </c>
      <c r="R64" s="65">
        <v>6.9</v>
      </c>
      <c r="S64" s="65">
        <v>0</v>
      </c>
      <c r="T64" s="65">
        <v>7.9</v>
      </c>
      <c r="U64" s="65">
        <v>8.6999999999999993</v>
      </c>
      <c r="V64" s="65">
        <v>27.4</v>
      </c>
      <c r="W64" s="65">
        <v>27.5</v>
      </c>
      <c r="X64" s="65">
        <v>29</v>
      </c>
      <c r="Y64" s="65">
        <v>27.7</v>
      </c>
      <c r="Z64" s="65">
        <v>27.7</v>
      </c>
      <c r="AA64" s="65">
        <v>27.7</v>
      </c>
      <c r="AB64" s="65">
        <v>27.7</v>
      </c>
      <c r="AC64" s="65">
        <v>27.8</v>
      </c>
      <c r="AD64" s="65">
        <v>17.399999999999999</v>
      </c>
      <c r="AE64" s="65">
        <v>0</v>
      </c>
      <c r="AF64" s="65">
        <v>0</v>
      </c>
      <c r="AG64" s="55">
        <v>32</v>
      </c>
      <c r="AH64" s="48">
        <f t="shared" si="2"/>
        <v>29.1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1.9</v>
      </c>
      <c r="L65" s="67">
        <v>10.6</v>
      </c>
      <c r="M65" s="67">
        <v>10.4</v>
      </c>
      <c r="N65" s="67">
        <v>10.4</v>
      </c>
      <c r="O65" s="67">
        <v>10.3</v>
      </c>
      <c r="P65" s="67">
        <v>10.3</v>
      </c>
      <c r="Q65" s="67">
        <v>8.1</v>
      </c>
      <c r="R65" s="67">
        <v>2.5</v>
      </c>
      <c r="S65" s="67">
        <v>0</v>
      </c>
      <c r="T65" s="67">
        <v>2.9</v>
      </c>
      <c r="U65" s="67">
        <v>3.2</v>
      </c>
      <c r="V65" s="67">
        <v>10</v>
      </c>
      <c r="W65" s="67">
        <v>10</v>
      </c>
      <c r="X65" s="67">
        <v>10.6</v>
      </c>
      <c r="Y65" s="67">
        <v>10.1</v>
      </c>
      <c r="Z65" s="67">
        <v>10.1</v>
      </c>
      <c r="AA65" s="67">
        <v>10.1</v>
      </c>
      <c r="AB65" s="67">
        <v>10.1</v>
      </c>
      <c r="AC65" s="67">
        <v>10.199999999999999</v>
      </c>
      <c r="AD65" s="67">
        <v>6.4</v>
      </c>
      <c r="AE65" s="67">
        <v>0</v>
      </c>
      <c r="AF65" s="67">
        <v>0</v>
      </c>
      <c r="AG65" s="68">
        <v>14</v>
      </c>
      <c r="AH65" s="48">
        <f t="shared" si="2"/>
        <v>10.6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" si="9">SUM(B63:B65)</f>
        <v>0</v>
      </c>
      <c r="C66" s="61">
        <f t="shared" ref="C66:AG66" si="10">SUM(C63:C65)</f>
        <v>0</v>
      </c>
      <c r="D66" s="61">
        <f t="shared" si="10"/>
        <v>0</v>
      </c>
      <c r="E66" s="61">
        <f t="shared" si="10"/>
        <v>0</v>
      </c>
      <c r="F66" s="61">
        <f t="shared" si="10"/>
        <v>0</v>
      </c>
      <c r="G66" s="61">
        <f t="shared" si="10"/>
        <v>0</v>
      </c>
      <c r="H66" s="61">
        <f t="shared" si="10"/>
        <v>0</v>
      </c>
      <c r="I66" s="61">
        <f t="shared" si="10"/>
        <v>0</v>
      </c>
      <c r="J66" s="61">
        <f t="shared" si="10"/>
        <v>0</v>
      </c>
      <c r="K66" s="61">
        <f t="shared" si="10"/>
        <v>32</v>
      </c>
      <c r="L66" s="61">
        <f t="shared" si="10"/>
        <v>99.5</v>
      </c>
      <c r="M66" s="61">
        <f t="shared" si="10"/>
        <v>98.6</v>
      </c>
      <c r="N66" s="61">
        <f t="shared" si="10"/>
        <v>98.6</v>
      </c>
      <c r="O66" s="61">
        <f t="shared" si="10"/>
        <v>98.7</v>
      </c>
      <c r="P66" s="61">
        <f t="shared" si="10"/>
        <v>98.7</v>
      </c>
      <c r="Q66" s="61">
        <f t="shared" si="10"/>
        <v>70.2</v>
      </c>
      <c r="R66" s="61">
        <f t="shared" si="10"/>
        <v>19.3</v>
      </c>
      <c r="S66" s="61">
        <f t="shared" si="10"/>
        <v>0</v>
      </c>
      <c r="T66" s="61">
        <f t="shared" si="10"/>
        <v>31.1</v>
      </c>
      <c r="U66" s="61">
        <f t="shared" si="10"/>
        <v>31.599999999999998</v>
      </c>
      <c r="V66" s="61">
        <f t="shared" si="10"/>
        <v>96.9</v>
      </c>
      <c r="W66" s="61">
        <f t="shared" si="10"/>
        <v>97.2</v>
      </c>
      <c r="X66" s="61">
        <f t="shared" si="10"/>
        <v>99.3</v>
      </c>
      <c r="Y66" s="61">
        <f t="shared" si="10"/>
        <v>97.5</v>
      </c>
      <c r="Z66" s="61">
        <f t="shared" si="10"/>
        <v>97.5</v>
      </c>
      <c r="AA66" s="61">
        <f t="shared" si="10"/>
        <v>97.399999999999991</v>
      </c>
      <c r="AB66" s="61">
        <f t="shared" si="10"/>
        <v>97.399999999999991</v>
      </c>
      <c r="AC66" s="61">
        <f t="shared" si="10"/>
        <v>97.600000000000009</v>
      </c>
      <c r="AD66" s="61">
        <f t="shared" si="10"/>
        <v>63.8</v>
      </c>
      <c r="AE66" s="61">
        <f t="shared" si="10"/>
        <v>0</v>
      </c>
      <c r="AF66" s="61">
        <f t="shared" si="10"/>
        <v>0</v>
      </c>
      <c r="AG66" s="62">
        <f t="shared" si="10"/>
        <v>106</v>
      </c>
      <c r="AH66" s="48">
        <f t="shared" si="2"/>
        <v>99.5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17.2</v>
      </c>
      <c r="C67" s="45">
        <v>16.100000000000001</v>
      </c>
      <c r="D67" s="45">
        <v>15.2</v>
      </c>
      <c r="E67" s="45">
        <v>14.9</v>
      </c>
      <c r="F67" s="45">
        <v>15.5</v>
      </c>
      <c r="G67" s="45">
        <v>19</v>
      </c>
      <c r="H67" s="45">
        <v>25.6</v>
      </c>
      <c r="I67" s="45">
        <v>16.8</v>
      </c>
      <c r="J67" s="45">
        <v>21.1</v>
      </c>
      <c r="K67" s="45">
        <v>48.3</v>
      </c>
      <c r="L67" s="45">
        <v>43.2</v>
      </c>
      <c r="M67" s="45">
        <v>37.1</v>
      </c>
      <c r="N67" s="45">
        <v>43</v>
      </c>
      <c r="O67" s="45">
        <v>40.799999999999997</v>
      </c>
      <c r="P67" s="45">
        <v>39.299999999999997</v>
      </c>
      <c r="Q67" s="45">
        <v>50.8</v>
      </c>
      <c r="R67" s="45">
        <v>48.2</v>
      </c>
      <c r="S67" s="45">
        <v>49</v>
      </c>
      <c r="T67" s="45">
        <v>47.3</v>
      </c>
      <c r="U67" s="45">
        <v>51.6</v>
      </c>
      <c r="V67" s="45">
        <v>56.9</v>
      </c>
      <c r="W67" s="45">
        <v>53.4</v>
      </c>
      <c r="X67" s="45">
        <v>50.2</v>
      </c>
      <c r="Y67" s="45">
        <v>21.8</v>
      </c>
      <c r="Z67" s="45">
        <v>44.2</v>
      </c>
      <c r="AA67" s="45">
        <v>52.1</v>
      </c>
      <c r="AB67" s="45">
        <v>46.9</v>
      </c>
      <c r="AC67" s="45">
        <v>43</v>
      </c>
      <c r="AD67" s="45">
        <v>36.6</v>
      </c>
      <c r="AE67" s="45">
        <v>10.8</v>
      </c>
      <c r="AF67" s="45">
        <v>16.600000000000001</v>
      </c>
      <c r="AG67" s="52"/>
      <c r="AH67" s="48">
        <f t="shared" si="2"/>
        <v>56.9</v>
      </c>
      <c r="AI67" s="49">
        <f t="shared" si="3"/>
        <v>10.8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6.5</v>
      </c>
      <c r="C69" s="65">
        <v>50</v>
      </c>
      <c r="D69" s="65">
        <v>46</v>
      </c>
      <c r="E69" s="65">
        <v>38.299999999999997</v>
      </c>
      <c r="F69" s="65">
        <v>38.340000000000003</v>
      </c>
      <c r="G69" s="65">
        <v>39.200000000000003</v>
      </c>
      <c r="H69" s="65">
        <v>43.03</v>
      </c>
      <c r="I69" s="65">
        <v>41.6</v>
      </c>
      <c r="J69" s="65">
        <v>0</v>
      </c>
      <c r="K69" s="65">
        <v>-49</v>
      </c>
      <c r="L69" s="65">
        <v>-122</v>
      </c>
      <c r="M69" s="65">
        <v>-126.4</v>
      </c>
      <c r="N69" s="65">
        <v>-124</v>
      </c>
      <c r="O69" s="65">
        <v>77</v>
      </c>
      <c r="P69" s="65">
        <v>135.30000000000001</v>
      </c>
      <c r="Q69" s="65">
        <v>142.9</v>
      </c>
      <c r="R69" s="65">
        <v>146.30000000000001</v>
      </c>
      <c r="S69" s="65">
        <v>172.7</v>
      </c>
      <c r="T69" s="65">
        <v>148.4</v>
      </c>
      <c r="U69" s="65">
        <v>145.4</v>
      </c>
      <c r="V69" s="65">
        <v>-9.3000000000000007</v>
      </c>
      <c r="W69" s="65">
        <v>-60</v>
      </c>
      <c r="X69" s="65">
        <v>-136.6</v>
      </c>
      <c r="Y69" s="65">
        <v>-131</v>
      </c>
      <c r="Z69" s="65">
        <v>-110</v>
      </c>
      <c r="AA69" s="65">
        <v>-58</v>
      </c>
      <c r="AB69" s="65">
        <v>-89</v>
      </c>
      <c r="AC69" s="65">
        <v>-97</v>
      </c>
      <c r="AD69" s="65">
        <v>3.6</v>
      </c>
      <c r="AE69" s="65">
        <v>3</v>
      </c>
      <c r="AF69" s="65">
        <v>5</v>
      </c>
      <c r="AG69" s="75"/>
      <c r="AH69" s="48">
        <f t="shared" si="2"/>
        <v>172.7</v>
      </c>
      <c r="AI69" s="49">
        <f t="shared" si="3"/>
        <v>-136.6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76">
        <v>0</v>
      </c>
      <c r="C71" s="76">
        <v>0</v>
      </c>
      <c r="D71" s="76">
        <v>0</v>
      </c>
      <c r="E71" s="76">
        <v>0</v>
      </c>
      <c r="F71" s="76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76">
        <v>0</v>
      </c>
      <c r="AB71" s="76">
        <v>0</v>
      </c>
      <c r="AC71" s="76">
        <v>0</v>
      </c>
      <c r="AD71" s="76">
        <v>0</v>
      </c>
      <c r="AE71" s="76">
        <v>0</v>
      </c>
      <c r="AF71" s="76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45">
        <v>0</v>
      </c>
      <c r="AA72" s="76">
        <v>0</v>
      </c>
      <c r="AB72" s="76">
        <v>0</v>
      </c>
      <c r="AC72" s="76">
        <v>0</v>
      </c>
      <c r="AD72" s="76">
        <v>0</v>
      </c>
      <c r="AE72" s="76">
        <v>0</v>
      </c>
      <c r="AF72" s="76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45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6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45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45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6">
        <v>0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45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6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6">
        <v>0</v>
      </c>
      <c r="C77" s="76">
        <v>0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76">
        <v>0</v>
      </c>
      <c r="L77" s="76">
        <v>0</v>
      </c>
      <c r="M77" s="76">
        <v>0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45">
        <v>0</v>
      </c>
      <c r="AA77" s="76">
        <v>0</v>
      </c>
      <c r="AB77" s="76">
        <v>0</v>
      </c>
      <c r="AC77" s="76">
        <v>0</v>
      </c>
      <c r="AD77" s="76">
        <v>0</v>
      </c>
      <c r="AE77" s="76">
        <v>0</v>
      </c>
      <c r="AF77" s="76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" si="11">SUMIF(B67:B77,"&gt;0")</f>
        <v>23.7</v>
      </c>
      <c r="C78" s="61">
        <f t="shared" ref="C78:AF78" si="12">SUMIF(C67:C77,"&gt;0")</f>
        <v>66.099999999999994</v>
      </c>
      <c r="D78" s="61">
        <f t="shared" si="12"/>
        <v>61.2</v>
      </c>
      <c r="E78" s="61">
        <f t="shared" si="12"/>
        <v>53.199999999999996</v>
      </c>
      <c r="F78" s="61">
        <f t="shared" si="12"/>
        <v>53.84</v>
      </c>
      <c r="G78" s="61">
        <f t="shared" si="12"/>
        <v>58.2</v>
      </c>
      <c r="H78" s="61">
        <f t="shared" si="12"/>
        <v>68.63</v>
      </c>
      <c r="I78" s="61">
        <f t="shared" si="12"/>
        <v>58.400000000000006</v>
      </c>
      <c r="J78" s="61">
        <f t="shared" si="12"/>
        <v>21.1</v>
      </c>
      <c r="K78" s="61">
        <f t="shared" si="12"/>
        <v>48.3</v>
      </c>
      <c r="L78" s="61">
        <f t="shared" si="12"/>
        <v>43.2</v>
      </c>
      <c r="M78" s="61">
        <f t="shared" si="12"/>
        <v>37.1</v>
      </c>
      <c r="N78" s="61">
        <f t="shared" si="12"/>
        <v>43</v>
      </c>
      <c r="O78" s="61">
        <f t="shared" si="12"/>
        <v>117.8</v>
      </c>
      <c r="P78" s="61">
        <f t="shared" si="12"/>
        <v>174.60000000000002</v>
      </c>
      <c r="Q78" s="61">
        <f t="shared" si="12"/>
        <v>193.7</v>
      </c>
      <c r="R78" s="61">
        <f t="shared" si="12"/>
        <v>194.5</v>
      </c>
      <c r="S78" s="61">
        <f t="shared" si="12"/>
        <v>221.7</v>
      </c>
      <c r="T78" s="61">
        <f t="shared" si="12"/>
        <v>195.7</v>
      </c>
      <c r="U78" s="61">
        <f t="shared" si="12"/>
        <v>197</v>
      </c>
      <c r="V78" s="61">
        <f t="shared" si="12"/>
        <v>56.9</v>
      </c>
      <c r="W78" s="61">
        <f t="shared" si="12"/>
        <v>53.4</v>
      </c>
      <c r="X78" s="61">
        <f t="shared" si="12"/>
        <v>50.2</v>
      </c>
      <c r="Y78" s="61">
        <f t="shared" si="12"/>
        <v>21.8</v>
      </c>
      <c r="Z78" s="61">
        <f t="shared" si="12"/>
        <v>44.2</v>
      </c>
      <c r="AA78" s="61">
        <f t="shared" si="12"/>
        <v>52.1</v>
      </c>
      <c r="AB78" s="61">
        <f t="shared" si="12"/>
        <v>46.9</v>
      </c>
      <c r="AC78" s="61">
        <f t="shared" si="12"/>
        <v>43</v>
      </c>
      <c r="AD78" s="61">
        <f t="shared" si="12"/>
        <v>40.200000000000003</v>
      </c>
      <c r="AE78" s="61">
        <f t="shared" si="12"/>
        <v>13.8</v>
      </c>
      <c r="AF78" s="61">
        <f t="shared" si="12"/>
        <v>21.6</v>
      </c>
      <c r="AG78" s="81">
        <f>SUM(AG67:AG77)</f>
        <v>0</v>
      </c>
      <c r="AH78" s="48">
        <f t="shared" si="2"/>
        <v>221.7</v>
      </c>
      <c r="AI78" s="49">
        <f t="shared" si="3"/>
        <v>13.8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/>
      <c r="AF80" s="77"/>
      <c r="AG80" s="75">
        <v>14.4</v>
      </c>
      <c r="AH80" s="48">
        <f t="shared" ref="AH80:AH113" si="13">MAX(B80:AF80)</f>
        <v>0</v>
      </c>
      <c r="AI80" s="49">
        <f t="shared" ref="AI80:AI113" si="14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>
        <v>0</v>
      </c>
      <c r="T81" s="79">
        <v>0</v>
      </c>
      <c r="U81" s="79">
        <v>0</v>
      </c>
      <c r="V81" s="79">
        <v>0</v>
      </c>
      <c r="W81" s="79">
        <v>0</v>
      </c>
      <c r="X81" s="79">
        <v>0</v>
      </c>
      <c r="Y81" s="79">
        <v>0</v>
      </c>
      <c r="Z81" s="79">
        <v>0</v>
      </c>
      <c r="AA81" s="79">
        <v>0</v>
      </c>
      <c r="AB81" s="79">
        <v>0</v>
      </c>
      <c r="AC81" s="79">
        <v>0</v>
      </c>
      <c r="AD81" s="79">
        <v>0</v>
      </c>
      <c r="AE81" s="79"/>
      <c r="AF81" s="79"/>
      <c r="AG81" s="80">
        <v>2</v>
      </c>
      <c r="AH81" s="48">
        <f t="shared" si="13"/>
        <v>0</v>
      </c>
      <c r="AI81" s="49">
        <f t="shared" si="14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3"/>
        <v>0</v>
      </c>
      <c r="AI82" s="49">
        <f t="shared" si="14"/>
        <v>0</v>
      </c>
    </row>
    <row r="83" spans="1:37" ht="15.75" thickBot="1" x14ac:dyDescent="0.3">
      <c r="A83" s="74" t="s">
        <v>87</v>
      </c>
      <c r="B83" s="83">
        <f t="shared" ref="B83" si="15">B44+B48+B66+B62+B78+B82</f>
        <v>1000.6400000000001</v>
      </c>
      <c r="C83" s="83">
        <f t="shared" ref="C83:AG83" si="16">C44+C48+C66+C62+C78+C82</f>
        <v>973.7399999999999</v>
      </c>
      <c r="D83" s="83">
        <f t="shared" si="16"/>
        <v>966.93999999999994</v>
      </c>
      <c r="E83" s="83">
        <f t="shared" si="16"/>
        <v>985.74</v>
      </c>
      <c r="F83" s="83">
        <f t="shared" si="16"/>
        <v>944.88</v>
      </c>
      <c r="G83" s="83">
        <f t="shared" si="16"/>
        <v>1022.1400000000001</v>
      </c>
      <c r="H83" s="83">
        <f t="shared" si="16"/>
        <v>1093.67</v>
      </c>
      <c r="I83" s="83">
        <f t="shared" si="16"/>
        <v>1187.54</v>
      </c>
      <c r="J83" s="83">
        <f t="shared" si="16"/>
        <v>1320.6399999999999</v>
      </c>
      <c r="K83" s="83">
        <f t="shared" si="16"/>
        <v>1486.9399999999998</v>
      </c>
      <c r="L83" s="83">
        <f t="shared" si="16"/>
        <v>1666.94</v>
      </c>
      <c r="M83" s="83">
        <f t="shared" si="16"/>
        <v>1662.4399999999998</v>
      </c>
      <c r="N83" s="83">
        <f t="shared" si="16"/>
        <v>1600.9399999999998</v>
      </c>
      <c r="O83" s="83">
        <f t="shared" si="16"/>
        <v>1388.34</v>
      </c>
      <c r="P83" s="83">
        <f t="shared" si="16"/>
        <v>1322.6399999999999</v>
      </c>
      <c r="Q83" s="83">
        <f t="shared" si="16"/>
        <v>1249.3400000000001</v>
      </c>
      <c r="R83" s="83">
        <f t="shared" si="16"/>
        <v>1168.44</v>
      </c>
      <c r="S83" s="83">
        <f t="shared" si="16"/>
        <v>1180.1400000000001</v>
      </c>
      <c r="T83" s="83">
        <f t="shared" si="16"/>
        <v>1226.5400000000002</v>
      </c>
      <c r="U83" s="83">
        <f t="shared" si="16"/>
        <v>1248.04</v>
      </c>
      <c r="V83" s="83">
        <f t="shared" si="16"/>
        <v>1331.14</v>
      </c>
      <c r="W83" s="83">
        <f t="shared" si="16"/>
        <v>1580.3400000000001</v>
      </c>
      <c r="X83" s="83">
        <f t="shared" si="16"/>
        <v>1673.74</v>
      </c>
      <c r="Y83" s="83">
        <f t="shared" si="16"/>
        <v>1591.34</v>
      </c>
      <c r="Z83" s="83">
        <f t="shared" si="16"/>
        <v>1497.74</v>
      </c>
      <c r="AA83" s="83">
        <f t="shared" si="16"/>
        <v>1415.94</v>
      </c>
      <c r="AB83" s="83">
        <f t="shared" si="16"/>
        <v>1390.64</v>
      </c>
      <c r="AC83" s="83">
        <f t="shared" si="16"/>
        <v>1350.6399999999999</v>
      </c>
      <c r="AD83" s="83">
        <f t="shared" si="16"/>
        <v>1180.9399999999998</v>
      </c>
      <c r="AE83" s="83">
        <f t="shared" si="16"/>
        <v>1030.4399999999998</v>
      </c>
      <c r="AF83" s="83">
        <f t="shared" si="16"/>
        <v>1015.6399999999999</v>
      </c>
      <c r="AG83" s="62">
        <f t="shared" si="16"/>
        <v>2004.1900000000003</v>
      </c>
      <c r="AH83" s="48">
        <f t="shared" si="13"/>
        <v>1673.74</v>
      </c>
      <c r="AI83" s="49">
        <f t="shared" si="14"/>
        <v>944.88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3"/>
        <v>0</v>
      </c>
      <c r="AI84" s="49">
        <f t="shared" si="14"/>
        <v>0</v>
      </c>
    </row>
    <row r="85" spans="1:37" ht="15.75" thickBot="1" x14ac:dyDescent="0.3">
      <c r="A85" s="74" t="s">
        <v>89</v>
      </c>
      <c r="B85" s="83">
        <f t="shared" ref="B85" si="17">B83+B84</f>
        <v>1000.6400000000001</v>
      </c>
      <c r="C85" s="83">
        <f t="shared" ref="C85:AF85" si="18">C83+C84</f>
        <v>973.7399999999999</v>
      </c>
      <c r="D85" s="83">
        <f t="shared" si="18"/>
        <v>966.93999999999994</v>
      </c>
      <c r="E85" s="83">
        <f t="shared" si="18"/>
        <v>985.74</v>
      </c>
      <c r="F85" s="83">
        <f t="shared" si="18"/>
        <v>944.88</v>
      </c>
      <c r="G85" s="83">
        <f t="shared" si="18"/>
        <v>1022.1400000000001</v>
      </c>
      <c r="H85" s="83">
        <f t="shared" si="18"/>
        <v>1093.67</v>
      </c>
      <c r="I85" s="83">
        <f t="shared" si="18"/>
        <v>1187.54</v>
      </c>
      <c r="J85" s="83">
        <f t="shared" si="18"/>
        <v>1320.6399999999999</v>
      </c>
      <c r="K85" s="83">
        <f t="shared" si="18"/>
        <v>1486.9399999999998</v>
      </c>
      <c r="L85" s="83">
        <f t="shared" si="18"/>
        <v>1666.94</v>
      </c>
      <c r="M85" s="83">
        <f t="shared" si="18"/>
        <v>1662.4399999999998</v>
      </c>
      <c r="N85" s="83">
        <f t="shared" si="18"/>
        <v>1600.9399999999998</v>
      </c>
      <c r="O85" s="83">
        <f t="shared" si="18"/>
        <v>1388.34</v>
      </c>
      <c r="P85" s="83">
        <f t="shared" si="18"/>
        <v>1322.6399999999999</v>
      </c>
      <c r="Q85" s="83">
        <f t="shared" si="18"/>
        <v>1249.3400000000001</v>
      </c>
      <c r="R85" s="83">
        <f t="shared" si="18"/>
        <v>1168.44</v>
      </c>
      <c r="S85" s="83">
        <f t="shared" si="18"/>
        <v>1180.1400000000001</v>
      </c>
      <c r="T85" s="83">
        <f t="shared" si="18"/>
        <v>1226.5400000000002</v>
      </c>
      <c r="U85" s="83">
        <f t="shared" si="18"/>
        <v>1248.04</v>
      </c>
      <c r="V85" s="83">
        <f t="shared" si="18"/>
        <v>1331.14</v>
      </c>
      <c r="W85" s="83">
        <f t="shared" si="18"/>
        <v>1580.3400000000001</v>
      </c>
      <c r="X85" s="83">
        <f t="shared" si="18"/>
        <v>1673.74</v>
      </c>
      <c r="Y85" s="83">
        <f t="shared" si="18"/>
        <v>1591.34</v>
      </c>
      <c r="Z85" s="83">
        <f t="shared" si="18"/>
        <v>1497.74</v>
      </c>
      <c r="AA85" s="83">
        <f t="shared" si="18"/>
        <v>1415.94</v>
      </c>
      <c r="AB85" s="83">
        <f t="shared" si="18"/>
        <v>1390.64</v>
      </c>
      <c r="AC85" s="83">
        <f t="shared" si="18"/>
        <v>1350.6399999999999</v>
      </c>
      <c r="AD85" s="83">
        <f t="shared" si="18"/>
        <v>1180.9399999999998</v>
      </c>
      <c r="AE85" s="83">
        <f t="shared" si="18"/>
        <v>1030.4399999999998</v>
      </c>
      <c r="AF85" s="83">
        <f t="shared" si="18"/>
        <v>1015.6399999999999</v>
      </c>
      <c r="AG85" s="81">
        <f>AG82+AG78+AG66+AG62+AG44+AG84</f>
        <v>1466.0900000000001</v>
      </c>
      <c r="AH85" s="48">
        <f t="shared" si="13"/>
        <v>1673.74</v>
      </c>
      <c r="AI85" s="49">
        <f t="shared" si="14"/>
        <v>944.88</v>
      </c>
    </row>
    <row r="86" spans="1:37" ht="15.75" thickBot="1" x14ac:dyDescent="0.3">
      <c r="A86" s="74" t="s">
        <v>90</v>
      </c>
      <c r="B86" s="83">
        <f t="shared" ref="B86" si="19">B85-B93</f>
        <v>1000.6400000000001</v>
      </c>
      <c r="C86" s="83">
        <f t="shared" ref="C86:AF86" si="20">C85-C93</f>
        <v>973.7399999999999</v>
      </c>
      <c r="D86" s="83">
        <f t="shared" si="20"/>
        <v>966.93999999999994</v>
      </c>
      <c r="E86" s="83">
        <f t="shared" si="20"/>
        <v>985.74</v>
      </c>
      <c r="F86" s="83">
        <f t="shared" si="20"/>
        <v>944.88</v>
      </c>
      <c r="G86" s="83">
        <f t="shared" si="20"/>
        <v>1022.1400000000001</v>
      </c>
      <c r="H86" s="83">
        <f t="shared" si="20"/>
        <v>1093.67</v>
      </c>
      <c r="I86" s="83">
        <f t="shared" si="20"/>
        <v>1187.54</v>
      </c>
      <c r="J86" s="83">
        <f t="shared" si="20"/>
        <v>1320.6399999999999</v>
      </c>
      <c r="K86" s="83">
        <f t="shared" si="20"/>
        <v>1437.9399999999998</v>
      </c>
      <c r="L86" s="83">
        <f t="shared" si="20"/>
        <v>1544.94</v>
      </c>
      <c r="M86" s="83">
        <f t="shared" si="20"/>
        <v>1536.0399999999997</v>
      </c>
      <c r="N86" s="83">
        <f t="shared" si="20"/>
        <v>1476.9399999999998</v>
      </c>
      <c r="O86" s="83">
        <f t="shared" si="20"/>
        <v>1388.34</v>
      </c>
      <c r="P86" s="83">
        <f t="shared" si="20"/>
        <v>1322.6399999999999</v>
      </c>
      <c r="Q86" s="83">
        <f t="shared" si="20"/>
        <v>1249.3400000000001</v>
      </c>
      <c r="R86" s="83">
        <f t="shared" si="20"/>
        <v>1168.44</v>
      </c>
      <c r="S86" s="83">
        <f t="shared" si="20"/>
        <v>1180.1400000000001</v>
      </c>
      <c r="T86" s="83">
        <f t="shared" si="20"/>
        <v>1226.5400000000002</v>
      </c>
      <c r="U86" s="83">
        <f t="shared" si="20"/>
        <v>1248.04</v>
      </c>
      <c r="V86" s="83">
        <f t="shared" si="20"/>
        <v>1321.8400000000001</v>
      </c>
      <c r="W86" s="83">
        <f t="shared" si="20"/>
        <v>1520.3400000000001</v>
      </c>
      <c r="X86" s="83">
        <f t="shared" si="20"/>
        <v>1537.14</v>
      </c>
      <c r="Y86" s="83">
        <f t="shared" si="20"/>
        <v>1460.34</v>
      </c>
      <c r="Z86" s="83">
        <f t="shared" si="20"/>
        <v>1387.74</v>
      </c>
      <c r="AA86" s="83">
        <f t="shared" si="20"/>
        <v>1357.94</v>
      </c>
      <c r="AB86" s="83">
        <f t="shared" si="20"/>
        <v>1301.6400000000001</v>
      </c>
      <c r="AC86" s="83">
        <f t="shared" si="20"/>
        <v>1253.6399999999999</v>
      </c>
      <c r="AD86" s="83">
        <f t="shared" si="20"/>
        <v>1180.9399999999998</v>
      </c>
      <c r="AE86" s="83">
        <f t="shared" si="20"/>
        <v>1030.4399999999998</v>
      </c>
      <c r="AF86" s="83">
        <f t="shared" si="20"/>
        <v>1015.6399999999999</v>
      </c>
      <c r="AG86" s="81"/>
      <c r="AH86" s="48">
        <f t="shared" si="13"/>
        <v>1544.94</v>
      </c>
      <c r="AI86" s="49">
        <f t="shared" si="14"/>
        <v>944.88</v>
      </c>
    </row>
    <row r="87" spans="1:37" x14ac:dyDescent="0.25">
      <c r="A87" s="44" t="s">
        <v>74</v>
      </c>
      <c r="B87" s="76">
        <f t="shared" ref="B87" si="21">IF(B70&lt;0,B70*-1,0)</f>
        <v>0</v>
      </c>
      <c r="C87" s="76">
        <f t="shared" ref="C87:AF87" si="22">IF(C70&lt;0,C70*-1,0)</f>
        <v>0</v>
      </c>
      <c r="D87" s="76">
        <f t="shared" si="22"/>
        <v>0</v>
      </c>
      <c r="E87" s="76">
        <f t="shared" si="22"/>
        <v>0</v>
      </c>
      <c r="F87" s="76">
        <f t="shared" si="22"/>
        <v>0</v>
      </c>
      <c r="G87" s="76">
        <f t="shared" si="22"/>
        <v>0</v>
      </c>
      <c r="H87" s="76">
        <f t="shared" si="22"/>
        <v>0</v>
      </c>
      <c r="I87" s="76">
        <f t="shared" si="22"/>
        <v>0</v>
      </c>
      <c r="J87" s="76">
        <f t="shared" si="22"/>
        <v>0</v>
      </c>
      <c r="K87" s="76">
        <f t="shared" si="22"/>
        <v>0</v>
      </c>
      <c r="L87" s="76">
        <f t="shared" si="22"/>
        <v>0</v>
      </c>
      <c r="M87" s="76">
        <f t="shared" si="22"/>
        <v>0</v>
      </c>
      <c r="N87" s="76">
        <f t="shared" si="22"/>
        <v>0</v>
      </c>
      <c r="O87" s="76">
        <f t="shared" si="22"/>
        <v>0</v>
      </c>
      <c r="P87" s="76">
        <f t="shared" si="22"/>
        <v>0</v>
      </c>
      <c r="Q87" s="76">
        <f t="shared" si="22"/>
        <v>0</v>
      </c>
      <c r="R87" s="76">
        <f t="shared" si="22"/>
        <v>0</v>
      </c>
      <c r="S87" s="76">
        <f t="shared" si="22"/>
        <v>0</v>
      </c>
      <c r="T87" s="76">
        <f t="shared" si="22"/>
        <v>0</v>
      </c>
      <c r="U87" s="76">
        <f t="shared" si="22"/>
        <v>0</v>
      </c>
      <c r="V87" s="76">
        <f t="shared" si="22"/>
        <v>0</v>
      </c>
      <c r="W87" s="76">
        <f t="shared" si="22"/>
        <v>0</v>
      </c>
      <c r="X87" s="76">
        <f t="shared" si="22"/>
        <v>0</v>
      </c>
      <c r="Y87" s="76">
        <f t="shared" si="22"/>
        <v>0</v>
      </c>
      <c r="Z87" s="76">
        <f t="shared" si="22"/>
        <v>0</v>
      </c>
      <c r="AA87" s="76">
        <f t="shared" si="22"/>
        <v>0</v>
      </c>
      <c r="AB87" s="76">
        <f t="shared" si="22"/>
        <v>0</v>
      </c>
      <c r="AC87" s="76">
        <f t="shared" si="22"/>
        <v>0</v>
      </c>
      <c r="AD87" s="76">
        <f t="shared" si="22"/>
        <v>0</v>
      </c>
      <c r="AE87" s="76">
        <f t="shared" si="22"/>
        <v>0</v>
      </c>
      <c r="AF87" s="76">
        <f t="shared" si="22"/>
        <v>0</v>
      </c>
      <c r="AG87" s="52"/>
      <c r="AH87" s="48">
        <f t="shared" si="13"/>
        <v>0</v>
      </c>
      <c r="AI87" s="49">
        <f t="shared" si="14"/>
        <v>0</v>
      </c>
    </row>
    <row r="88" spans="1:37" x14ac:dyDescent="0.25">
      <c r="A88" s="54" t="s">
        <v>72</v>
      </c>
      <c r="B88" s="76">
        <f t="shared" ref="B88" si="23">IF(B68&lt;0,B68*-1,0)</f>
        <v>0</v>
      </c>
      <c r="C88" s="76">
        <f t="shared" ref="C88:AF88" si="24">IF(C68&lt;0,C68*-1,0)</f>
        <v>0</v>
      </c>
      <c r="D88" s="76">
        <f t="shared" si="24"/>
        <v>0</v>
      </c>
      <c r="E88" s="76">
        <f t="shared" si="24"/>
        <v>0</v>
      </c>
      <c r="F88" s="76">
        <f t="shared" si="24"/>
        <v>0</v>
      </c>
      <c r="G88" s="76">
        <f t="shared" si="24"/>
        <v>0</v>
      </c>
      <c r="H88" s="76">
        <f t="shared" si="24"/>
        <v>0</v>
      </c>
      <c r="I88" s="76">
        <f t="shared" si="24"/>
        <v>0</v>
      </c>
      <c r="J88" s="76">
        <f t="shared" si="24"/>
        <v>0</v>
      </c>
      <c r="K88" s="76">
        <f t="shared" si="24"/>
        <v>0</v>
      </c>
      <c r="L88" s="76">
        <f t="shared" si="24"/>
        <v>0</v>
      </c>
      <c r="M88" s="76">
        <f t="shared" si="24"/>
        <v>0</v>
      </c>
      <c r="N88" s="76">
        <f t="shared" si="24"/>
        <v>0</v>
      </c>
      <c r="O88" s="76">
        <f t="shared" si="24"/>
        <v>0</v>
      </c>
      <c r="P88" s="76">
        <f t="shared" si="24"/>
        <v>0</v>
      </c>
      <c r="Q88" s="76">
        <f t="shared" si="24"/>
        <v>0</v>
      </c>
      <c r="R88" s="76">
        <f t="shared" si="24"/>
        <v>0</v>
      </c>
      <c r="S88" s="76">
        <f t="shared" si="24"/>
        <v>0</v>
      </c>
      <c r="T88" s="76">
        <f t="shared" si="24"/>
        <v>0</v>
      </c>
      <c r="U88" s="76">
        <f t="shared" si="24"/>
        <v>0</v>
      </c>
      <c r="V88" s="76">
        <f t="shared" si="24"/>
        <v>0</v>
      </c>
      <c r="W88" s="76">
        <f t="shared" si="24"/>
        <v>0</v>
      </c>
      <c r="X88" s="76">
        <f t="shared" si="24"/>
        <v>0</v>
      </c>
      <c r="Y88" s="76">
        <f t="shared" si="24"/>
        <v>0</v>
      </c>
      <c r="Z88" s="76">
        <f t="shared" si="24"/>
        <v>0</v>
      </c>
      <c r="AA88" s="76">
        <f t="shared" si="24"/>
        <v>0</v>
      </c>
      <c r="AB88" s="76">
        <f t="shared" si="24"/>
        <v>0</v>
      </c>
      <c r="AC88" s="76">
        <f t="shared" si="24"/>
        <v>0</v>
      </c>
      <c r="AD88" s="76">
        <f t="shared" si="24"/>
        <v>0</v>
      </c>
      <c r="AE88" s="76">
        <f t="shared" si="24"/>
        <v>0</v>
      </c>
      <c r="AF88" s="76">
        <f t="shared" si="24"/>
        <v>0</v>
      </c>
      <c r="AG88" s="55"/>
      <c r="AH88" s="48">
        <f t="shared" si="13"/>
        <v>0</v>
      </c>
      <c r="AI88" s="49">
        <f t="shared" si="14"/>
        <v>0</v>
      </c>
    </row>
    <row r="89" spans="1:37" x14ac:dyDescent="0.25">
      <c r="A89" s="78" t="s">
        <v>91</v>
      </c>
      <c r="B89" s="76">
        <f t="shared" ref="B89" si="25">IF(B71&lt;0,B71*-1,0)</f>
        <v>0</v>
      </c>
      <c r="C89" s="76">
        <f t="shared" ref="C89:AF89" si="26">IF(C71&lt;0,C71*-1,0)</f>
        <v>0</v>
      </c>
      <c r="D89" s="76">
        <f t="shared" si="26"/>
        <v>0</v>
      </c>
      <c r="E89" s="76">
        <f t="shared" si="26"/>
        <v>0</v>
      </c>
      <c r="F89" s="76">
        <f t="shared" si="26"/>
        <v>0</v>
      </c>
      <c r="G89" s="76">
        <f t="shared" si="26"/>
        <v>0</v>
      </c>
      <c r="H89" s="76">
        <f t="shared" si="26"/>
        <v>0</v>
      </c>
      <c r="I89" s="76">
        <f t="shared" si="26"/>
        <v>0</v>
      </c>
      <c r="J89" s="76">
        <f t="shared" si="26"/>
        <v>0</v>
      </c>
      <c r="K89" s="76">
        <f t="shared" si="26"/>
        <v>0</v>
      </c>
      <c r="L89" s="76">
        <f t="shared" si="26"/>
        <v>0</v>
      </c>
      <c r="M89" s="76">
        <f t="shared" si="26"/>
        <v>0</v>
      </c>
      <c r="N89" s="76">
        <f t="shared" si="26"/>
        <v>0</v>
      </c>
      <c r="O89" s="76">
        <f t="shared" si="26"/>
        <v>0</v>
      </c>
      <c r="P89" s="76">
        <f t="shared" si="26"/>
        <v>0</v>
      </c>
      <c r="Q89" s="76">
        <f t="shared" si="26"/>
        <v>0</v>
      </c>
      <c r="R89" s="76">
        <f t="shared" si="26"/>
        <v>0</v>
      </c>
      <c r="S89" s="76">
        <f t="shared" si="26"/>
        <v>0</v>
      </c>
      <c r="T89" s="76">
        <f t="shared" si="26"/>
        <v>0</v>
      </c>
      <c r="U89" s="76">
        <f t="shared" si="26"/>
        <v>0</v>
      </c>
      <c r="V89" s="76">
        <f t="shared" si="26"/>
        <v>0</v>
      </c>
      <c r="W89" s="76">
        <f t="shared" si="26"/>
        <v>0</v>
      </c>
      <c r="X89" s="76">
        <f t="shared" si="26"/>
        <v>0</v>
      </c>
      <c r="Y89" s="76">
        <f t="shared" si="26"/>
        <v>0</v>
      </c>
      <c r="Z89" s="76">
        <f t="shared" si="26"/>
        <v>0</v>
      </c>
      <c r="AA89" s="76">
        <f t="shared" si="26"/>
        <v>0</v>
      </c>
      <c r="AB89" s="76">
        <f t="shared" si="26"/>
        <v>0</v>
      </c>
      <c r="AC89" s="76">
        <f t="shared" si="26"/>
        <v>0</v>
      </c>
      <c r="AD89" s="76">
        <f t="shared" si="26"/>
        <v>0</v>
      </c>
      <c r="AE89" s="76">
        <f t="shared" si="26"/>
        <v>0</v>
      </c>
      <c r="AF89" s="76">
        <f t="shared" si="26"/>
        <v>0</v>
      </c>
      <c r="AG89" s="86"/>
      <c r="AH89" s="48">
        <f t="shared" si="13"/>
        <v>0</v>
      </c>
      <c r="AI89" s="49">
        <f t="shared" si="14"/>
        <v>0</v>
      </c>
    </row>
    <row r="90" spans="1:37" x14ac:dyDescent="0.25">
      <c r="A90" s="78" t="s">
        <v>92</v>
      </c>
      <c r="B90" s="76">
        <f t="shared" ref="B90" si="27">IF(B69&lt;0,B69*-1,0)</f>
        <v>0</v>
      </c>
      <c r="C90" s="76">
        <f t="shared" ref="C90:AF90" si="28">IF(C69&lt;0,C69*-1,0)</f>
        <v>0</v>
      </c>
      <c r="D90" s="76">
        <f t="shared" si="28"/>
        <v>0</v>
      </c>
      <c r="E90" s="76">
        <f t="shared" si="28"/>
        <v>0</v>
      </c>
      <c r="F90" s="76">
        <f t="shared" si="28"/>
        <v>0</v>
      </c>
      <c r="G90" s="76">
        <f t="shared" si="28"/>
        <v>0</v>
      </c>
      <c r="H90" s="76">
        <f t="shared" si="28"/>
        <v>0</v>
      </c>
      <c r="I90" s="76">
        <f t="shared" si="28"/>
        <v>0</v>
      </c>
      <c r="J90" s="76">
        <f t="shared" si="28"/>
        <v>0</v>
      </c>
      <c r="K90" s="76">
        <f t="shared" si="28"/>
        <v>49</v>
      </c>
      <c r="L90" s="76">
        <f t="shared" si="28"/>
        <v>122</v>
      </c>
      <c r="M90" s="76">
        <f t="shared" si="28"/>
        <v>126.4</v>
      </c>
      <c r="N90" s="76">
        <f t="shared" si="28"/>
        <v>124</v>
      </c>
      <c r="O90" s="76">
        <f t="shared" si="28"/>
        <v>0</v>
      </c>
      <c r="P90" s="76">
        <f t="shared" si="28"/>
        <v>0</v>
      </c>
      <c r="Q90" s="76">
        <f t="shared" si="28"/>
        <v>0</v>
      </c>
      <c r="R90" s="76">
        <f t="shared" si="28"/>
        <v>0</v>
      </c>
      <c r="S90" s="76">
        <f t="shared" si="28"/>
        <v>0</v>
      </c>
      <c r="T90" s="76">
        <f t="shared" si="28"/>
        <v>0</v>
      </c>
      <c r="U90" s="76">
        <f t="shared" si="28"/>
        <v>0</v>
      </c>
      <c r="V90" s="76">
        <f t="shared" si="28"/>
        <v>9.3000000000000007</v>
      </c>
      <c r="W90" s="76">
        <f t="shared" si="28"/>
        <v>60</v>
      </c>
      <c r="X90" s="76">
        <f t="shared" si="28"/>
        <v>136.6</v>
      </c>
      <c r="Y90" s="76">
        <f t="shared" si="28"/>
        <v>131</v>
      </c>
      <c r="Z90" s="76">
        <f t="shared" si="28"/>
        <v>110</v>
      </c>
      <c r="AA90" s="76">
        <f t="shared" si="28"/>
        <v>58</v>
      </c>
      <c r="AB90" s="76">
        <f t="shared" si="28"/>
        <v>89</v>
      </c>
      <c r="AC90" s="76">
        <f t="shared" si="28"/>
        <v>97</v>
      </c>
      <c r="AD90" s="76">
        <f t="shared" si="28"/>
        <v>0</v>
      </c>
      <c r="AE90" s="76">
        <f t="shared" si="28"/>
        <v>0</v>
      </c>
      <c r="AF90" s="76">
        <f t="shared" si="28"/>
        <v>0</v>
      </c>
      <c r="AG90" s="86"/>
      <c r="AH90" s="48">
        <f t="shared" si="13"/>
        <v>136.6</v>
      </c>
      <c r="AI90" s="49">
        <f t="shared" si="14"/>
        <v>0</v>
      </c>
    </row>
    <row r="91" spans="1:37" x14ac:dyDescent="0.25">
      <c r="A91" s="78" t="s">
        <v>71</v>
      </c>
      <c r="B91" s="76">
        <f t="shared" ref="B91" si="29">IF(B67&lt;0,B67*-1,0)</f>
        <v>0</v>
      </c>
      <c r="C91" s="76">
        <f t="shared" ref="C91:AF91" si="30">IF(C67&lt;0,C67*-1,0)</f>
        <v>0</v>
      </c>
      <c r="D91" s="76">
        <f t="shared" si="30"/>
        <v>0</v>
      </c>
      <c r="E91" s="76">
        <f t="shared" si="30"/>
        <v>0</v>
      </c>
      <c r="F91" s="76">
        <f t="shared" si="30"/>
        <v>0</v>
      </c>
      <c r="G91" s="76">
        <f t="shared" si="30"/>
        <v>0</v>
      </c>
      <c r="H91" s="76">
        <f t="shared" si="30"/>
        <v>0</v>
      </c>
      <c r="I91" s="76">
        <f t="shared" si="30"/>
        <v>0</v>
      </c>
      <c r="J91" s="76">
        <f t="shared" si="30"/>
        <v>0</v>
      </c>
      <c r="K91" s="76">
        <f t="shared" si="30"/>
        <v>0</v>
      </c>
      <c r="L91" s="76">
        <f t="shared" si="30"/>
        <v>0</v>
      </c>
      <c r="M91" s="76">
        <f t="shared" si="30"/>
        <v>0</v>
      </c>
      <c r="N91" s="76">
        <f t="shared" si="30"/>
        <v>0</v>
      </c>
      <c r="O91" s="76">
        <f t="shared" si="30"/>
        <v>0</v>
      </c>
      <c r="P91" s="76">
        <f t="shared" si="30"/>
        <v>0</v>
      </c>
      <c r="Q91" s="76">
        <f t="shared" si="30"/>
        <v>0</v>
      </c>
      <c r="R91" s="76">
        <f t="shared" si="30"/>
        <v>0</v>
      </c>
      <c r="S91" s="76">
        <f t="shared" si="30"/>
        <v>0</v>
      </c>
      <c r="T91" s="76">
        <f t="shared" si="30"/>
        <v>0</v>
      </c>
      <c r="U91" s="76">
        <f t="shared" si="30"/>
        <v>0</v>
      </c>
      <c r="V91" s="76">
        <f t="shared" si="30"/>
        <v>0</v>
      </c>
      <c r="W91" s="76">
        <f t="shared" si="30"/>
        <v>0</v>
      </c>
      <c r="X91" s="76">
        <f t="shared" si="30"/>
        <v>0</v>
      </c>
      <c r="Y91" s="76">
        <f t="shared" si="30"/>
        <v>0</v>
      </c>
      <c r="Z91" s="76">
        <f t="shared" si="30"/>
        <v>0</v>
      </c>
      <c r="AA91" s="76">
        <f t="shared" si="30"/>
        <v>0</v>
      </c>
      <c r="AB91" s="76">
        <f t="shared" si="30"/>
        <v>0</v>
      </c>
      <c r="AC91" s="76">
        <f t="shared" si="30"/>
        <v>0</v>
      </c>
      <c r="AD91" s="76">
        <f t="shared" si="30"/>
        <v>0</v>
      </c>
      <c r="AE91" s="76">
        <f t="shared" si="30"/>
        <v>0</v>
      </c>
      <c r="AF91" s="76">
        <f t="shared" si="30"/>
        <v>0</v>
      </c>
      <c r="AG91" s="86"/>
      <c r="AH91" s="48">
        <f t="shared" si="13"/>
        <v>0</v>
      </c>
      <c r="AI91" s="49">
        <f t="shared" si="14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3"/>
        <v>0</v>
      </c>
      <c r="AI92" s="49">
        <f t="shared" si="14"/>
        <v>0</v>
      </c>
    </row>
    <row r="93" spans="1:37" ht="15.75" thickBot="1" x14ac:dyDescent="0.3">
      <c r="A93" s="87" t="s">
        <v>94</v>
      </c>
      <c r="B93" s="61">
        <f t="shared" ref="B93" si="31">SUM(B87:B92)</f>
        <v>0</v>
      </c>
      <c r="C93" s="61">
        <f t="shared" ref="C93:AF93" si="32">SUM(C87:C92)</f>
        <v>0</v>
      </c>
      <c r="D93" s="61">
        <f t="shared" si="32"/>
        <v>0</v>
      </c>
      <c r="E93" s="61">
        <f t="shared" si="32"/>
        <v>0</v>
      </c>
      <c r="F93" s="61">
        <f t="shared" si="32"/>
        <v>0</v>
      </c>
      <c r="G93" s="61">
        <f t="shared" si="32"/>
        <v>0</v>
      </c>
      <c r="H93" s="61">
        <f t="shared" si="32"/>
        <v>0</v>
      </c>
      <c r="I93" s="61">
        <f t="shared" si="32"/>
        <v>0</v>
      </c>
      <c r="J93" s="61">
        <f t="shared" si="32"/>
        <v>0</v>
      </c>
      <c r="K93" s="61">
        <f t="shared" si="32"/>
        <v>49</v>
      </c>
      <c r="L93" s="61">
        <f t="shared" si="32"/>
        <v>122</v>
      </c>
      <c r="M93" s="61">
        <f t="shared" si="32"/>
        <v>126.4</v>
      </c>
      <c r="N93" s="61">
        <f t="shared" si="32"/>
        <v>124</v>
      </c>
      <c r="O93" s="61">
        <f t="shared" si="32"/>
        <v>0</v>
      </c>
      <c r="P93" s="61">
        <f t="shared" si="32"/>
        <v>0</v>
      </c>
      <c r="Q93" s="61">
        <f t="shared" si="32"/>
        <v>0</v>
      </c>
      <c r="R93" s="61">
        <f t="shared" si="32"/>
        <v>0</v>
      </c>
      <c r="S93" s="61">
        <f t="shared" si="32"/>
        <v>0</v>
      </c>
      <c r="T93" s="61">
        <f t="shared" si="32"/>
        <v>0</v>
      </c>
      <c r="U93" s="61">
        <f t="shared" si="32"/>
        <v>0</v>
      </c>
      <c r="V93" s="61">
        <f t="shared" si="32"/>
        <v>9.3000000000000007</v>
      </c>
      <c r="W93" s="61">
        <f t="shared" si="32"/>
        <v>60</v>
      </c>
      <c r="X93" s="61">
        <f t="shared" si="32"/>
        <v>136.6</v>
      </c>
      <c r="Y93" s="61">
        <f t="shared" si="32"/>
        <v>131</v>
      </c>
      <c r="Z93" s="61">
        <f t="shared" si="32"/>
        <v>110</v>
      </c>
      <c r="AA93" s="61">
        <f t="shared" si="32"/>
        <v>58</v>
      </c>
      <c r="AB93" s="61">
        <f t="shared" si="32"/>
        <v>89</v>
      </c>
      <c r="AC93" s="61">
        <f t="shared" si="32"/>
        <v>97</v>
      </c>
      <c r="AD93" s="61">
        <f t="shared" si="32"/>
        <v>0</v>
      </c>
      <c r="AE93" s="61">
        <f t="shared" si="32"/>
        <v>0</v>
      </c>
      <c r="AF93" s="61">
        <f t="shared" si="32"/>
        <v>0</v>
      </c>
      <c r="AG93" s="81"/>
      <c r="AH93" s="48">
        <f t="shared" si="13"/>
        <v>136.6</v>
      </c>
      <c r="AI93" s="49">
        <f t="shared" si="14"/>
        <v>0</v>
      </c>
      <c r="AK93" s="50"/>
    </row>
    <row r="94" spans="1:37" ht="15.75" thickBot="1" x14ac:dyDescent="0.3">
      <c r="A94" s="74" t="s">
        <v>95</v>
      </c>
      <c r="B94" s="61">
        <f t="shared" ref="B94" si="33">B78-B93</f>
        <v>23.7</v>
      </c>
      <c r="C94" s="61">
        <f t="shared" ref="C94:AF94" si="34">C78-C93</f>
        <v>66.099999999999994</v>
      </c>
      <c r="D94" s="61">
        <f t="shared" si="34"/>
        <v>61.2</v>
      </c>
      <c r="E94" s="61">
        <f t="shared" si="34"/>
        <v>53.199999999999996</v>
      </c>
      <c r="F94" s="61">
        <f t="shared" si="34"/>
        <v>53.84</v>
      </c>
      <c r="G94" s="61">
        <f t="shared" si="34"/>
        <v>58.2</v>
      </c>
      <c r="H94" s="61">
        <f t="shared" si="34"/>
        <v>68.63</v>
      </c>
      <c r="I94" s="61">
        <f t="shared" si="34"/>
        <v>58.400000000000006</v>
      </c>
      <c r="J94" s="61">
        <f t="shared" si="34"/>
        <v>21.1</v>
      </c>
      <c r="K94" s="61">
        <f t="shared" si="34"/>
        <v>-0.70000000000000284</v>
      </c>
      <c r="L94" s="61">
        <f t="shared" si="34"/>
        <v>-78.8</v>
      </c>
      <c r="M94" s="61">
        <f t="shared" si="34"/>
        <v>-89.300000000000011</v>
      </c>
      <c r="N94" s="61">
        <f t="shared" si="34"/>
        <v>-81</v>
      </c>
      <c r="O94" s="61">
        <f t="shared" si="34"/>
        <v>117.8</v>
      </c>
      <c r="P94" s="61">
        <f t="shared" si="34"/>
        <v>174.60000000000002</v>
      </c>
      <c r="Q94" s="61">
        <f t="shared" si="34"/>
        <v>193.7</v>
      </c>
      <c r="R94" s="61">
        <f t="shared" si="34"/>
        <v>194.5</v>
      </c>
      <c r="S94" s="61">
        <f t="shared" si="34"/>
        <v>221.7</v>
      </c>
      <c r="T94" s="61">
        <f t="shared" si="34"/>
        <v>195.7</v>
      </c>
      <c r="U94" s="61">
        <f t="shared" si="34"/>
        <v>197</v>
      </c>
      <c r="V94" s="61">
        <f t="shared" si="34"/>
        <v>47.599999999999994</v>
      </c>
      <c r="W94" s="61">
        <f t="shared" si="34"/>
        <v>-6.6000000000000014</v>
      </c>
      <c r="X94" s="61">
        <f t="shared" si="34"/>
        <v>-86.399999999999991</v>
      </c>
      <c r="Y94" s="61">
        <f t="shared" si="34"/>
        <v>-109.2</v>
      </c>
      <c r="Z94" s="61">
        <f t="shared" si="34"/>
        <v>-65.8</v>
      </c>
      <c r="AA94" s="61">
        <f t="shared" si="34"/>
        <v>-5.8999999999999986</v>
      </c>
      <c r="AB94" s="61">
        <f t="shared" si="34"/>
        <v>-42.1</v>
      </c>
      <c r="AC94" s="61">
        <f t="shared" si="34"/>
        <v>-54</v>
      </c>
      <c r="AD94" s="61">
        <f t="shared" si="34"/>
        <v>40.200000000000003</v>
      </c>
      <c r="AE94" s="61">
        <f t="shared" si="34"/>
        <v>13.8</v>
      </c>
      <c r="AF94" s="61">
        <f t="shared" si="34"/>
        <v>21.6</v>
      </c>
      <c r="AG94" s="81"/>
      <c r="AH94" s="48">
        <f t="shared" si="13"/>
        <v>221.7</v>
      </c>
      <c r="AI94" s="49">
        <f t="shared" si="14"/>
        <v>-109.2</v>
      </c>
    </row>
    <row r="95" spans="1:37" x14ac:dyDescent="0.25">
      <c r="A95" s="88" t="s">
        <v>96</v>
      </c>
      <c r="B95" s="89">
        <v>50.18</v>
      </c>
      <c r="C95" s="89">
        <v>49.92</v>
      </c>
      <c r="D95" s="89">
        <v>50</v>
      </c>
      <c r="E95" s="89">
        <v>49.648000000000003</v>
      </c>
      <c r="F95" s="89">
        <v>50.045999999999999</v>
      </c>
      <c r="G95" s="89">
        <v>49.966000000000001</v>
      </c>
      <c r="H95" s="89">
        <v>50.012999999999998</v>
      </c>
      <c r="I95" s="89">
        <v>50.058999999999997</v>
      </c>
      <c r="J95" s="89">
        <v>50.078000000000003</v>
      </c>
      <c r="K95" s="89">
        <v>50.277999999999999</v>
      </c>
      <c r="L95" s="89">
        <v>50.127000000000002</v>
      </c>
      <c r="M95" s="89">
        <v>50</v>
      </c>
      <c r="N95" s="89">
        <v>49.988999999999997</v>
      </c>
      <c r="O95" s="89">
        <v>49.994</v>
      </c>
      <c r="P95" s="89">
        <v>50.015000000000001</v>
      </c>
      <c r="Q95" s="89">
        <v>50.088999999999999</v>
      </c>
      <c r="R95" s="89">
        <v>49.951000000000001</v>
      </c>
      <c r="S95" s="89">
        <v>49.97</v>
      </c>
      <c r="T95" s="89">
        <v>49.774000000000001</v>
      </c>
      <c r="U95" s="89">
        <v>49.996000000000002</v>
      </c>
      <c r="V95" s="89">
        <v>49.96</v>
      </c>
      <c r="W95" s="89">
        <v>49.938000000000002</v>
      </c>
      <c r="X95" s="89">
        <v>50.036999999999999</v>
      </c>
      <c r="Y95" s="89">
        <v>49.895000000000003</v>
      </c>
      <c r="Z95" s="89">
        <v>50.1</v>
      </c>
      <c r="AA95" s="89">
        <v>49.8</v>
      </c>
      <c r="AB95" s="89">
        <v>50.055999999999997</v>
      </c>
      <c r="AC95" s="89">
        <v>49.905999999999999</v>
      </c>
      <c r="AD95" s="89">
        <v>49.92</v>
      </c>
      <c r="AE95" s="89">
        <v>50.075000000000003</v>
      </c>
      <c r="AF95" s="89">
        <v>49.939</v>
      </c>
      <c r="AG95" s="90"/>
      <c r="AH95" s="48">
        <f t="shared" si="13"/>
        <v>50.277999999999999</v>
      </c>
      <c r="AI95" s="49">
        <f t="shared" si="14"/>
        <v>49.648000000000003</v>
      </c>
    </row>
    <row r="96" spans="1:37" x14ac:dyDescent="0.25">
      <c r="A96" s="91" t="s">
        <v>97</v>
      </c>
      <c r="B96" s="65">
        <v>129</v>
      </c>
      <c r="C96" s="65">
        <v>129.19999999999999</v>
      </c>
      <c r="D96" s="65">
        <v>129.5</v>
      </c>
      <c r="E96" s="65">
        <v>129.4</v>
      </c>
      <c r="F96" s="65">
        <v>129.9</v>
      </c>
      <c r="G96" s="65">
        <v>127.9</v>
      </c>
      <c r="H96" s="65">
        <v>128</v>
      </c>
      <c r="I96" s="65">
        <v>127.8</v>
      </c>
      <c r="J96" s="65">
        <v>123.4</v>
      </c>
      <c r="K96" s="65">
        <v>125.2</v>
      </c>
      <c r="L96" s="65">
        <v>125.6</v>
      </c>
      <c r="M96" s="65">
        <v>125.9</v>
      </c>
      <c r="N96" s="65">
        <v>125.4</v>
      </c>
      <c r="O96" s="65">
        <v>124.4</v>
      </c>
      <c r="P96" s="65">
        <v>126.7</v>
      </c>
      <c r="Q96" s="65">
        <v>126.7</v>
      </c>
      <c r="R96" s="65">
        <v>126</v>
      </c>
      <c r="S96" s="65">
        <v>125.1</v>
      </c>
      <c r="T96" s="65">
        <v>126.3</v>
      </c>
      <c r="U96" s="65">
        <v>126.1</v>
      </c>
      <c r="V96" s="65">
        <v>129.19999999999999</v>
      </c>
      <c r="W96" s="65">
        <v>128.5</v>
      </c>
      <c r="X96" s="65">
        <v>127.7</v>
      </c>
      <c r="Y96" s="65">
        <v>128.30000000000001</v>
      </c>
      <c r="Z96" s="65">
        <v>129.4</v>
      </c>
      <c r="AA96" s="65">
        <v>129.19999999999999</v>
      </c>
      <c r="AB96" s="65">
        <v>129.5</v>
      </c>
      <c r="AC96" s="65">
        <v>129.30000000000001</v>
      </c>
      <c r="AD96" s="65">
        <v>129.1</v>
      </c>
      <c r="AE96" s="65">
        <v>129.1</v>
      </c>
      <c r="AF96" s="65">
        <v>127.4</v>
      </c>
      <c r="AG96" s="92"/>
      <c r="AH96" s="48">
        <f t="shared" si="13"/>
        <v>129.9</v>
      </c>
      <c r="AI96" s="49">
        <f t="shared" si="14"/>
        <v>123.4</v>
      </c>
    </row>
    <row r="97" spans="1:35" x14ac:dyDescent="0.25">
      <c r="A97" s="91" t="s">
        <v>98</v>
      </c>
      <c r="B97" s="65">
        <v>133.1</v>
      </c>
      <c r="C97" s="65">
        <v>133.4</v>
      </c>
      <c r="D97" s="65">
        <v>133.9</v>
      </c>
      <c r="E97" s="65">
        <v>133.30000000000001</v>
      </c>
      <c r="F97" s="65">
        <v>133.9</v>
      </c>
      <c r="G97" s="65">
        <v>131.80000000000001</v>
      </c>
      <c r="H97" s="65">
        <v>131.5</v>
      </c>
      <c r="I97" s="65">
        <v>130.80000000000001</v>
      </c>
      <c r="J97" s="65">
        <v>127.7</v>
      </c>
      <c r="K97" s="65">
        <v>128.6</v>
      </c>
      <c r="L97" s="65">
        <v>128.6</v>
      </c>
      <c r="M97" s="65">
        <v>128.19999999999999</v>
      </c>
      <c r="N97" s="65">
        <v>128.69999999999999</v>
      </c>
      <c r="O97" s="65">
        <v>127.2</v>
      </c>
      <c r="P97" s="65">
        <v>129.1</v>
      </c>
      <c r="Q97" s="65">
        <v>129.1</v>
      </c>
      <c r="R97" s="65">
        <v>129</v>
      </c>
      <c r="S97" s="65">
        <v>127.8</v>
      </c>
      <c r="T97" s="65">
        <v>129.30000000000001</v>
      </c>
      <c r="U97" s="65">
        <v>129.1</v>
      </c>
      <c r="V97" s="65">
        <v>131.1</v>
      </c>
      <c r="W97" s="65">
        <v>130</v>
      </c>
      <c r="X97" s="65">
        <v>129.4</v>
      </c>
      <c r="Y97" s="65">
        <v>130.1</v>
      </c>
      <c r="Z97" s="65">
        <v>131</v>
      </c>
      <c r="AA97" s="65">
        <v>131.19999999999999</v>
      </c>
      <c r="AB97" s="65">
        <v>131.5</v>
      </c>
      <c r="AC97" s="65">
        <v>131.6</v>
      </c>
      <c r="AD97" s="65">
        <v>131.30000000000001</v>
      </c>
      <c r="AE97" s="65">
        <v>132</v>
      </c>
      <c r="AF97" s="65">
        <v>131.19999999999999</v>
      </c>
      <c r="AG97" s="92"/>
      <c r="AH97" s="48">
        <f t="shared" si="13"/>
        <v>133.9</v>
      </c>
      <c r="AI97" s="49">
        <f t="shared" si="14"/>
        <v>127.2</v>
      </c>
    </row>
    <row r="98" spans="1:35" x14ac:dyDescent="0.25">
      <c r="A98" s="91" t="s">
        <v>99</v>
      </c>
      <c r="B98" s="65">
        <v>131.9</v>
      </c>
      <c r="C98" s="65">
        <v>131.19999999999999</v>
      </c>
      <c r="D98" s="65">
        <v>131.1</v>
      </c>
      <c r="E98" s="65">
        <v>130.4</v>
      </c>
      <c r="F98" s="65">
        <v>130.69999999999999</v>
      </c>
      <c r="G98" s="65">
        <v>129.19999999999999</v>
      </c>
      <c r="H98" s="65">
        <v>128.6</v>
      </c>
      <c r="I98" s="65">
        <v>128.6</v>
      </c>
      <c r="J98" s="65">
        <v>126.8</v>
      </c>
      <c r="K98" s="65">
        <v>131.5</v>
      </c>
      <c r="L98" s="65">
        <v>128.30000000000001</v>
      </c>
      <c r="M98" s="65">
        <v>127.7</v>
      </c>
      <c r="N98" s="65">
        <v>129.6</v>
      </c>
      <c r="O98" s="65">
        <v>130.80000000000001</v>
      </c>
      <c r="P98" s="65">
        <v>131</v>
      </c>
      <c r="Q98" s="65">
        <v>131.6</v>
      </c>
      <c r="R98" s="65">
        <v>131.69999999999999</v>
      </c>
      <c r="S98" s="65">
        <v>130.69999999999999</v>
      </c>
      <c r="T98" s="65">
        <v>129.19999999999999</v>
      </c>
      <c r="U98" s="65">
        <v>129.69999999999999</v>
      </c>
      <c r="V98" s="65">
        <v>131.6</v>
      </c>
      <c r="W98" s="65">
        <v>127.8</v>
      </c>
      <c r="X98" s="65">
        <v>129.80000000000001</v>
      </c>
      <c r="Y98" s="65">
        <v>131.80000000000001</v>
      </c>
      <c r="Z98" s="65">
        <v>133.9</v>
      </c>
      <c r="AA98" s="65">
        <v>132.1</v>
      </c>
      <c r="AB98" s="65">
        <v>132.30000000000001</v>
      </c>
      <c r="AC98" s="65">
        <v>132.6</v>
      </c>
      <c r="AD98" s="65">
        <v>133.80000000000001</v>
      </c>
      <c r="AE98" s="65">
        <v>130.69999999999999</v>
      </c>
      <c r="AF98" s="65">
        <v>130.6</v>
      </c>
      <c r="AG98" s="92"/>
      <c r="AH98" s="48">
        <f t="shared" si="13"/>
        <v>133.9</v>
      </c>
      <c r="AI98" s="49">
        <f t="shared" si="14"/>
        <v>126.8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3"/>
        <v>0</v>
      </c>
      <c r="AI99" s="49">
        <f t="shared" si="14"/>
        <v>0</v>
      </c>
    </row>
    <row r="100" spans="1:35" x14ac:dyDescent="0.25">
      <c r="A100" s="93" t="s">
        <v>101</v>
      </c>
      <c r="B100" s="94">
        <v>133.4</v>
      </c>
      <c r="C100" s="94">
        <v>132.6</v>
      </c>
      <c r="D100" s="94">
        <v>133.30000000000001</v>
      </c>
      <c r="E100" s="94">
        <v>132.30000000000001</v>
      </c>
      <c r="F100" s="94">
        <v>135.9</v>
      </c>
      <c r="G100" s="94">
        <v>132.4</v>
      </c>
      <c r="H100" s="94">
        <v>131.69999999999999</v>
      </c>
      <c r="I100" s="94">
        <v>133.80000000000001</v>
      </c>
      <c r="J100" s="94">
        <v>132.19999999999999</v>
      </c>
      <c r="K100" s="94">
        <v>132.9</v>
      </c>
      <c r="L100" s="94">
        <v>133.4</v>
      </c>
      <c r="M100" s="94">
        <v>132.4</v>
      </c>
      <c r="N100" s="94">
        <v>132.1</v>
      </c>
      <c r="O100" s="94">
        <v>131.30000000000001</v>
      </c>
      <c r="P100" s="94">
        <v>133.6</v>
      </c>
      <c r="Q100" s="94">
        <v>130</v>
      </c>
      <c r="R100" s="94">
        <v>135.5</v>
      </c>
      <c r="S100" s="94">
        <v>129.9</v>
      </c>
      <c r="T100" s="94">
        <v>136.19999999999999</v>
      </c>
      <c r="U100" s="94">
        <v>135.6</v>
      </c>
      <c r="V100" s="94">
        <v>136.1</v>
      </c>
      <c r="W100" s="94">
        <v>134.80000000000001</v>
      </c>
      <c r="X100" s="94">
        <v>134.4</v>
      </c>
      <c r="Y100" s="94">
        <v>135.1</v>
      </c>
      <c r="Z100" s="94">
        <v>135.5</v>
      </c>
      <c r="AA100" s="94">
        <v>135.80000000000001</v>
      </c>
      <c r="AB100" s="94">
        <v>134.30000000000001</v>
      </c>
      <c r="AC100" s="94">
        <v>134.4</v>
      </c>
      <c r="AD100" s="94">
        <v>132.80000000000001</v>
      </c>
      <c r="AE100" s="94">
        <v>133.5</v>
      </c>
      <c r="AF100" s="94">
        <v>131.6</v>
      </c>
      <c r="AG100" s="95"/>
      <c r="AH100" s="48">
        <f t="shared" si="13"/>
        <v>136.19999999999999</v>
      </c>
      <c r="AI100" s="49">
        <f t="shared" si="14"/>
        <v>129.9</v>
      </c>
    </row>
    <row r="101" spans="1:35" x14ac:dyDescent="0.25">
      <c r="A101" s="91" t="s">
        <v>102</v>
      </c>
      <c r="B101" s="65">
        <v>136.4</v>
      </c>
      <c r="C101" s="65">
        <v>135.80000000000001</v>
      </c>
      <c r="D101" s="65">
        <v>137.69999999999999</v>
      </c>
      <c r="E101" s="65">
        <v>136</v>
      </c>
      <c r="F101" s="65">
        <v>140.19999999999999</v>
      </c>
      <c r="G101" s="65">
        <v>129.9</v>
      </c>
      <c r="H101" s="65">
        <v>129.69999999999999</v>
      </c>
      <c r="I101" s="65">
        <v>128.80000000000001</v>
      </c>
      <c r="J101" s="65">
        <v>127.2</v>
      </c>
      <c r="K101" s="65">
        <v>129.1</v>
      </c>
      <c r="L101" s="65">
        <v>132.19999999999999</v>
      </c>
      <c r="M101" s="65"/>
      <c r="N101" s="65"/>
      <c r="O101" s="65">
        <v>130.69999999999999</v>
      </c>
      <c r="P101" s="65">
        <v>132</v>
      </c>
      <c r="Q101" s="65">
        <v>135.4</v>
      </c>
      <c r="R101" s="65">
        <v>136.1</v>
      </c>
      <c r="S101" s="65">
        <v>125.7</v>
      </c>
      <c r="T101" s="65">
        <v>132.4</v>
      </c>
      <c r="U101" s="65">
        <v>131.80000000000001</v>
      </c>
      <c r="V101" s="65">
        <v>132.30000000000001</v>
      </c>
      <c r="W101" s="65">
        <v>134.80000000000001</v>
      </c>
      <c r="X101" s="65">
        <v>129.9</v>
      </c>
      <c r="Y101" s="65">
        <v>132.69999999999999</v>
      </c>
      <c r="Z101" s="65">
        <v>134.6</v>
      </c>
      <c r="AA101" s="65">
        <v>130.69999999999999</v>
      </c>
      <c r="AB101" s="65">
        <v>134</v>
      </c>
      <c r="AC101" s="65">
        <v>134.9</v>
      </c>
      <c r="AD101" s="65">
        <v>134.5</v>
      </c>
      <c r="AE101" s="65">
        <v>132.30000000000001</v>
      </c>
      <c r="AF101" s="65">
        <v>129.4</v>
      </c>
      <c r="AG101" s="92"/>
      <c r="AH101" s="48">
        <f t="shared" si="13"/>
        <v>140.19999999999999</v>
      </c>
      <c r="AI101" s="49">
        <f t="shared" si="14"/>
        <v>125.7</v>
      </c>
    </row>
    <row r="102" spans="1:35" ht="15.75" thickBot="1" x14ac:dyDescent="0.3">
      <c r="A102" s="91" t="s">
        <v>104</v>
      </c>
      <c r="B102" s="96">
        <v>67.3</v>
      </c>
      <c r="C102" s="96">
        <v>67.099999999999994</v>
      </c>
      <c r="D102" s="96">
        <v>67.5</v>
      </c>
      <c r="E102" s="96">
        <v>67.400000000000006</v>
      </c>
      <c r="F102" s="96">
        <v>67.400000000000006</v>
      </c>
      <c r="G102" s="96">
        <v>66.400000000000006</v>
      </c>
      <c r="H102" s="96">
        <v>66.2</v>
      </c>
      <c r="I102" s="96">
        <v>65.7</v>
      </c>
      <c r="J102" s="96">
        <v>64.3</v>
      </c>
      <c r="K102" s="96">
        <v>65</v>
      </c>
      <c r="L102" s="96">
        <v>64.400000000000006</v>
      </c>
      <c r="M102" s="96">
        <v>64.3</v>
      </c>
      <c r="N102" s="96">
        <v>64.599999999999994</v>
      </c>
      <c r="O102" s="96">
        <v>63.9</v>
      </c>
      <c r="P102" s="96">
        <v>64.7</v>
      </c>
      <c r="Q102" s="96">
        <v>65</v>
      </c>
      <c r="R102" s="96">
        <v>64.900000000000006</v>
      </c>
      <c r="S102" s="96">
        <v>64.3</v>
      </c>
      <c r="T102" s="96">
        <v>65.3</v>
      </c>
      <c r="U102" s="96">
        <v>65.2</v>
      </c>
      <c r="V102" s="96">
        <v>65.900000000000006</v>
      </c>
      <c r="W102" s="96">
        <v>65.400000000000006</v>
      </c>
      <c r="X102" s="96">
        <v>65.099999999999994</v>
      </c>
      <c r="Y102" s="96">
        <v>65.5</v>
      </c>
      <c r="Z102" s="96">
        <v>65.8</v>
      </c>
      <c r="AA102" s="96">
        <v>66</v>
      </c>
      <c r="AB102" s="96">
        <v>66.099999999999994</v>
      </c>
      <c r="AC102" s="96">
        <v>66.099999999999994</v>
      </c>
      <c r="AD102" s="96">
        <v>66</v>
      </c>
      <c r="AE102" s="96">
        <v>66.5</v>
      </c>
      <c r="AF102" s="96">
        <v>66</v>
      </c>
      <c r="AG102" s="97"/>
      <c r="AH102" s="48">
        <f t="shared" si="13"/>
        <v>67.5</v>
      </c>
      <c r="AI102" s="49">
        <f t="shared" si="14"/>
        <v>63.9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3"/>
        <v>0</v>
      </c>
      <c r="AI103" s="49">
        <f t="shared" si="14"/>
        <v>0</v>
      </c>
    </row>
    <row r="104" spans="1:35" ht="15.75" thickBot="1" x14ac:dyDescent="0.3">
      <c r="A104" s="99" t="s">
        <v>105</v>
      </c>
      <c r="B104" s="100">
        <f t="shared" ref="B104" si="35">SUM(B16,B22,B25:B26,B52,B54:B55,B57,B59,B105:B109,B131,B137,B143,B152,B154,B166,B173,B176:B177,B184,B186,B188,B192:B194,B196:B198,B203,B209:B210,B212:B214,B222,B227)</f>
        <v>102.69999999999999</v>
      </c>
      <c r="C104" s="100">
        <f t="shared" ref="C104:AF104" si="36">SUM(C16,C22,C25:C26,C52,C54:C55,C57,C59,C105:C109,C131,C137,C143,C152,C154,C166,C173,C176:C177,C184,C186,C188,C192:C194,C196:C198,C203,C209:C210,C212:C214,C222,C227)</f>
        <v>90.24</v>
      </c>
      <c r="D104" s="100">
        <f t="shared" si="36"/>
        <v>88.74</v>
      </c>
      <c r="E104" s="100">
        <f t="shared" si="36"/>
        <v>81.939999999999984</v>
      </c>
      <c r="F104" s="100">
        <f t="shared" si="36"/>
        <v>89.639999999999972</v>
      </c>
      <c r="G104" s="100">
        <f t="shared" si="36"/>
        <v>114.44</v>
      </c>
      <c r="H104" s="100">
        <f t="shared" si="36"/>
        <v>149.04000000000002</v>
      </c>
      <c r="I104" s="100">
        <f t="shared" si="36"/>
        <v>184.04</v>
      </c>
      <c r="J104" s="100">
        <f t="shared" si="36"/>
        <v>229.54</v>
      </c>
      <c r="K104" s="100">
        <f t="shared" si="36"/>
        <v>258.33999999999997</v>
      </c>
      <c r="L104" s="100">
        <f t="shared" si="36"/>
        <v>335.73999999999995</v>
      </c>
      <c r="M104" s="100">
        <f t="shared" si="36"/>
        <v>335.73999999999995</v>
      </c>
      <c r="N104" s="100">
        <f t="shared" si="36"/>
        <v>298.33999999999997</v>
      </c>
      <c r="O104" s="100">
        <f t="shared" si="36"/>
        <v>285.33999999999997</v>
      </c>
      <c r="P104" s="100">
        <f t="shared" si="36"/>
        <v>256.93999999999994</v>
      </c>
      <c r="Q104" s="100">
        <f t="shared" si="36"/>
        <v>246.29999999999998</v>
      </c>
      <c r="R104" s="100">
        <f t="shared" si="36"/>
        <v>233.79999999999998</v>
      </c>
      <c r="S104" s="100">
        <f t="shared" si="36"/>
        <v>228.09999999999997</v>
      </c>
      <c r="T104" s="100">
        <f t="shared" si="36"/>
        <v>226.29999999999998</v>
      </c>
      <c r="U104" s="100">
        <f t="shared" si="36"/>
        <v>235.39999999999998</v>
      </c>
      <c r="V104" s="100">
        <f t="shared" si="36"/>
        <v>245.89999999999998</v>
      </c>
      <c r="W104" s="100">
        <f t="shared" si="36"/>
        <v>322.89999999999998</v>
      </c>
      <c r="X104" s="100">
        <f t="shared" si="36"/>
        <v>329.79999999999995</v>
      </c>
      <c r="Y104" s="100">
        <f t="shared" si="36"/>
        <v>316.89999999999998</v>
      </c>
      <c r="Z104" s="100">
        <f t="shared" si="36"/>
        <v>339.5</v>
      </c>
      <c r="AA104" s="100">
        <f t="shared" si="36"/>
        <v>329.09999999999997</v>
      </c>
      <c r="AB104" s="100">
        <f t="shared" si="36"/>
        <v>309.50000000000006</v>
      </c>
      <c r="AC104" s="100">
        <f t="shared" si="36"/>
        <v>293.90000000000003</v>
      </c>
      <c r="AD104" s="100">
        <f t="shared" si="36"/>
        <v>272.8</v>
      </c>
      <c r="AE104" s="100">
        <f t="shared" si="36"/>
        <v>190.40000000000003</v>
      </c>
      <c r="AF104" s="100">
        <f t="shared" si="36"/>
        <v>134</v>
      </c>
      <c r="AG104" s="101"/>
      <c r="AH104" s="48">
        <f t="shared" si="13"/>
        <v>339.5</v>
      </c>
      <c r="AI104" s="49">
        <f t="shared" si="14"/>
        <v>81.939999999999984</v>
      </c>
    </row>
    <row r="105" spans="1:35" x14ac:dyDescent="0.25">
      <c r="A105" s="88" t="s">
        <v>106</v>
      </c>
      <c r="B105" s="102">
        <v>18.7</v>
      </c>
      <c r="C105" s="102">
        <v>15.4</v>
      </c>
      <c r="D105" s="102">
        <v>18.8</v>
      </c>
      <c r="E105" s="102">
        <v>21.1</v>
      </c>
      <c r="F105" s="102">
        <v>15.1</v>
      </c>
      <c r="G105" s="102">
        <v>23</v>
      </c>
      <c r="H105" s="102">
        <v>19.899999999999999</v>
      </c>
      <c r="I105" s="102">
        <v>21.4</v>
      </c>
      <c r="J105" s="102">
        <v>28.5</v>
      </c>
      <c r="K105" s="102">
        <v>24.2</v>
      </c>
      <c r="L105" s="102">
        <v>29.1</v>
      </c>
      <c r="M105" s="102">
        <v>29.9</v>
      </c>
      <c r="N105" s="102">
        <v>33.799999999999997</v>
      </c>
      <c r="O105" s="102">
        <v>43.3</v>
      </c>
      <c r="P105" s="102">
        <v>27.2</v>
      </c>
      <c r="Q105" s="102">
        <v>31.4</v>
      </c>
      <c r="R105" s="102">
        <v>33.799999999999997</v>
      </c>
      <c r="S105" s="102">
        <v>30.5</v>
      </c>
      <c r="T105" s="102">
        <v>29.6</v>
      </c>
      <c r="U105" s="102">
        <v>29.1</v>
      </c>
      <c r="V105" s="102">
        <v>41.4</v>
      </c>
      <c r="W105" s="102">
        <v>37.9</v>
      </c>
      <c r="X105" s="102">
        <v>34.700000000000003</v>
      </c>
      <c r="Y105" s="102">
        <v>35.5</v>
      </c>
      <c r="Z105" s="102">
        <v>48.4</v>
      </c>
      <c r="AA105" s="102">
        <v>53.7</v>
      </c>
      <c r="AB105" s="102">
        <v>54.8</v>
      </c>
      <c r="AC105" s="102">
        <v>57.5</v>
      </c>
      <c r="AD105" s="102">
        <v>49.4</v>
      </c>
      <c r="AE105" s="102">
        <v>42.2</v>
      </c>
      <c r="AF105" s="102">
        <v>27.8</v>
      </c>
      <c r="AG105" s="103">
        <v>75</v>
      </c>
      <c r="AH105" s="48">
        <f t="shared" si="13"/>
        <v>57.5</v>
      </c>
      <c r="AI105" s="49">
        <f t="shared" si="14"/>
        <v>15.1</v>
      </c>
    </row>
    <row r="106" spans="1:35" x14ac:dyDescent="0.25">
      <c r="A106" s="91" t="s">
        <v>107</v>
      </c>
      <c r="B106" s="104">
        <v>34</v>
      </c>
      <c r="C106" s="104">
        <v>29.4</v>
      </c>
      <c r="D106" s="104">
        <v>33.4</v>
      </c>
      <c r="E106" s="104">
        <v>37.1</v>
      </c>
      <c r="F106" s="104">
        <v>29.7</v>
      </c>
      <c r="G106" s="104">
        <v>41</v>
      </c>
      <c r="H106" s="104">
        <v>36.299999999999997</v>
      </c>
      <c r="I106" s="104">
        <v>37.9</v>
      </c>
      <c r="J106" s="104">
        <v>48</v>
      </c>
      <c r="K106" s="104">
        <v>-47</v>
      </c>
      <c r="L106" s="104">
        <v>45.2</v>
      </c>
      <c r="M106" s="104">
        <v>47.4</v>
      </c>
      <c r="N106" s="104">
        <v>51.3</v>
      </c>
      <c r="O106" s="104">
        <v>64.7</v>
      </c>
      <c r="P106" s="104">
        <v>41.3</v>
      </c>
      <c r="Q106" s="104">
        <v>48.2</v>
      </c>
      <c r="R106" s="104">
        <v>50.8</v>
      </c>
      <c r="S106" s="104">
        <v>47.1</v>
      </c>
      <c r="T106" s="104">
        <v>45</v>
      </c>
      <c r="U106" s="104">
        <v>44.6</v>
      </c>
      <c r="V106" s="104">
        <v>60.2</v>
      </c>
      <c r="W106" s="104">
        <v>53.3</v>
      </c>
      <c r="X106" s="104">
        <v>49.5</v>
      </c>
      <c r="Y106" s="104">
        <v>49.7</v>
      </c>
      <c r="Z106" s="104">
        <v>68.7</v>
      </c>
      <c r="AA106" s="104">
        <v>76</v>
      </c>
      <c r="AB106" s="104">
        <v>77.900000000000006</v>
      </c>
      <c r="AC106" s="104">
        <v>81.5</v>
      </c>
      <c r="AD106" s="104">
        <v>70.3</v>
      </c>
      <c r="AE106" s="104">
        <v>62.5</v>
      </c>
      <c r="AF106" s="104">
        <v>46.1</v>
      </c>
      <c r="AG106" s="103">
        <v>240</v>
      </c>
      <c r="AH106" s="48">
        <f t="shared" si="13"/>
        <v>81.5</v>
      </c>
      <c r="AI106" s="49">
        <f t="shared" si="14"/>
        <v>-47</v>
      </c>
    </row>
    <row r="107" spans="1:35" x14ac:dyDescent="0.25">
      <c r="A107" s="91" t="s">
        <v>108</v>
      </c>
      <c r="B107" s="104">
        <f>-53.3-56.1</f>
        <v>-109.4</v>
      </c>
      <c r="C107" s="104">
        <f>-52.9-56.3</f>
        <v>-109.19999999999999</v>
      </c>
      <c r="D107" s="104">
        <f>-50.7-55.1</f>
        <v>-105.80000000000001</v>
      </c>
      <c r="E107" s="104">
        <f>-56-59</f>
        <v>-115</v>
      </c>
      <c r="F107" s="104">
        <f>-51.2-53.9</f>
        <v>-105.1</v>
      </c>
      <c r="G107" s="104">
        <f>-47.6-51</f>
        <v>-98.6</v>
      </c>
      <c r="H107" s="104">
        <f>-41-43</f>
        <v>-84</v>
      </c>
      <c r="I107" s="104">
        <f>-34.5-37.5</f>
        <v>-72</v>
      </c>
      <c r="J107" s="104">
        <f>-32.9-35.7</f>
        <v>-68.599999999999994</v>
      </c>
      <c r="K107" s="104">
        <v>21</v>
      </c>
      <c r="L107" s="104">
        <v>-22</v>
      </c>
      <c r="M107" s="104">
        <f>-10.2-19.7</f>
        <v>-29.9</v>
      </c>
      <c r="N107" s="104">
        <f>-20-30.7</f>
        <v>-50.7</v>
      </c>
      <c r="O107" s="104">
        <f>-2.6-12.1</f>
        <v>-14.7</v>
      </c>
      <c r="P107" s="104">
        <f>-3.1-5.3</f>
        <v>-8.4</v>
      </c>
      <c r="Q107" s="104">
        <f>-4.5-12</f>
        <v>-16.5</v>
      </c>
      <c r="R107" s="104">
        <f>-7-9</f>
        <v>-16</v>
      </c>
      <c r="S107" s="104">
        <v>-7.9</v>
      </c>
      <c r="T107" s="104">
        <v>-21.4</v>
      </c>
      <c r="U107" s="104">
        <v>-12.6</v>
      </c>
      <c r="V107" s="104">
        <v>-50.2</v>
      </c>
      <c r="W107" s="104">
        <v>-57</v>
      </c>
      <c r="X107" s="104">
        <v>-48</v>
      </c>
      <c r="Y107" s="104">
        <v>-50</v>
      </c>
      <c r="Z107" s="104">
        <f>-6.9-16.3</f>
        <v>-23.200000000000003</v>
      </c>
      <c r="AA107" s="104">
        <f>-10.7-20.1</f>
        <v>-30.8</v>
      </c>
      <c r="AB107" s="104">
        <f>-16-25</f>
        <v>-41</v>
      </c>
      <c r="AC107" s="104">
        <f>-20-30</f>
        <v>-50</v>
      </c>
      <c r="AD107" s="104">
        <f>-20.2-27.9</f>
        <v>-48.099999999999994</v>
      </c>
      <c r="AE107" s="104">
        <f>-35-38</f>
        <v>-73</v>
      </c>
      <c r="AF107" s="104">
        <f>-47-51</f>
        <v>-98</v>
      </c>
      <c r="AG107" s="103">
        <v>240</v>
      </c>
      <c r="AH107" s="48">
        <f t="shared" si="13"/>
        <v>21</v>
      </c>
      <c r="AI107" s="49">
        <f t="shared" si="14"/>
        <v>-115</v>
      </c>
    </row>
    <row r="108" spans="1:35" x14ac:dyDescent="0.25">
      <c r="A108" s="91" t="s">
        <v>109</v>
      </c>
      <c r="B108" s="104">
        <v>-6.5</v>
      </c>
      <c r="C108" s="104">
        <v>-8.8000000000000007</v>
      </c>
      <c r="D108" s="104">
        <v>-12.2</v>
      </c>
      <c r="E108" s="104">
        <v>-12.8</v>
      </c>
      <c r="F108" s="104">
        <v>-10.9</v>
      </c>
      <c r="G108" s="104">
        <v>-8.1</v>
      </c>
      <c r="H108" s="104">
        <v>-3.7</v>
      </c>
      <c r="I108" s="104">
        <v>-2.7</v>
      </c>
      <c r="J108" s="104">
        <v>-1.5</v>
      </c>
      <c r="K108" s="104">
        <v>21.9</v>
      </c>
      <c r="L108" s="104">
        <v>45.1</v>
      </c>
      <c r="M108" s="104">
        <v>48.7</v>
      </c>
      <c r="N108" s="104">
        <v>43.3</v>
      </c>
      <c r="O108" s="104">
        <v>49</v>
      </c>
      <c r="P108" s="104">
        <v>50.1</v>
      </c>
      <c r="Q108" s="104">
        <v>37.4</v>
      </c>
      <c r="R108" s="104">
        <v>19.399999999999999</v>
      </c>
      <c r="S108" s="104">
        <v>12.6</v>
      </c>
      <c r="T108" s="104">
        <v>27.3</v>
      </c>
      <c r="U108" s="104">
        <v>28.5</v>
      </c>
      <c r="V108" s="104">
        <v>52.7</v>
      </c>
      <c r="W108" s="104">
        <v>55.3</v>
      </c>
      <c r="X108" s="104">
        <v>58.2</v>
      </c>
      <c r="Y108" s="104">
        <v>57.9</v>
      </c>
      <c r="Z108" s="104">
        <v>57.7</v>
      </c>
      <c r="AA108" s="104">
        <v>56.7</v>
      </c>
      <c r="AB108" s="104">
        <v>55.1</v>
      </c>
      <c r="AC108" s="104">
        <v>53.8</v>
      </c>
      <c r="AD108" s="104">
        <v>37.6</v>
      </c>
      <c r="AE108" s="104">
        <v>6.3</v>
      </c>
      <c r="AF108" s="104">
        <v>-3.1</v>
      </c>
      <c r="AG108" s="103">
        <v>60</v>
      </c>
      <c r="AH108" s="48">
        <f t="shared" si="13"/>
        <v>58.2</v>
      </c>
      <c r="AI108" s="49">
        <f t="shared" si="14"/>
        <v>-12.8</v>
      </c>
    </row>
    <row r="109" spans="1:35" x14ac:dyDescent="0.25">
      <c r="A109" s="105" t="s">
        <v>110</v>
      </c>
      <c r="B109" s="106">
        <v>22</v>
      </c>
      <c r="C109" s="106">
        <v>19</v>
      </c>
      <c r="D109" s="106">
        <v>10.5</v>
      </c>
      <c r="E109" s="106">
        <v>7.5</v>
      </c>
      <c r="F109" s="106">
        <v>16.8</v>
      </c>
      <c r="G109" s="106">
        <v>14.1</v>
      </c>
      <c r="H109" s="106">
        <v>37.5</v>
      </c>
      <c r="I109" s="106">
        <v>56.4</v>
      </c>
      <c r="J109" s="106">
        <v>80.099999999999994</v>
      </c>
      <c r="K109" s="106">
        <v>95.2</v>
      </c>
      <c r="L109" s="106">
        <v>95.3</v>
      </c>
      <c r="M109" s="106">
        <v>96.6</v>
      </c>
      <c r="N109" s="106">
        <v>77.599999999999994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91.6</v>
      </c>
      <c r="X109" s="106">
        <v>92.7</v>
      </c>
      <c r="Y109" s="106">
        <v>81.099999999999994</v>
      </c>
      <c r="Z109" s="106">
        <v>44.9</v>
      </c>
      <c r="AA109" s="106">
        <v>30</v>
      </c>
      <c r="AB109" s="106">
        <v>19.2</v>
      </c>
      <c r="AC109" s="106">
        <v>9.3000000000000007</v>
      </c>
      <c r="AD109" s="106">
        <v>21.8</v>
      </c>
      <c r="AE109" s="106">
        <v>10.3</v>
      </c>
      <c r="AF109" s="106">
        <v>19.100000000000001</v>
      </c>
      <c r="AG109" s="107">
        <v>120</v>
      </c>
      <c r="AH109" s="48">
        <f t="shared" si="13"/>
        <v>96.6</v>
      </c>
      <c r="AI109" s="49">
        <f t="shared" si="14"/>
        <v>0</v>
      </c>
    </row>
    <row r="110" spans="1:35" x14ac:dyDescent="0.25">
      <c r="A110" s="105" t="s">
        <v>111</v>
      </c>
      <c r="B110" s="106">
        <v>37.9</v>
      </c>
      <c r="C110" s="106">
        <v>39.5</v>
      </c>
      <c r="D110" s="106">
        <v>28.7</v>
      </c>
      <c r="E110" s="106">
        <v>28</v>
      </c>
      <c r="F110" s="106">
        <v>36</v>
      </c>
      <c r="G110" s="106">
        <v>29.7</v>
      </c>
      <c r="H110" s="106">
        <v>45.5</v>
      </c>
      <c r="I110" s="106">
        <v>53.5</v>
      </c>
      <c r="J110" s="106">
        <v>71.900000000000006</v>
      </c>
      <c r="K110" s="106">
        <v>69.3</v>
      </c>
      <c r="L110" s="106">
        <v>65.099999999999994</v>
      </c>
      <c r="M110" s="106">
        <v>68</v>
      </c>
      <c r="N110" s="106">
        <v>59.7</v>
      </c>
      <c r="O110" s="106">
        <v>70.599999999999994</v>
      </c>
      <c r="P110" s="106">
        <v>71.599999999999994</v>
      </c>
      <c r="Q110" s="106">
        <v>64.3</v>
      </c>
      <c r="R110" s="106">
        <v>82.4</v>
      </c>
      <c r="S110" s="106">
        <v>98.3</v>
      </c>
      <c r="T110" s="106">
        <v>90.7</v>
      </c>
      <c r="U110" s="106">
        <v>96.6</v>
      </c>
      <c r="V110" s="106">
        <v>46.3</v>
      </c>
      <c r="W110" s="106">
        <v>52.3</v>
      </c>
      <c r="X110" s="106">
        <v>49.6</v>
      </c>
      <c r="Y110" s="106">
        <v>43.9</v>
      </c>
      <c r="Z110" s="106">
        <v>21.5</v>
      </c>
      <c r="AA110" s="106">
        <v>9.8000000000000007</v>
      </c>
      <c r="AB110" s="106">
        <v>2.6</v>
      </c>
      <c r="AC110" s="106">
        <v>-1</v>
      </c>
      <c r="AD110" s="106">
        <v>9.4</v>
      </c>
      <c r="AE110" s="106">
        <v>11.6</v>
      </c>
      <c r="AF110" s="106">
        <v>31.2</v>
      </c>
      <c r="AG110" s="107"/>
      <c r="AH110" s="48">
        <f t="shared" si="13"/>
        <v>98.3</v>
      </c>
      <c r="AI110" s="49">
        <f t="shared" si="14"/>
        <v>-1</v>
      </c>
    </row>
    <row r="111" spans="1:35" x14ac:dyDescent="0.25">
      <c r="A111" s="105" t="s">
        <v>112</v>
      </c>
      <c r="B111" s="106">
        <v>54.2</v>
      </c>
      <c r="C111" s="106">
        <v>55.9</v>
      </c>
      <c r="D111" s="106">
        <v>50</v>
      </c>
      <c r="E111" s="106">
        <v>50</v>
      </c>
      <c r="F111" s="106">
        <v>48.7</v>
      </c>
      <c r="G111" s="106">
        <v>33.1</v>
      </c>
      <c r="H111" s="106">
        <v>44.4</v>
      </c>
      <c r="I111" s="106">
        <v>40.6</v>
      </c>
      <c r="J111" s="106">
        <v>37.6</v>
      </c>
      <c r="K111" s="106">
        <v>42.6</v>
      </c>
      <c r="L111" s="106">
        <v>41.8</v>
      </c>
      <c r="M111" s="106">
        <v>35.1</v>
      </c>
      <c r="N111" s="106">
        <v>26.8</v>
      </c>
      <c r="O111" s="106">
        <v>20.2</v>
      </c>
      <c r="P111" s="106">
        <v>20</v>
      </c>
      <c r="Q111" s="106">
        <v>6.9</v>
      </c>
      <c r="R111" s="106">
        <v>0.9</v>
      </c>
      <c r="S111" s="106">
        <v>18.3</v>
      </c>
      <c r="T111" s="106">
        <v>21.8</v>
      </c>
      <c r="U111" s="106">
        <v>22</v>
      </c>
      <c r="V111" s="106">
        <v>25.8</v>
      </c>
      <c r="W111" s="106">
        <v>29.9</v>
      </c>
      <c r="X111" s="106">
        <v>40.799999999999997</v>
      </c>
      <c r="Y111" s="106">
        <v>43.5</v>
      </c>
      <c r="Z111" s="106">
        <v>14.9</v>
      </c>
      <c r="AA111" s="106">
        <v>1.7</v>
      </c>
      <c r="AB111" s="106">
        <v>0.4</v>
      </c>
      <c r="AC111" s="106">
        <v>-3</v>
      </c>
      <c r="AD111" s="106">
        <v>6.3</v>
      </c>
      <c r="AE111" s="106">
        <v>20</v>
      </c>
      <c r="AF111" s="106">
        <v>26</v>
      </c>
      <c r="AG111" s="108"/>
      <c r="AH111" s="48">
        <f t="shared" si="13"/>
        <v>55.9</v>
      </c>
      <c r="AI111" s="49">
        <f t="shared" si="14"/>
        <v>-3</v>
      </c>
    </row>
    <row r="112" spans="1:35" x14ac:dyDescent="0.25">
      <c r="A112" s="109" t="s">
        <v>113</v>
      </c>
      <c r="B112" s="94">
        <v>38.299999999999997</v>
      </c>
      <c r="C112" s="94">
        <v>40.799999999999997</v>
      </c>
      <c r="D112" s="94">
        <v>41.9</v>
      </c>
      <c r="E112" s="94">
        <v>41.9</v>
      </c>
      <c r="F112" s="94">
        <v>40.9</v>
      </c>
      <c r="G112" s="94">
        <v>39.200000000000003</v>
      </c>
      <c r="H112" s="94">
        <v>35.1</v>
      </c>
      <c r="I112" s="94">
        <v>31.3</v>
      </c>
      <c r="J112" s="94">
        <v>25.1</v>
      </c>
      <c r="K112" s="94">
        <v>18.899999999999999</v>
      </c>
      <c r="L112" s="94">
        <v>13</v>
      </c>
      <c r="M112" s="94">
        <v>10.4</v>
      </c>
      <c r="N112" s="94">
        <v>17.8</v>
      </c>
      <c r="O112" s="94">
        <v>22.4</v>
      </c>
      <c r="P112" s="94">
        <v>19.8</v>
      </c>
      <c r="Q112" s="94">
        <v>21.3</v>
      </c>
      <c r="R112" s="94">
        <v>32.1</v>
      </c>
      <c r="S112" s="94">
        <v>28.2</v>
      </c>
      <c r="T112" s="94">
        <v>20.6</v>
      </c>
      <c r="U112" s="94">
        <v>21.1</v>
      </c>
      <c r="V112" s="94">
        <v>6.9</v>
      </c>
      <c r="W112" s="94">
        <v>-5.53</v>
      </c>
      <c r="X112" s="94">
        <v>-1.5</v>
      </c>
      <c r="Y112" s="94">
        <v>4.4000000000000004</v>
      </c>
      <c r="Z112" s="94">
        <v>12.7</v>
      </c>
      <c r="AA112" s="94">
        <v>14</v>
      </c>
      <c r="AB112" s="94">
        <v>21.8</v>
      </c>
      <c r="AC112" s="94">
        <v>27.3</v>
      </c>
      <c r="AD112" s="94">
        <v>30.8</v>
      </c>
      <c r="AE112" s="94">
        <v>39.1</v>
      </c>
      <c r="AF112" s="94">
        <v>38.4</v>
      </c>
      <c r="AG112" s="108"/>
      <c r="AH112" s="48">
        <f t="shared" si="13"/>
        <v>41.9</v>
      </c>
      <c r="AI112" s="49">
        <f t="shared" si="14"/>
        <v>-5.53</v>
      </c>
    </row>
    <row r="113" spans="1:37" ht="15.75" thickBot="1" x14ac:dyDescent="0.3">
      <c r="A113" s="109" t="s">
        <v>114</v>
      </c>
      <c r="B113" s="94">
        <v>69.099999999999994</v>
      </c>
      <c r="C113" s="94">
        <v>67</v>
      </c>
      <c r="D113" s="94">
        <v>65.7</v>
      </c>
      <c r="E113" s="94">
        <v>65.7</v>
      </c>
      <c r="F113" s="94">
        <v>61.4</v>
      </c>
      <c r="G113" s="94">
        <v>62.6</v>
      </c>
      <c r="H113" s="94">
        <v>48.8</v>
      </c>
      <c r="I113" s="94">
        <v>37.799999999999997</v>
      </c>
      <c r="J113" s="94">
        <v>40.4</v>
      </c>
      <c r="K113" s="94">
        <v>31.6</v>
      </c>
      <c r="L113" s="94">
        <v>36.1</v>
      </c>
      <c r="M113" s="94">
        <v>44.8</v>
      </c>
      <c r="N113" s="94">
        <v>62.2</v>
      </c>
      <c r="O113" s="94">
        <v>43.4</v>
      </c>
      <c r="P113" s="94">
        <v>32.6</v>
      </c>
      <c r="Q113" s="94">
        <v>33.5</v>
      </c>
      <c r="R113" s="94">
        <v>23.8</v>
      </c>
      <c r="S113" s="94">
        <v>6.1</v>
      </c>
      <c r="T113" s="94">
        <v>15.4</v>
      </c>
      <c r="U113" s="94">
        <v>9.6999999999999993</v>
      </c>
      <c r="V113" s="94">
        <v>35.9</v>
      </c>
      <c r="W113" s="94">
        <v>36.4</v>
      </c>
      <c r="X113" s="94">
        <v>31.1</v>
      </c>
      <c r="Y113" s="94">
        <v>31.8</v>
      </c>
      <c r="Z113" s="94">
        <v>49.7</v>
      </c>
      <c r="AA113" s="94">
        <v>58.4</v>
      </c>
      <c r="AB113" s="94">
        <v>65.900000000000006</v>
      </c>
      <c r="AC113" s="94">
        <v>72.3</v>
      </c>
      <c r="AD113" s="94">
        <v>57.8</v>
      </c>
      <c r="AE113" s="94">
        <v>55.9</v>
      </c>
      <c r="AF113" s="94">
        <v>66.2</v>
      </c>
      <c r="AG113" s="108"/>
      <c r="AH113" s="48">
        <f t="shared" si="13"/>
        <v>72.3</v>
      </c>
      <c r="AI113" s="49">
        <f t="shared" si="14"/>
        <v>6.1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37">SUM(B115:B219)</f>
        <v>0</v>
      </c>
      <c r="C220" s="125">
        <f t="shared" si="37"/>
        <v>0</v>
      </c>
      <c r="D220" s="125">
        <f t="shared" si="37"/>
        <v>0</v>
      </c>
      <c r="E220" s="125">
        <f t="shared" si="37"/>
        <v>0</v>
      </c>
      <c r="F220" s="125">
        <f t="shared" si="37"/>
        <v>0</v>
      </c>
      <c r="G220" s="125">
        <f t="shared" si="37"/>
        <v>0</v>
      </c>
      <c r="H220" s="125">
        <f t="shared" si="37"/>
        <v>0</v>
      </c>
      <c r="I220" s="125">
        <f t="shared" si="37"/>
        <v>0</v>
      </c>
      <c r="J220" s="125">
        <f t="shared" si="37"/>
        <v>0</v>
      </c>
      <c r="K220" s="125">
        <f t="shared" si="37"/>
        <v>0</v>
      </c>
      <c r="L220" s="125">
        <f t="shared" si="37"/>
        <v>0</v>
      </c>
      <c r="M220" s="125">
        <f t="shared" si="37"/>
        <v>0</v>
      </c>
      <c r="N220" s="125">
        <f t="shared" si="37"/>
        <v>0</v>
      </c>
      <c r="O220" s="125">
        <f t="shared" si="37"/>
        <v>0</v>
      </c>
      <c r="P220" s="125">
        <f t="shared" si="37"/>
        <v>0</v>
      </c>
      <c r="Q220" s="125">
        <f t="shared" si="37"/>
        <v>0</v>
      </c>
      <c r="R220" s="125">
        <f t="shared" si="37"/>
        <v>0</v>
      </c>
      <c r="S220" s="125">
        <f t="shared" si="37"/>
        <v>0</v>
      </c>
      <c r="T220" s="125">
        <f t="shared" si="37"/>
        <v>0</v>
      </c>
      <c r="U220" s="125">
        <f t="shared" si="37"/>
        <v>0</v>
      </c>
      <c r="V220" s="125">
        <f t="shared" si="37"/>
        <v>0</v>
      </c>
      <c r="W220" s="125">
        <f t="shared" si="37"/>
        <v>0</v>
      </c>
      <c r="X220" s="125">
        <f t="shared" si="37"/>
        <v>0</v>
      </c>
      <c r="Y220" s="125">
        <f t="shared" si="37"/>
        <v>0</v>
      </c>
      <c r="Z220" s="125">
        <f t="shared" si="37"/>
        <v>0</v>
      </c>
      <c r="AA220" s="125">
        <f t="shared" si="37"/>
        <v>0</v>
      </c>
      <c r="AB220" s="125">
        <f t="shared" si="37"/>
        <v>0</v>
      </c>
      <c r="AC220" s="125">
        <f t="shared" si="37"/>
        <v>0</v>
      </c>
      <c r="AD220" s="125">
        <f t="shared" si="37"/>
        <v>0</v>
      </c>
      <c r="AE220" s="125">
        <f t="shared" si="37"/>
        <v>0</v>
      </c>
      <c r="AF220" s="126">
        <f t="shared" si="37"/>
        <v>0</v>
      </c>
      <c r="AG220" s="127">
        <f t="shared" si="37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38">AF222</f>
        <v>0</v>
      </c>
      <c r="C222" s="129">
        <v>0.3</v>
      </c>
      <c r="D222" s="129">
        <f t="shared" ref="D222:P227" si="39">C222</f>
        <v>0.3</v>
      </c>
      <c r="E222" s="129">
        <f t="shared" si="39"/>
        <v>0.3</v>
      </c>
      <c r="F222" s="129">
        <f t="shared" si="39"/>
        <v>0.3</v>
      </c>
      <c r="G222" s="129">
        <f t="shared" si="39"/>
        <v>0.3</v>
      </c>
      <c r="H222" s="129">
        <f t="shared" si="39"/>
        <v>0.3</v>
      </c>
      <c r="I222" s="129">
        <f t="shared" si="39"/>
        <v>0.3</v>
      </c>
      <c r="J222" s="129">
        <f t="shared" si="39"/>
        <v>0.3</v>
      </c>
      <c r="K222" s="129">
        <f t="shared" si="39"/>
        <v>0.3</v>
      </c>
      <c r="L222" s="129">
        <f t="shared" si="39"/>
        <v>0.3</v>
      </c>
      <c r="M222" s="129">
        <f t="shared" si="39"/>
        <v>0.3</v>
      </c>
      <c r="N222" s="129">
        <f t="shared" si="39"/>
        <v>0.3</v>
      </c>
      <c r="O222" s="129">
        <f t="shared" si="39"/>
        <v>0.3</v>
      </c>
      <c r="P222" s="129">
        <f t="shared" si="39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38"/>
        <v>0</v>
      </c>
      <c r="C223" s="117">
        <v>0.4</v>
      </c>
      <c r="D223" s="117">
        <f t="shared" si="39"/>
        <v>0.4</v>
      </c>
      <c r="E223" s="117">
        <f t="shared" si="39"/>
        <v>0.4</v>
      </c>
      <c r="F223" s="117">
        <f t="shared" si="39"/>
        <v>0.4</v>
      </c>
      <c r="G223" s="117">
        <f t="shared" si="39"/>
        <v>0.4</v>
      </c>
      <c r="H223" s="117">
        <f t="shared" si="39"/>
        <v>0.4</v>
      </c>
      <c r="I223" s="117">
        <f t="shared" si="39"/>
        <v>0.4</v>
      </c>
      <c r="J223" s="117">
        <f t="shared" si="39"/>
        <v>0.4</v>
      </c>
      <c r="K223" s="117">
        <f t="shared" si="39"/>
        <v>0.4</v>
      </c>
      <c r="L223" s="117">
        <f t="shared" si="39"/>
        <v>0.4</v>
      </c>
      <c r="M223" s="117">
        <f t="shared" si="39"/>
        <v>0.4</v>
      </c>
      <c r="N223" s="117">
        <f t="shared" si="39"/>
        <v>0.4</v>
      </c>
      <c r="O223" s="117">
        <f t="shared" si="39"/>
        <v>0.4</v>
      </c>
      <c r="P223" s="117">
        <f t="shared" si="39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38"/>
        <v>0</v>
      </c>
      <c r="C224" s="117">
        <v>1.5</v>
      </c>
      <c r="D224" s="117">
        <f t="shared" si="39"/>
        <v>1.5</v>
      </c>
      <c r="E224" s="117">
        <f t="shared" si="39"/>
        <v>1.5</v>
      </c>
      <c r="F224" s="117">
        <f t="shared" si="39"/>
        <v>1.5</v>
      </c>
      <c r="G224" s="117">
        <f t="shared" si="39"/>
        <v>1.5</v>
      </c>
      <c r="H224" s="117">
        <f t="shared" si="39"/>
        <v>1.5</v>
      </c>
      <c r="I224" s="117">
        <f t="shared" si="39"/>
        <v>1.5</v>
      </c>
      <c r="J224" s="117">
        <f t="shared" si="39"/>
        <v>1.5</v>
      </c>
      <c r="K224" s="117">
        <f t="shared" si="39"/>
        <v>1.5</v>
      </c>
      <c r="L224" s="117">
        <f t="shared" si="39"/>
        <v>1.5</v>
      </c>
      <c r="M224" s="117">
        <f t="shared" si="39"/>
        <v>1.5</v>
      </c>
      <c r="N224" s="117">
        <f t="shared" si="39"/>
        <v>1.5</v>
      </c>
      <c r="O224" s="117">
        <f t="shared" si="39"/>
        <v>1.5</v>
      </c>
      <c r="P224" s="117">
        <f t="shared" si="39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38"/>
        <v>0</v>
      </c>
      <c r="C225" s="117">
        <v>0.3</v>
      </c>
      <c r="D225" s="117">
        <f t="shared" si="39"/>
        <v>0.3</v>
      </c>
      <c r="E225" s="117">
        <f t="shared" si="39"/>
        <v>0.3</v>
      </c>
      <c r="F225" s="117">
        <f t="shared" si="39"/>
        <v>0.3</v>
      </c>
      <c r="G225" s="117">
        <f t="shared" si="39"/>
        <v>0.3</v>
      </c>
      <c r="H225" s="117">
        <f t="shared" si="39"/>
        <v>0.3</v>
      </c>
      <c r="I225" s="117">
        <f t="shared" si="39"/>
        <v>0.3</v>
      </c>
      <c r="J225" s="117">
        <f t="shared" si="39"/>
        <v>0.3</v>
      </c>
      <c r="K225" s="117">
        <f t="shared" si="39"/>
        <v>0.3</v>
      </c>
      <c r="L225" s="117">
        <f t="shared" si="39"/>
        <v>0.3</v>
      </c>
      <c r="M225" s="117">
        <f t="shared" si="39"/>
        <v>0.3</v>
      </c>
      <c r="N225" s="117">
        <f t="shared" si="39"/>
        <v>0.3</v>
      </c>
      <c r="O225" s="117">
        <f t="shared" si="39"/>
        <v>0.3</v>
      </c>
      <c r="P225" s="117">
        <f t="shared" si="39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38"/>
        <v>0</v>
      </c>
      <c r="C226" s="117">
        <v>0.4</v>
      </c>
      <c r="D226" s="117">
        <f t="shared" si="39"/>
        <v>0.4</v>
      </c>
      <c r="E226" s="117">
        <f t="shared" si="39"/>
        <v>0.4</v>
      </c>
      <c r="F226" s="117">
        <f t="shared" si="39"/>
        <v>0.4</v>
      </c>
      <c r="G226" s="117">
        <f t="shared" si="39"/>
        <v>0.4</v>
      </c>
      <c r="H226" s="117">
        <f t="shared" si="39"/>
        <v>0.4</v>
      </c>
      <c r="I226" s="117">
        <f t="shared" si="39"/>
        <v>0.4</v>
      </c>
      <c r="J226" s="117">
        <f t="shared" si="39"/>
        <v>0.4</v>
      </c>
      <c r="K226" s="117">
        <f t="shared" si="39"/>
        <v>0.4</v>
      </c>
      <c r="L226" s="117">
        <f t="shared" si="39"/>
        <v>0.4</v>
      </c>
      <c r="M226" s="117">
        <f t="shared" si="39"/>
        <v>0.4</v>
      </c>
      <c r="N226" s="117">
        <f t="shared" si="39"/>
        <v>0.4</v>
      </c>
      <c r="O226" s="117">
        <f t="shared" si="39"/>
        <v>0.4</v>
      </c>
      <c r="P226" s="117">
        <f t="shared" si="39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38"/>
        <v>0</v>
      </c>
      <c r="C227" s="121">
        <v>0.64</v>
      </c>
      <c r="D227" s="121">
        <f t="shared" si="39"/>
        <v>0.64</v>
      </c>
      <c r="E227" s="121">
        <f t="shared" si="39"/>
        <v>0.64</v>
      </c>
      <c r="F227" s="121">
        <f t="shared" si="39"/>
        <v>0.64</v>
      </c>
      <c r="G227" s="121">
        <f t="shared" si="39"/>
        <v>0.64</v>
      </c>
      <c r="H227" s="121">
        <f t="shared" si="39"/>
        <v>0.64</v>
      </c>
      <c r="I227" s="121">
        <f t="shared" si="39"/>
        <v>0.64</v>
      </c>
      <c r="J227" s="121">
        <f t="shared" si="39"/>
        <v>0.64</v>
      </c>
      <c r="K227" s="121">
        <f t="shared" si="39"/>
        <v>0.64</v>
      </c>
      <c r="L227" s="121">
        <f t="shared" si="39"/>
        <v>0.64</v>
      </c>
      <c r="M227" s="121">
        <f t="shared" si="39"/>
        <v>0.64</v>
      </c>
      <c r="N227" s="121">
        <f t="shared" si="39"/>
        <v>0.64</v>
      </c>
      <c r="O227" s="121">
        <f t="shared" si="39"/>
        <v>0.64</v>
      </c>
      <c r="P227" s="121">
        <f t="shared" si="39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40">SUM(B222:B227)</f>
        <v>0</v>
      </c>
      <c r="C228" s="125">
        <f t="shared" si="40"/>
        <v>3.54</v>
      </c>
      <c r="D228" s="125">
        <f t="shared" si="40"/>
        <v>3.54</v>
      </c>
      <c r="E228" s="125">
        <f t="shared" si="40"/>
        <v>3.54</v>
      </c>
      <c r="F228" s="125">
        <f t="shared" si="40"/>
        <v>3.54</v>
      </c>
      <c r="G228" s="125">
        <f t="shared" si="40"/>
        <v>3.54</v>
      </c>
      <c r="H228" s="125">
        <f t="shared" si="40"/>
        <v>3.54</v>
      </c>
      <c r="I228" s="125">
        <f t="shared" si="40"/>
        <v>3.54</v>
      </c>
      <c r="J228" s="125">
        <f t="shared" si="40"/>
        <v>3.54</v>
      </c>
      <c r="K228" s="125">
        <f t="shared" si="40"/>
        <v>3.54</v>
      </c>
      <c r="L228" s="125">
        <f t="shared" si="40"/>
        <v>3.54</v>
      </c>
      <c r="M228" s="125">
        <f t="shared" si="40"/>
        <v>3.54</v>
      </c>
      <c r="N228" s="125">
        <f t="shared" si="40"/>
        <v>3.54</v>
      </c>
      <c r="O228" s="125">
        <f t="shared" si="40"/>
        <v>3.54</v>
      </c>
      <c r="P228" s="125">
        <f t="shared" si="40"/>
        <v>3.54</v>
      </c>
      <c r="Q228" s="125">
        <f t="shared" si="40"/>
        <v>0</v>
      </c>
      <c r="R228" s="125">
        <f t="shared" si="40"/>
        <v>0</v>
      </c>
      <c r="S228" s="125">
        <f t="shared" si="40"/>
        <v>0</v>
      </c>
      <c r="T228" s="125">
        <f t="shared" si="40"/>
        <v>0</v>
      </c>
      <c r="U228" s="125">
        <f t="shared" si="40"/>
        <v>0</v>
      </c>
      <c r="V228" s="125">
        <f t="shared" si="40"/>
        <v>0</v>
      </c>
      <c r="W228" s="125">
        <f t="shared" si="40"/>
        <v>0</v>
      </c>
      <c r="X228" s="125">
        <f t="shared" si="40"/>
        <v>0</v>
      </c>
      <c r="Y228" s="125">
        <f t="shared" si="40"/>
        <v>0</v>
      </c>
      <c r="Z228" s="125">
        <f t="shared" si="40"/>
        <v>0</v>
      </c>
      <c r="AA228" s="125">
        <f t="shared" si="40"/>
        <v>0</v>
      </c>
      <c r="AB228" s="125">
        <f t="shared" si="40"/>
        <v>0</v>
      </c>
      <c r="AC228" s="125">
        <f t="shared" si="40"/>
        <v>0</v>
      </c>
      <c r="AD228" s="125">
        <f t="shared" si="40"/>
        <v>0</v>
      </c>
      <c r="AE228" s="125">
        <f t="shared" si="40"/>
        <v>0</v>
      </c>
      <c r="AF228" s="125">
        <f t="shared" si="40"/>
        <v>0</v>
      </c>
      <c r="AG228" s="134">
        <f t="shared" si="40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1666.94</v>
      </c>
      <c r="C237" s="150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2079/08/27)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41">B85</f>
        <v>1000.6400000000001</v>
      </c>
      <c r="U242" s="159">
        <f t="shared" si="41"/>
        <v>973.7399999999999</v>
      </c>
      <c r="V242" s="159">
        <f t="shared" si="41"/>
        <v>966.93999999999994</v>
      </c>
      <c r="W242" s="159">
        <f t="shared" si="41"/>
        <v>985.74</v>
      </c>
      <c r="X242" s="159">
        <f t="shared" si="41"/>
        <v>944.88</v>
      </c>
      <c r="Y242" s="159">
        <f t="shared" si="41"/>
        <v>1022.1400000000001</v>
      </c>
      <c r="Z242" s="159">
        <f t="shared" si="41"/>
        <v>1093.67</v>
      </c>
      <c r="AA242" s="159">
        <f t="shared" si="41"/>
        <v>1187.54</v>
      </c>
      <c r="AB242" s="159">
        <f t="shared" si="41"/>
        <v>1320.6399999999999</v>
      </c>
      <c r="AC242" s="159">
        <f t="shared" si="41"/>
        <v>1486.9399999999998</v>
      </c>
      <c r="AD242" s="159">
        <f t="shared" si="41"/>
        <v>1666.94</v>
      </c>
      <c r="AE242" s="159">
        <f t="shared" si="41"/>
        <v>1662.4399999999998</v>
      </c>
      <c r="AF242" s="159">
        <f t="shared" si="41"/>
        <v>1600.9399999999998</v>
      </c>
      <c r="AG242" s="159">
        <f t="shared" si="41"/>
        <v>1388.34</v>
      </c>
      <c r="AH242" s="159">
        <f t="shared" si="41"/>
        <v>1322.6399999999999</v>
      </c>
      <c r="AI242" s="159">
        <f t="shared" si="41"/>
        <v>1249.3400000000001</v>
      </c>
      <c r="AJ242" s="159">
        <f t="shared" si="41"/>
        <v>1168.44</v>
      </c>
      <c r="AK242" s="159">
        <f t="shared" si="41"/>
        <v>1180.1400000000001</v>
      </c>
      <c r="AL242" s="159">
        <f t="shared" si="41"/>
        <v>1226.5400000000002</v>
      </c>
      <c r="AM242" s="159">
        <f t="shared" si="41"/>
        <v>1248.04</v>
      </c>
      <c r="AN242" s="159">
        <f t="shared" si="41"/>
        <v>1331.14</v>
      </c>
      <c r="AO242" s="159">
        <f t="shared" si="41"/>
        <v>1580.3400000000001</v>
      </c>
      <c r="AP242" s="159">
        <f t="shared" si="41"/>
        <v>1673.74</v>
      </c>
      <c r="AQ242" s="159">
        <f t="shared" si="41"/>
        <v>1591.34</v>
      </c>
      <c r="AR242" s="159">
        <f t="shared" si="41"/>
        <v>1497.74</v>
      </c>
      <c r="AS242" s="159">
        <f t="shared" si="41"/>
        <v>1415.94</v>
      </c>
      <c r="AT242" s="159">
        <f t="shared" si="41"/>
        <v>1390.64</v>
      </c>
      <c r="AU242" s="159">
        <f t="shared" si="41"/>
        <v>1350.6399999999999</v>
      </c>
      <c r="AV242" s="159">
        <f t="shared" si="41"/>
        <v>1180.9399999999998</v>
      </c>
      <c r="AW242" s="159">
        <f t="shared" si="41"/>
        <v>1030.4399999999998</v>
      </c>
      <c r="AX242" s="159">
        <f t="shared" si="41"/>
        <v>1015.6399999999999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42">C227</f>
        <v>0.64</v>
      </c>
      <c r="C263" s="162">
        <f t="shared" si="42"/>
        <v>0.64</v>
      </c>
      <c r="D263" s="162">
        <f t="shared" si="42"/>
        <v>0.64</v>
      </c>
      <c r="E263" s="162">
        <f t="shared" si="42"/>
        <v>0.64</v>
      </c>
      <c r="F263" s="162">
        <f t="shared" si="42"/>
        <v>0.64</v>
      </c>
      <c r="G263" s="162">
        <f t="shared" si="42"/>
        <v>0.64</v>
      </c>
      <c r="H263" s="162">
        <f t="shared" si="42"/>
        <v>0.64</v>
      </c>
      <c r="I263" s="162">
        <f t="shared" si="42"/>
        <v>0.64</v>
      </c>
      <c r="J263" s="162">
        <f t="shared" si="42"/>
        <v>0.64</v>
      </c>
      <c r="K263" s="162">
        <f t="shared" si="42"/>
        <v>0.64</v>
      </c>
      <c r="L263" s="162">
        <f t="shared" si="42"/>
        <v>0.64</v>
      </c>
      <c r="M263" s="162">
        <f t="shared" si="42"/>
        <v>0.64</v>
      </c>
      <c r="N263" s="162">
        <f t="shared" si="42"/>
        <v>0.64</v>
      </c>
      <c r="O263" s="162">
        <f t="shared" si="42"/>
        <v>0.64</v>
      </c>
      <c r="P263" s="162">
        <f t="shared" si="42"/>
        <v>0</v>
      </c>
      <c r="Q263" s="162">
        <f t="shared" si="42"/>
        <v>0</v>
      </c>
      <c r="R263" s="162">
        <f t="shared" si="42"/>
        <v>0</v>
      </c>
      <c r="S263" s="162">
        <f t="shared" si="42"/>
        <v>0</v>
      </c>
      <c r="T263" s="162">
        <f t="shared" si="42"/>
        <v>0</v>
      </c>
      <c r="U263" s="162">
        <f t="shared" si="42"/>
        <v>0</v>
      </c>
      <c r="V263" s="162">
        <f t="shared" si="42"/>
        <v>0</v>
      </c>
      <c r="W263" s="162">
        <f t="shared" si="42"/>
        <v>0</v>
      </c>
      <c r="X263" s="162">
        <f t="shared" si="42"/>
        <v>0</v>
      </c>
      <c r="Y263" s="162">
        <f t="shared" si="42"/>
        <v>0</v>
      </c>
      <c r="Z263" s="162">
        <f t="shared" si="42"/>
        <v>0</v>
      </c>
      <c r="AA263" s="162">
        <f t="shared" si="42"/>
        <v>0</v>
      </c>
      <c r="AB263" s="162">
        <f t="shared" si="42"/>
        <v>0</v>
      </c>
      <c r="AC263" s="162">
        <f t="shared" si="42"/>
        <v>0</v>
      </c>
      <c r="AD263" s="162">
        <f t="shared" si="42"/>
        <v>0</v>
      </c>
      <c r="AE263" s="162">
        <f t="shared" si="42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43">IF(B231&lt;100,"",B231-520)</f>
        <v/>
      </c>
      <c r="C264" s="163" t="str">
        <f t="shared" si="43"/>
        <v/>
      </c>
      <c r="D264" s="163" t="str">
        <f t="shared" si="43"/>
        <v/>
      </c>
      <c r="E264" s="163" t="str">
        <f t="shared" si="43"/>
        <v/>
      </c>
      <c r="F264" s="163" t="str">
        <f t="shared" si="43"/>
        <v/>
      </c>
      <c r="G264" s="163" t="str">
        <f t="shared" si="43"/>
        <v/>
      </c>
      <c r="H264" s="163" t="str">
        <f t="shared" si="43"/>
        <v/>
      </c>
      <c r="I264" s="163" t="str">
        <f t="shared" si="43"/>
        <v/>
      </c>
      <c r="J264" s="163" t="str">
        <f t="shared" si="43"/>
        <v/>
      </c>
      <c r="K264" s="163" t="str">
        <f t="shared" si="43"/>
        <v/>
      </c>
      <c r="L264" s="163" t="str">
        <f t="shared" si="43"/>
        <v/>
      </c>
      <c r="M264" s="163" t="str">
        <f t="shared" si="43"/>
        <v/>
      </c>
      <c r="N264" s="163" t="str">
        <f t="shared" si="43"/>
        <v/>
      </c>
      <c r="O264" s="163" t="str">
        <f t="shared" si="43"/>
        <v/>
      </c>
      <c r="P264" s="163" t="str">
        <f t="shared" si="43"/>
        <v/>
      </c>
      <c r="Q264" s="163" t="str">
        <f t="shared" si="43"/>
        <v/>
      </c>
      <c r="R264" s="163" t="str">
        <f t="shared" si="43"/>
        <v/>
      </c>
      <c r="S264" s="163" t="str">
        <f t="shared" si="43"/>
        <v/>
      </c>
      <c r="T264" s="163" t="str">
        <f t="shared" si="43"/>
        <v/>
      </c>
      <c r="U264" s="163" t="str">
        <f t="shared" si="43"/>
        <v/>
      </c>
      <c r="V264" s="163" t="str">
        <f t="shared" si="43"/>
        <v/>
      </c>
      <c r="W264" s="163" t="str">
        <f t="shared" si="43"/>
        <v/>
      </c>
      <c r="X264" s="163" t="str">
        <f t="shared" si="43"/>
        <v/>
      </c>
      <c r="Y264" s="163" t="str">
        <f t="shared" si="43"/>
        <v/>
      </c>
      <c r="Z264" s="163" t="str">
        <f t="shared" si="43"/>
        <v/>
      </c>
      <c r="AA264" s="163" t="str">
        <f t="shared" si="43"/>
        <v/>
      </c>
      <c r="AB264" s="163" t="str">
        <f t="shared" si="43"/>
        <v/>
      </c>
      <c r="AC264" s="163" t="str">
        <f t="shared" si="43"/>
        <v/>
      </c>
      <c r="AD264" s="163" t="str">
        <f t="shared" si="43"/>
        <v/>
      </c>
      <c r="AE264" s="163" t="str">
        <f t="shared" si="43"/>
        <v/>
      </c>
      <c r="AF264" s="163" t="str">
        <f t="shared" si="43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44">IF(B232&lt;100,"",B232-620)</f>
        <v/>
      </c>
      <c r="C265" s="163" t="str">
        <f t="shared" si="44"/>
        <v/>
      </c>
      <c r="D265" s="163" t="str">
        <f t="shared" si="44"/>
        <v/>
      </c>
      <c r="E265" s="163" t="str">
        <f t="shared" si="44"/>
        <v/>
      </c>
      <c r="F265" s="163" t="str">
        <f t="shared" si="44"/>
        <v/>
      </c>
      <c r="G265" s="163" t="str">
        <f t="shared" si="44"/>
        <v/>
      </c>
      <c r="H265" s="163" t="str">
        <f t="shared" si="44"/>
        <v/>
      </c>
      <c r="I265" s="163" t="str">
        <f t="shared" si="44"/>
        <v/>
      </c>
      <c r="J265" s="163" t="str">
        <f t="shared" si="44"/>
        <v/>
      </c>
      <c r="K265" s="163" t="str">
        <f t="shared" si="44"/>
        <v/>
      </c>
      <c r="L265" s="163" t="str">
        <f t="shared" si="44"/>
        <v/>
      </c>
      <c r="M265" s="163" t="str">
        <f t="shared" si="44"/>
        <v/>
      </c>
      <c r="N265" s="163" t="str">
        <f t="shared" si="44"/>
        <v/>
      </c>
      <c r="O265" s="163" t="str">
        <f t="shared" si="44"/>
        <v/>
      </c>
      <c r="P265" s="163" t="str">
        <f t="shared" si="44"/>
        <v/>
      </c>
      <c r="Q265" s="163" t="str">
        <f t="shared" si="44"/>
        <v/>
      </c>
      <c r="R265" s="163" t="str">
        <f t="shared" si="44"/>
        <v/>
      </c>
      <c r="S265" s="163" t="str">
        <f t="shared" si="44"/>
        <v/>
      </c>
      <c r="T265" s="163" t="str">
        <f t="shared" si="44"/>
        <v/>
      </c>
      <c r="U265" s="163" t="str">
        <f t="shared" si="44"/>
        <v/>
      </c>
      <c r="V265" s="163" t="str">
        <f t="shared" si="44"/>
        <v/>
      </c>
      <c r="W265" s="163" t="str">
        <f t="shared" si="44"/>
        <v/>
      </c>
      <c r="X265" s="163" t="str">
        <f t="shared" si="44"/>
        <v/>
      </c>
      <c r="Y265" s="163" t="str">
        <f t="shared" si="44"/>
        <v/>
      </c>
      <c r="Z265" s="163" t="str">
        <f t="shared" si="44"/>
        <v/>
      </c>
      <c r="AA265" s="163" t="str">
        <f t="shared" si="44"/>
        <v/>
      </c>
      <c r="AB265" s="163" t="str">
        <f t="shared" si="44"/>
        <v/>
      </c>
      <c r="AC265" s="163" t="str">
        <f t="shared" si="44"/>
        <v/>
      </c>
      <c r="AD265" s="163" t="str">
        <f t="shared" si="44"/>
        <v/>
      </c>
      <c r="AE265" s="163" t="str">
        <f t="shared" si="44"/>
        <v/>
      </c>
      <c r="AF265" s="163" t="str">
        <f t="shared" si="44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45">IF(B233&lt;100,"",B233-330)</f>
        <v/>
      </c>
      <c r="C266" s="163" t="str">
        <f t="shared" si="45"/>
        <v/>
      </c>
      <c r="D266" s="163" t="str">
        <f t="shared" si="45"/>
        <v/>
      </c>
      <c r="E266" s="163" t="str">
        <f t="shared" si="45"/>
        <v/>
      </c>
      <c r="F266" s="163" t="str">
        <f t="shared" si="45"/>
        <v/>
      </c>
      <c r="G266" s="163" t="str">
        <f t="shared" si="45"/>
        <v/>
      </c>
      <c r="H266" s="163" t="str">
        <f t="shared" si="45"/>
        <v/>
      </c>
      <c r="I266" s="163" t="str">
        <f t="shared" si="45"/>
        <v/>
      </c>
      <c r="J266" s="163" t="str">
        <f t="shared" si="45"/>
        <v/>
      </c>
      <c r="K266" s="163" t="str">
        <f t="shared" si="45"/>
        <v/>
      </c>
      <c r="L266" s="163" t="str">
        <f t="shared" si="45"/>
        <v/>
      </c>
      <c r="M266" s="163" t="str">
        <f t="shared" si="45"/>
        <v/>
      </c>
      <c r="N266" s="163" t="str">
        <f t="shared" si="45"/>
        <v/>
      </c>
      <c r="O266" s="163" t="str">
        <f t="shared" si="45"/>
        <v/>
      </c>
      <c r="P266" s="163" t="str">
        <f t="shared" si="45"/>
        <v/>
      </c>
      <c r="Q266" s="163" t="str">
        <f t="shared" si="45"/>
        <v/>
      </c>
      <c r="R266" s="163" t="str">
        <f t="shared" si="45"/>
        <v/>
      </c>
      <c r="S266" s="163" t="str">
        <f t="shared" si="45"/>
        <v/>
      </c>
      <c r="T266" s="163" t="str">
        <f t="shared" si="45"/>
        <v/>
      </c>
      <c r="U266" s="163" t="str">
        <f t="shared" si="45"/>
        <v/>
      </c>
      <c r="V266" s="163" t="str">
        <f t="shared" si="45"/>
        <v/>
      </c>
      <c r="W266" s="163" t="str">
        <f t="shared" si="45"/>
        <v/>
      </c>
      <c r="X266" s="163" t="str">
        <f t="shared" si="45"/>
        <v/>
      </c>
      <c r="Y266" s="163" t="str">
        <f t="shared" si="45"/>
        <v/>
      </c>
      <c r="Z266" s="163" t="str">
        <f t="shared" si="45"/>
        <v/>
      </c>
      <c r="AA266" s="163" t="str">
        <f t="shared" si="45"/>
        <v/>
      </c>
      <c r="AB266" s="163" t="str">
        <f t="shared" si="45"/>
        <v/>
      </c>
      <c r="AC266" s="163" t="str">
        <f t="shared" si="45"/>
        <v/>
      </c>
      <c r="AD266" s="163" t="str">
        <f t="shared" si="45"/>
        <v/>
      </c>
      <c r="AE266" s="163" t="str">
        <f t="shared" si="45"/>
        <v/>
      </c>
      <c r="AF266" s="163" t="str">
        <f t="shared" si="45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46">IF(B234&lt;100,"",B234-1500)</f>
        <v/>
      </c>
      <c r="C267" s="163" t="str">
        <f t="shared" si="46"/>
        <v/>
      </c>
      <c r="D267" s="163" t="str">
        <f t="shared" si="46"/>
        <v/>
      </c>
      <c r="E267" s="163" t="str">
        <f t="shared" si="46"/>
        <v/>
      </c>
      <c r="F267" s="163" t="str">
        <f t="shared" si="46"/>
        <v/>
      </c>
      <c r="G267" s="163" t="str">
        <f t="shared" si="46"/>
        <v/>
      </c>
      <c r="H267" s="163" t="str">
        <f t="shared" si="46"/>
        <v/>
      </c>
      <c r="I267" s="163" t="str">
        <f t="shared" si="46"/>
        <v/>
      </c>
      <c r="J267" s="163" t="str">
        <f t="shared" si="46"/>
        <v/>
      </c>
      <c r="K267" s="163" t="str">
        <f t="shared" si="46"/>
        <v/>
      </c>
      <c r="L267" s="163" t="str">
        <f t="shared" si="46"/>
        <v/>
      </c>
      <c r="M267" s="163" t="str">
        <f t="shared" si="46"/>
        <v/>
      </c>
      <c r="N267" s="163" t="str">
        <f t="shared" si="46"/>
        <v/>
      </c>
      <c r="O267" s="163" t="str">
        <f t="shared" si="46"/>
        <v/>
      </c>
      <c r="P267" s="163" t="str">
        <f t="shared" si="46"/>
        <v/>
      </c>
      <c r="Q267" s="163" t="str">
        <f t="shared" si="46"/>
        <v/>
      </c>
      <c r="R267" s="163" t="str">
        <f t="shared" si="46"/>
        <v/>
      </c>
      <c r="S267" s="163" t="str">
        <f t="shared" si="46"/>
        <v/>
      </c>
      <c r="T267" s="163" t="str">
        <f t="shared" si="46"/>
        <v/>
      </c>
      <c r="U267" s="163" t="str">
        <f t="shared" si="46"/>
        <v/>
      </c>
      <c r="V267" s="163" t="str">
        <f t="shared" si="46"/>
        <v/>
      </c>
      <c r="W267" s="163" t="str">
        <f t="shared" si="46"/>
        <v/>
      </c>
      <c r="X267" s="163" t="str">
        <f t="shared" si="46"/>
        <v/>
      </c>
      <c r="Y267" s="163" t="str">
        <f t="shared" si="46"/>
        <v/>
      </c>
      <c r="Z267" s="163" t="str">
        <f t="shared" si="46"/>
        <v/>
      </c>
      <c r="AA267" s="163" t="str">
        <f t="shared" si="46"/>
        <v/>
      </c>
      <c r="AB267" s="163" t="str">
        <f t="shared" si="46"/>
        <v/>
      </c>
      <c r="AC267" s="163" t="str">
        <f t="shared" si="46"/>
        <v/>
      </c>
      <c r="AD267" s="163" t="str">
        <f t="shared" si="46"/>
        <v/>
      </c>
      <c r="AE267" s="163" t="str">
        <f t="shared" si="46"/>
        <v/>
      </c>
      <c r="AF267" s="163" t="str">
        <f t="shared" si="4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105:AF105 C107:AF112 X11:AF11 X22:AF26 X17:AF18 X15:AF15">
    <cfRule type="expression" dxfId="2435" priority="375">
      <formula>B$9&gt;=20/24</formula>
    </cfRule>
    <cfRule type="expression" dxfId="2434" priority="376">
      <formula>AND(B$9&gt;=14/24,B$9&lt;20/24)</formula>
    </cfRule>
    <cfRule type="expression" dxfId="2433" priority="377">
      <formula>AND(B$9&gt;=8/24,B$9&lt;14/24)</formula>
    </cfRule>
    <cfRule type="expression" dxfId="2432" priority="378">
      <formula>B$9&lt;8/24</formula>
    </cfRule>
  </conditionalFormatting>
  <conditionalFormatting sqref="AL4:AL6">
    <cfRule type="iconSet" priority="374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2431" priority="370">
      <formula>S$9&gt;=20/24</formula>
    </cfRule>
    <cfRule type="expression" dxfId="2430" priority="371">
      <formula>AND(S$9&gt;=14/24,S$9&lt;20/24)</formula>
    </cfRule>
    <cfRule type="expression" dxfId="2429" priority="372">
      <formula>AND(S$9&gt;=8/24,S$9&lt;14/24)</formula>
    </cfRule>
    <cfRule type="expression" dxfId="2428" priority="373">
      <formula>S$9&lt;8/24</formula>
    </cfRule>
  </conditionalFormatting>
  <conditionalFormatting sqref="AG61 S43:AF43 T41:AF41 X20:AF20 X22:AF26 X11:AF18">
    <cfRule type="expression" dxfId="2427" priority="369">
      <formula>S11&gt;$AG11</formula>
    </cfRule>
  </conditionalFormatting>
  <conditionalFormatting sqref="A95:A105 A55:A82 A91:A93 A198:A228 A42:A53 A114:A185 A38:A39 A87:A89 A84:A85 A107:A109 A35:A36 A17:A18 A11:A15 A20:A33">
    <cfRule type="expression" dxfId="2426" priority="368">
      <formula>$AH11=0</formula>
    </cfRule>
  </conditionalFormatting>
  <conditionalFormatting sqref="A110">
    <cfRule type="expression" dxfId="2425" priority="367">
      <formula>$AH110=0</formula>
    </cfRule>
  </conditionalFormatting>
  <conditionalFormatting sqref="AL39">
    <cfRule type="iconSet" priority="366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424" priority="365">
      <formula>$AH41=0</formula>
    </cfRule>
  </conditionalFormatting>
  <conditionalFormatting sqref="A94">
    <cfRule type="expression" dxfId="2423" priority="364">
      <formula>$AH94=0</formula>
    </cfRule>
  </conditionalFormatting>
  <conditionalFormatting sqref="A16">
    <cfRule type="expression" dxfId="2422" priority="363">
      <formula>$AH16=0</formula>
    </cfRule>
  </conditionalFormatting>
  <conditionalFormatting sqref="A192:A197">
    <cfRule type="expression" dxfId="2421" priority="362">
      <formula>$AH192=0</formula>
    </cfRule>
  </conditionalFormatting>
  <conditionalFormatting sqref="A186:A191">
    <cfRule type="expression" dxfId="2420" priority="361">
      <formula>$AH186=0</formula>
    </cfRule>
  </conditionalFormatting>
  <conditionalFormatting sqref="A54">
    <cfRule type="expression" dxfId="2419" priority="360">
      <formula>$AH54=0</formula>
    </cfRule>
  </conditionalFormatting>
  <conditionalFormatting sqref="A90">
    <cfRule type="expression" dxfId="2418" priority="359">
      <formula>$AH90=0</formula>
    </cfRule>
  </conditionalFormatting>
  <conditionalFormatting sqref="C95:AF95">
    <cfRule type="expression" dxfId="2417" priority="355">
      <formula>C$9&gt;=20/24</formula>
    </cfRule>
    <cfRule type="expression" dxfId="2416" priority="356">
      <formula>AND(C$9&gt;=14/24,C$9&lt;20/24)</formula>
    </cfRule>
    <cfRule type="expression" dxfId="2415" priority="357">
      <formula>AND(C$9&gt;=8/24,C$9&lt;14/24)</formula>
    </cfRule>
    <cfRule type="expression" dxfId="2414" priority="358">
      <formula>C$9&lt;8/24</formula>
    </cfRule>
  </conditionalFormatting>
  <conditionalFormatting sqref="AL40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413" priority="381">
      <formula>C$9&gt;=20/24</formula>
    </cfRule>
    <cfRule type="expression" dxfId="2412" priority="382">
      <formula>AND(C$9&gt;=14/24,C$9&lt;20/24)</formula>
    </cfRule>
    <cfRule type="expression" dxfId="2411" priority="383">
      <formula>AND(C$9&gt;=8/24,C$9&lt;14/24)</formula>
    </cfRule>
    <cfRule type="expression" dxfId="2410" priority="384">
      <formula>C$9&lt;8/24</formula>
    </cfRule>
  </conditionalFormatting>
  <conditionalFormatting sqref="A229">
    <cfRule type="expression" dxfId="2409" priority="385">
      <formula>$AH229=0</formula>
    </cfRule>
  </conditionalFormatting>
  <conditionalFormatting sqref="AG241">
    <cfRule type="expression" dxfId="2408" priority="386">
      <formula>B$9&gt;=20/24</formula>
    </cfRule>
    <cfRule type="expression" dxfId="2407" priority="387">
      <formula>AND(B$9&gt;=14/24,B$9&lt;20/24)</formula>
    </cfRule>
    <cfRule type="expression" dxfId="2406" priority="388">
      <formula>AND(B$9&gt;=8/24,B$9&lt;14/24)</formula>
    </cfRule>
    <cfRule type="expression" dxfId="2405" priority="389">
      <formula>B$9&lt;8/24</formula>
    </cfRule>
  </conditionalFormatting>
  <conditionalFormatting sqref="S8">
    <cfRule type="expression" dxfId="2404" priority="350">
      <formula>U$9&gt;=20/24</formula>
    </cfRule>
    <cfRule type="expression" dxfId="2403" priority="351">
      <formula>AND(U$9&gt;=14/24,U$9&lt;20/24)</formula>
    </cfRule>
    <cfRule type="expression" dxfId="2402" priority="352">
      <formula>AND(U$9&gt;=8/24,U$9&lt;14/24)</formula>
    </cfRule>
    <cfRule type="expression" dxfId="2401" priority="353">
      <formula>U$9&lt;8/24</formula>
    </cfRule>
  </conditionalFormatting>
  <conditionalFormatting sqref="AB8">
    <cfRule type="expression" dxfId="2400" priority="346">
      <formula>AD$9&gt;=20/24</formula>
    </cfRule>
    <cfRule type="expression" dxfId="2399" priority="347">
      <formula>AND(AD$9&gt;=14/24,AD$9&lt;20/24)</formula>
    </cfRule>
    <cfRule type="expression" dxfId="2398" priority="348">
      <formula>AND(AD$9&gt;=8/24,AD$9&lt;14/24)</formula>
    </cfRule>
    <cfRule type="expression" dxfId="2397" priority="349">
      <formula>AD$9&lt;8/24</formula>
    </cfRule>
  </conditionalFormatting>
  <conditionalFormatting sqref="AH241:AX241">
    <cfRule type="expression" dxfId="2396" priority="390">
      <formula>AG$9&gt;=20/24</formula>
    </cfRule>
    <cfRule type="expression" dxfId="2395" priority="391">
      <formula>AND(AG$9&gt;=14/24,AG$9&lt;20/24)</formula>
    </cfRule>
    <cfRule type="expression" dxfId="2394" priority="392">
      <formula>AND(AG$9&gt;=8/24,AG$9&lt;14/24)</formula>
    </cfRule>
    <cfRule type="expression" dxfId="2393" priority="393">
      <formula>AG$9&lt;8/24</formula>
    </cfRule>
  </conditionalFormatting>
  <conditionalFormatting sqref="T241">
    <cfRule type="expression" dxfId="2392" priority="394">
      <formula>AX$9&gt;=20/24</formula>
    </cfRule>
    <cfRule type="expression" dxfId="2391" priority="395">
      <formula>AND(AX$9&gt;=14/24,AX$9&lt;20/24)</formula>
    </cfRule>
    <cfRule type="expression" dxfId="2390" priority="396">
      <formula>AND(AX$9&gt;=8/24,AX$9&lt;14/24)</formula>
    </cfRule>
    <cfRule type="expression" dxfId="2389" priority="397">
      <formula>AX$9&lt;8/24</formula>
    </cfRule>
  </conditionalFormatting>
  <conditionalFormatting sqref="A111:A112">
    <cfRule type="expression" dxfId="2388" priority="345">
      <formula>$AH111=0</formula>
    </cfRule>
  </conditionalFormatting>
  <conditionalFormatting sqref="E50:M51 M52 N50:P52 T50:W51 Z50:AF51 E67:AF67">
    <cfRule type="expression" dxfId="2387" priority="341">
      <formula>E$9&gt;=20/24</formula>
    </cfRule>
    <cfRule type="expression" dxfId="2386" priority="342">
      <formula>AND(E$9&gt;=14/24,E$9&lt;20/24)</formula>
    </cfRule>
    <cfRule type="expression" dxfId="2385" priority="343">
      <formula>AND(E$9&gt;=8/24,E$9&lt;14/24)</formula>
    </cfRule>
    <cfRule type="expression" dxfId="2384" priority="344">
      <formula>E$9&lt;8/24</formula>
    </cfRule>
  </conditionalFormatting>
  <conditionalFormatting sqref="E49:L49 T49:W49 Z49:AF49">
    <cfRule type="expression" dxfId="2383" priority="337">
      <formula>E$9&gt;=20/24</formula>
    </cfRule>
    <cfRule type="expression" dxfId="2382" priority="338">
      <formula>AND(E$9&gt;=14/24,E$9&lt;20/24)</formula>
    </cfRule>
    <cfRule type="expression" dxfId="2381" priority="339">
      <formula>AND(E$9&gt;=8/24,E$9&lt;14/24)</formula>
    </cfRule>
    <cfRule type="expression" dxfId="2380" priority="340">
      <formula>E$9&lt;8/24</formula>
    </cfRule>
  </conditionalFormatting>
  <conditionalFormatting sqref="E49:L49 E50:M51 M52 N50:P52 T49:W51 Z49:AF51">
    <cfRule type="expression" dxfId="2379" priority="336">
      <formula>E49&gt;$AG49</formula>
    </cfRule>
  </conditionalFormatting>
  <conditionalFormatting sqref="C92:AF92 L43:R43 E68:S69 D96:AF102 S63:AF65 C79:AF82 X28:AF31 X33:AF33 X12:AF14 X20:AF20 X35:AF38 T68:AF77">
    <cfRule type="expression" dxfId="2378" priority="332">
      <formula>C$9&gt;=20/24</formula>
    </cfRule>
    <cfRule type="expression" dxfId="2377" priority="333">
      <formula>AND(C$9&gt;=14/24,C$9&lt;20/24)</formula>
    </cfRule>
    <cfRule type="expression" dxfId="2376" priority="334">
      <formula>AND(C$9&gt;=8/24,C$9&lt;14/24)</formula>
    </cfRule>
    <cfRule type="expression" dxfId="2375" priority="335">
      <formula>C$9&lt;8/24</formula>
    </cfRule>
  </conditionalFormatting>
  <conditionalFormatting sqref="X39:AF39">
    <cfRule type="expression" dxfId="2374" priority="328">
      <formula>X$9&gt;=20/24</formula>
    </cfRule>
    <cfRule type="expression" dxfId="2373" priority="329">
      <formula>AND(X$9&gt;=14/24,X$9&lt;20/24)</formula>
    </cfRule>
    <cfRule type="expression" dxfId="2372" priority="330">
      <formula>AND(X$9&gt;=8/24,X$9&lt;14/24)</formula>
    </cfRule>
    <cfRule type="expression" dxfId="2371" priority="331">
      <formula>X$9&lt;8/24</formula>
    </cfRule>
  </conditionalFormatting>
  <conditionalFormatting sqref="C61:AF61 L43:R43 E52:L52 S63:AF65 X28:AF33 X35:AF39 AC52:AF53">
    <cfRule type="expression" dxfId="2370" priority="327">
      <formula>C28&gt;$AG28</formula>
    </cfRule>
  </conditionalFormatting>
  <conditionalFormatting sqref="T41:AF41">
    <cfRule type="expression" dxfId="2369" priority="323">
      <formula>T$9&gt;=20/24</formula>
    </cfRule>
    <cfRule type="expression" dxfId="2368" priority="324">
      <formula>AND(T$9&gt;=14/24,T$9&lt;20/24)</formula>
    </cfRule>
    <cfRule type="expression" dxfId="2367" priority="325">
      <formula>AND(T$9&gt;=8/24,T$9&lt;14/24)</formula>
    </cfRule>
    <cfRule type="expression" dxfId="2366" priority="326">
      <formula>T$9&lt;8/24</formula>
    </cfRule>
  </conditionalFormatting>
  <conditionalFormatting sqref="X16:AF16">
    <cfRule type="expression" dxfId="2365" priority="319">
      <formula>X$9&gt;=20/24</formula>
    </cfRule>
    <cfRule type="expression" dxfId="2364" priority="320">
      <formula>AND(X$9&gt;=14/24,X$9&lt;20/24)</formula>
    </cfRule>
    <cfRule type="expression" dxfId="2363" priority="321">
      <formula>AND(X$9&gt;=8/24,X$9&lt;14/24)</formula>
    </cfRule>
    <cfRule type="expression" dxfId="2362" priority="322">
      <formula>X$9&lt;8/24</formula>
    </cfRule>
  </conditionalFormatting>
  <conditionalFormatting sqref="X40:AF40">
    <cfRule type="expression" dxfId="2361" priority="315">
      <formula>X$9&gt;=20/24</formula>
    </cfRule>
    <cfRule type="expression" dxfId="2360" priority="316">
      <formula>AND(X$9&gt;=14/24,X$9&lt;20/24)</formula>
    </cfRule>
    <cfRule type="expression" dxfId="2359" priority="317">
      <formula>AND(X$9&gt;=8/24,X$9&lt;14/24)</formula>
    </cfRule>
    <cfRule type="expression" dxfId="2358" priority="318">
      <formula>X$9&lt;8/24</formula>
    </cfRule>
  </conditionalFormatting>
  <conditionalFormatting sqref="X40:AF40">
    <cfRule type="expression" dxfId="2357" priority="314">
      <formula>X40&gt;$AG40</formula>
    </cfRule>
  </conditionalFormatting>
  <conditionalFormatting sqref="W52:AB53 AC54:AF60">
    <cfRule type="expression" dxfId="2356" priority="310">
      <formula>W$9&gt;=20/24</formula>
    </cfRule>
    <cfRule type="expression" dxfId="2355" priority="311">
      <formula>AND(W$9&gt;=14/24,W$9&lt;20/24)</formula>
    </cfRule>
    <cfRule type="expression" dxfId="2354" priority="312">
      <formula>AND(W$9&gt;=8/24,W$9&lt;14/24)</formula>
    </cfRule>
    <cfRule type="expression" dxfId="2353" priority="313">
      <formula>W$9&lt;8/24</formula>
    </cfRule>
  </conditionalFormatting>
  <conditionalFormatting sqref="W52:AB53 AC54:AF60">
    <cfRule type="expression" dxfId="2352" priority="309">
      <formula>W52&gt;$AG52</formula>
    </cfRule>
  </conditionalFormatting>
  <conditionalFormatting sqref="U54 M49:P49 T52:U53 Q49:S53 V52:V54 W54:Y54 Z54:AB55">
    <cfRule type="expression" dxfId="2351" priority="305">
      <formula>M$9&gt;=20/24</formula>
    </cfRule>
    <cfRule type="expression" dxfId="2350" priority="306">
      <formula>AND(M$9&gt;=14/24,M$9&lt;20/24)</formula>
    </cfRule>
    <cfRule type="expression" dxfId="2349" priority="307">
      <formula>AND(M$9&gt;=8/24,M$9&lt;14/24)</formula>
    </cfRule>
    <cfRule type="expression" dxfId="2348" priority="308">
      <formula>M$9&lt;8/24</formula>
    </cfRule>
  </conditionalFormatting>
  <conditionalFormatting sqref="U54 M49:P49 T52:U53 Q49:S53 V52:V54 W54:Y54 Z54:AB55">
    <cfRule type="expression" dxfId="2347" priority="304">
      <formula>M49&gt;$AG49</formula>
    </cfRule>
  </conditionalFormatting>
  <conditionalFormatting sqref="X32:AF32">
    <cfRule type="expression" dxfId="2346" priority="300">
      <formula>X$9&gt;=20/24</formula>
    </cfRule>
    <cfRule type="expression" dxfId="2345" priority="301">
      <formula>AND(X$9&gt;=14/24,X$9&lt;20/24)</formula>
    </cfRule>
    <cfRule type="expression" dxfId="2344" priority="302">
      <formula>AND(X$9&gt;=8/24,X$9&lt;14/24)</formula>
    </cfRule>
    <cfRule type="expression" dxfId="2343" priority="303">
      <formula>X$9&lt;8/24</formula>
    </cfRule>
  </conditionalFormatting>
  <conditionalFormatting sqref="X21:AF21 X27:AF27">
    <cfRule type="expression" dxfId="2342" priority="296">
      <formula>X$9&gt;=20/24</formula>
    </cfRule>
    <cfRule type="expression" dxfId="2341" priority="297">
      <formula>AND(X$9&gt;=14/24,X$9&lt;20/24)</formula>
    </cfRule>
    <cfRule type="expression" dxfId="2340" priority="298">
      <formula>AND(X$9&gt;=8/24,X$9&lt;14/24)</formula>
    </cfRule>
    <cfRule type="expression" dxfId="2339" priority="299">
      <formula>X$9&lt;8/24</formula>
    </cfRule>
  </conditionalFormatting>
  <conditionalFormatting sqref="X21:AF21 X27:AF27">
    <cfRule type="expression" dxfId="2338" priority="295">
      <formula>X21&gt;$AG21</formula>
    </cfRule>
  </conditionalFormatting>
  <conditionalFormatting sqref="D49">
    <cfRule type="expression" dxfId="2337" priority="291">
      <formula>D$9&gt;=20/24</formula>
    </cfRule>
    <cfRule type="expression" dxfId="2336" priority="292">
      <formula>AND(D$9&gt;=14/24,D$9&lt;20/24)</formula>
    </cfRule>
    <cfRule type="expression" dxfId="2335" priority="293">
      <formula>AND(D$9&gt;=8/24,D$9&lt;14/24)</formula>
    </cfRule>
    <cfRule type="expression" dxfId="2334" priority="294">
      <formula>D$9&lt;8/24</formula>
    </cfRule>
  </conditionalFormatting>
  <conditionalFormatting sqref="D49">
    <cfRule type="expression" dxfId="2333" priority="290">
      <formula>D49&gt;$AG49</formula>
    </cfRule>
  </conditionalFormatting>
  <conditionalFormatting sqref="X50:Y51">
    <cfRule type="expression" dxfId="2332" priority="286">
      <formula>X$9&gt;=20/24</formula>
    </cfRule>
    <cfRule type="expression" dxfId="2331" priority="287">
      <formula>AND(X$9&gt;=14/24,X$9&lt;20/24)</formula>
    </cfRule>
    <cfRule type="expression" dxfId="2330" priority="288">
      <formula>AND(X$9&gt;=8/24,X$9&lt;14/24)</formula>
    </cfRule>
    <cfRule type="expression" dxfId="2329" priority="289">
      <formula>X$9&lt;8/24</formula>
    </cfRule>
  </conditionalFormatting>
  <conditionalFormatting sqref="X49:Y49">
    <cfRule type="expression" dxfId="2328" priority="282">
      <formula>X$9&gt;=20/24</formula>
    </cfRule>
    <cfRule type="expression" dxfId="2327" priority="283">
      <formula>AND(X$9&gt;=14/24,X$9&lt;20/24)</formula>
    </cfRule>
    <cfRule type="expression" dxfId="2326" priority="284">
      <formula>AND(X$9&gt;=8/24,X$9&lt;14/24)</formula>
    </cfRule>
    <cfRule type="expression" dxfId="2325" priority="285">
      <formula>X$9&lt;8/24</formula>
    </cfRule>
  </conditionalFormatting>
  <conditionalFormatting sqref="X49:Y51">
    <cfRule type="expression" dxfId="2324" priority="281">
      <formula>X49&gt;$AG49</formula>
    </cfRule>
  </conditionalFormatting>
  <conditionalFormatting sqref="C84:AF84 C93:AF93">
    <cfRule type="expression" dxfId="2323" priority="277">
      <formula>C$9&gt;=20/24</formula>
    </cfRule>
    <cfRule type="expression" dxfId="2322" priority="278">
      <formula>AND(C$9&gt;=14/24,C$9&lt;20/24)</formula>
    </cfRule>
    <cfRule type="expression" dxfId="2321" priority="279">
      <formula>AND(C$9&gt;=8/24,C$9&lt;14/24)</formula>
    </cfRule>
    <cfRule type="expression" dxfId="2320" priority="280">
      <formula>C$9&lt;8/24</formula>
    </cfRule>
  </conditionalFormatting>
  <conditionalFormatting sqref="C43:K43">
    <cfRule type="expression" dxfId="2319" priority="273">
      <formula>C$9&gt;=20/24</formula>
    </cfRule>
    <cfRule type="expression" dxfId="2318" priority="274">
      <formula>AND(C$9&gt;=14/24,C$9&lt;20/24)</formula>
    </cfRule>
    <cfRule type="expression" dxfId="2317" priority="275">
      <formula>AND(C$9&gt;=8/24,C$9&lt;14/24)</formula>
    </cfRule>
    <cfRule type="expression" dxfId="2316" priority="276">
      <formula>C$9&lt;8/24</formula>
    </cfRule>
  </conditionalFormatting>
  <conditionalFormatting sqref="C43:K43">
    <cfRule type="expression" dxfId="2315" priority="272">
      <formula>C43&gt;$AG43</formula>
    </cfRule>
  </conditionalFormatting>
  <conditionalFormatting sqref="C50:D51 C42:AF42">
    <cfRule type="expression" dxfId="2314" priority="264">
      <formula>C$9&gt;=20/24</formula>
    </cfRule>
    <cfRule type="expression" dxfId="2313" priority="265">
      <formula>AND(C$9&gt;=14/24,C$9&lt;20/24)</formula>
    </cfRule>
    <cfRule type="expression" dxfId="2312" priority="266">
      <formula>AND(C$9&gt;=8/24,C$9&lt;14/24)</formula>
    </cfRule>
    <cfRule type="expression" dxfId="2311" priority="267">
      <formula>C$9&lt;8/24</formula>
    </cfRule>
  </conditionalFormatting>
  <conditionalFormatting sqref="C49">
    <cfRule type="expression" dxfId="2310" priority="260">
      <formula>C$9&gt;=20/24</formula>
    </cfRule>
    <cfRule type="expression" dxfId="2309" priority="261">
      <formula>AND(C$9&gt;=14/24,C$9&lt;20/24)</formula>
    </cfRule>
    <cfRule type="expression" dxfId="2308" priority="262">
      <formula>AND(C$9&gt;=8/24,C$9&lt;14/24)</formula>
    </cfRule>
    <cfRule type="expression" dxfId="2307" priority="263">
      <formula>C$9&lt;8/24</formula>
    </cfRule>
  </conditionalFormatting>
  <conditionalFormatting sqref="C49:C51 D50:D51 C42:AF42">
    <cfRule type="expression" dxfId="2306" priority="259">
      <formula>C42&gt;$AG42</formula>
    </cfRule>
  </conditionalFormatting>
  <conditionalFormatting sqref="C85:AF85 C66:AG66 C83:AG83 C94:AF94 C96:C102 G70:J71 S70:S77 E63:R65 K70:R72">
    <cfRule type="expression" dxfId="2305" priority="255">
      <formula>C$9&gt;=20/24</formula>
    </cfRule>
    <cfRule type="expression" dxfId="2304" priority="256">
      <formula>AND(C$9&gt;=14/24,C$9&lt;20/24)</formula>
    </cfRule>
    <cfRule type="expression" dxfId="2303" priority="257">
      <formula>AND(C$9&gt;=8/24,C$9&lt;14/24)</formula>
    </cfRule>
    <cfRule type="expression" dxfId="2302" priority="258">
      <formula>C$9&lt;8/24</formula>
    </cfRule>
  </conditionalFormatting>
  <conditionalFormatting sqref="C44:AG44 C62:AG62 C66:AG66 C52:D52 E53:P53 E63:R65">
    <cfRule type="expression" dxfId="2301" priority="250">
      <formula>C44&gt;$AG44</formula>
    </cfRule>
  </conditionalFormatting>
  <conditionalFormatting sqref="E54:K54 I55:K55 L54:T55 U55:Y55">
    <cfRule type="expression" dxfId="2300" priority="233">
      <formula>E$9&gt;=20/24</formula>
    </cfRule>
    <cfRule type="expression" dxfId="2299" priority="234">
      <formula>AND(E$9&gt;=14/24,E$9&lt;20/24)</formula>
    </cfRule>
    <cfRule type="expression" dxfId="2298" priority="235">
      <formula>AND(E$9&gt;=8/24,E$9&lt;14/24)</formula>
    </cfRule>
    <cfRule type="expression" dxfId="2297" priority="236">
      <formula>E$9&lt;8/24</formula>
    </cfRule>
  </conditionalFormatting>
  <conditionalFormatting sqref="E54:K54 I55:K55 L54:T55 U55:Y55">
    <cfRule type="expression" dxfId="2296" priority="232">
      <formula>E54&gt;$AG54</formula>
    </cfRule>
  </conditionalFormatting>
  <conditionalFormatting sqref="A40">
    <cfRule type="expression" dxfId="2295" priority="222">
      <formula>$AH40=0</formula>
    </cfRule>
  </conditionalFormatting>
  <conditionalFormatting sqref="C78:AF78">
    <cfRule type="expression" dxfId="2294" priority="218">
      <formula>C$9&gt;=20/24</formula>
    </cfRule>
    <cfRule type="expression" dxfId="2293" priority="219">
      <formula>AND(C$9&gt;=14/24,C$9&lt;20/24)</formula>
    </cfRule>
    <cfRule type="expression" dxfId="2292" priority="220">
      <formula>AND(C$9&gt;=8/24,C$9&lt;14/24)</formula>
    </cfRule>
    <cfRule type="expression" dxfId="2291" priority="221">
      <formula>C$9&lt;8/24</formula>
    </cfRule>
  </conditionalFormatting>
  <conditionalFormatting sqref="C87:AF91">
    <cfRule type="expression" dxfId="2290" priority="214">
      <formula>C$9&gt;=20/24</formula>
    </cfRule>
    <cfRule type="expression" dxfId="2289" priority="215">
      <formula>AND(C$9&gt;=14/24,C$9&lt;20/24)</formula>
    </cfRule>
    <cfRule type="expression" dxfId="2288" priority="216">
      <formula>AND(C$9&gt;=8/24,C$9&lt;14/24)</formula>
    </cfRule>
    <cfRule type="expression" dxfId="2287" priority="217">
      <formula>C$9&lt;8/24</formula>
    </cfRule>
  </conditionalFormatting>
  <conditionalFormatting sqref="AL41 AL38 AL20:AL33 AL35:AL36 AL7:AL18">
    <cfRule type="iconSet" priority="398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2286" priority="210">
      <formula>C$9&gt;=20/24</formula>
    </cfRule>
    <cfRule type="expression" dxfId="2285" priority="211">
      <formula>AND(C$9&gt;=14/24,C$9&lt;20/24)</formula>
    </cfRule>
    <cfRule type="expression" dxfId="2284" priority="212">
      <formula>AND(C$9&gt;=8/24,C$9&lt;14/24)</formula>
    </cfRule>
    <cfRule type="expression" dxfId="2283" priority="213">
      <formula>C$9&lt;8/24</formula>
    </cfRule>
  </conditionalFormatting>
  <conditionalFormatting sqref="C45:AF47">
    <cfRule type="expression" dxfId="2282" priority="209">
      <formula>C45&gt;$AG45</formula>
    </cfRule>
  </conditionalFormatting>
  <conditionalFormatting sqref="C48:AG48">
    <cfRule type="expression" dxfId="2281" priority="205">
      <formula>C$9&gt;=20/24</formula>
    </cfRule>
    <cfRule type="expression" dxfId="2280" priority="206">
      <formula>AND(C$9&gt;=14/24,C$9&lt;20/24)</formula>
    </cfRule>
    <cfRule type="expression" dxfId="2279" priority="207">
      <formula>AND(C$9&gt;=8/24,C$9&lt;14/24)</formula>
    </cfRule>
    <cfRule type="expression" dxfId="2278" priority="208">
      <formula>C$9&lt;8/24</formula>
    </cfRule>
  </conditionalFormatting>
  <conditionalFormatting sqref="C48:AG48">
    <cfRule type="expression" dxfId="2277" priority="204">
      <formula>C48&gt;$AG48</formula>
    </cfRule>
  </conditionalFormatting>
  <conditionalFormatting sqref="C103:AF103">
    <cfRule type="expression" dxfId="2276" priority="200">
      <formula>C$9&gt;=20/24</formula>
    </cfRule>
    <cfRule type="expression" dxfId="2275" priority="201">
      <formula>AND(C$9&gt;=14/24,C$9&lt;20/24)</formula>
    </cfRule>
    <cfRule type="expression" dxfId="2274" priority="202">
      <formula>AND(C$9&gt;=8/24,C$9&lt;14/24)</formula>
    </cfRule>
    <cfRule type="expression" dxfId="2273" priority="203">
      <formula>C$9&lt;8/24</formula>
    </cfRule>
  </conditionalFormatting>
  <conditionalFormatting sqref="AL37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272" priority="190">
      <formula>$AH37=0</formula>
    </cfRule>
  </conditionalFormatting>
  <conditionalFormatting sqref="A86">
    <cfRule type="expression" dxfId="2271" priority="188">
      <formula>$AH86=0</formula>
    </cfRule>
  </conditionalFormatting>
  <conditionalFormatting sqref="A83">
    <cfRule type="expression" dxfId="2270" priority="189">
      <formula>$AH83=0</formula>
    </cfRule>
  </conditionalFormatting>
  <conditionalFormatting sqref="A113">
    <cfRule type="expression" dxfId="2269" priority="179">
      <formula>$AH113=0</formula>
    </cfRule>
  </conditionalFormatting>
  <conditionalFormatting sqref="C106:AF106">
    <cfRule type="expression" dxfId="2268" priority="175">
      <formula>C$9&gt;=20/24</formula>
    </cfRule>
    <cfRule type="expression" dxfId="2267" priority="176">
      <formula>AND(C$9&gt;=14/24,C$9&lt;20/24)</formula>
    </cfRule>
    <cfRule type="expression" dxfId="2266" priority="177">
      <formula>AND(C$9&gt;=8/24,C$9&lt;14/24)</formula>
    </cfRule>
    <cfRule type="expression" dxfId="2265" priority="178">
      <formula>C$9&lt;8/24</formula>
    </cfRule>
  </conditionalFormatting>
  <conditionalFormatting sqref="A106">
    <cfRule type="expression" dxfId="2264" priority="174">
      <formula>$AH106=0</formula>
    </cfRule>
  </conditionalFormatting>
  <conditionalFormatting sqref="X19:AF19">
    <cfRule type="expression" dxfId="2263" priority="163">
      <formula>X19&gt;$AG19</formula>
    </cfRule>
  </conditionalFormatting>
  <conditionalFormatting sqref="A19">
    <cfRule type="expression" dxfId="2262" priority="162">
      <formula>$AH19=0</formula>
    </cfRule>
  </conditionalFormatting>
  <conditionalFormatting sqref="X19:AF19">
    <cfRule type="expression" dxfId="2261" priority="158">
      <formula>X$9&gt;=20/24</formula>
    </cfRule>
    <cfRule type="expression" dxfId="2260" priority="159">
      <formula>AND(X$9&gt;=14/24,X$9&lt;20/24)</formula>
    </cfRule>
    <cfRule type="expression" dxfId="2259" priority="160">
      <formula>AND(X$9&gt;=8/24,X$9&lt;14/24)</formula>
    </cfRule>
    <cfRule type="expression" dxfId="2258" priority="161">
      <formula>X$9&lt;8/24</formula>
    </cfRule>
  </conditionalFormatting>
  <conditionalFormatting sqref="AL19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257" priority="152">
      <formula>$AH34=0</formula>
    </cfRule>
  </conditionalFormatting>
  <conditionalFormatting sqref="X34:AF34">
    <cfRule type="expression" dxfId="2256" priority="148">
      <formula>X$9&gt;=20/24</formula>
    </cfRule>
    <cfRule type="expression" dxfId="2255" priority="149">
      <formula>AND(X$9&gt;=14/24,X$9&lt;20/24)</formula>
    </cfRule>
    <cfRule type="expression" dxfId="2254" priority="150">
      <formula>AND(X$9&gt;=8/24,X$9&lt;14/24)</formula>
    </cfRule>
    <cfRule type="expression" dxfId="2253" priority="151">
      <formula>X$9&lt;8/24</formula>
    </cfRule>
  </conditionalFormatting>
  <conditionalFormatting sqref="X34:AF34">
    <cfRule type="expression" dxfId="2252" priority="147">
      <formula>X34&gt;$AG34</formula>
    </cfRule>
  </conditionalFormatting>
  <conditionalFormatting sqref="AL34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B105 B107:B112">
    <cfRule type="expression" dxfId="2251" priority="133">
      <formula>B$9&gt;=20/24</formula>
    </cfRule>
    <cfRule type="expression" dxfId="2250" priority="134">
      <formula>AND(B$9&gt;=14/24,B$9&lt;20/24)</formula>
    </cfRule>
    <cfRule type="expression" dxfId="2249" priority="135">
      <formula>AND(B$9&gt;=8/24,B$9&lt;14/24)</formula>
    </cfRule>
    <cfRule type="expression" dxfId="2248" priority="136">
      <formula>B$9&lt;8/24</formula>
    </cfRule>
  </conditionalFormatting>
  <conditionalFormatting sqref="B43">
    <cfRule type="expression" dxfId="2247" priority="129">
      <formula>B$9&gt;=20/24</formula>
    </cfRule>
    <cfRule type="expression" dxfId="2246" priority="130">
      <formula>AND(B$9&gt;=14/24,B$9&lt;20/24)</formula>
    </cfRule>
    <cfRule type="expression" dxfId="2245" priority="131">
      <formula>AND(B$9&gt;=8/24,B$9&lt;14/24)</formula>
    </cfRule>
    <cfRule type="expression" dxfId="2244" priority="132">
      <formula>B$9&lt;8/24</formula>
    </cfRule>
  </conditionalFormatting>
  <conditionalFormatting sqref="B43">
    <cfRule type="expression" dxfId="2243" priority="128">
      <formula>B43&gt;$AG43</formula>
    </cfRule>
  </conditionalFormatting>
  <conditionalFormatting sqref="B95">
    <cfRule type="expression" dxfId="2242" priority="124">
      <formula>B$9&gt;=20/24</formula>
    </cfRule>
    <cfRule type="expression" dxfId="2241" priority="125">
      <formula>AND(B$9&gt;=14/24,B$9&lt;20/24)</formula>
    </cfRule>
    <cfRule type="expression" dxfId="2240" priority="126">
      <formula>AND(B$9&gt;=8/24,B$9&lt;14/24)</formula>
    </cfRule>
    <cfRule type="expression" dxfId="2239" priority="127">
      <formula>B$9&lt;8/24</formula>
    </cfRule>
  </conditionalFormatting>
  <conditionalFormatting sqref="B50:B51 B67:D67">
    <cfRule type="expression" dxfId="2238" priority="120">
      <formula>B$9&gt;=20/24</formula>
    </cfRule>
    <cfRule type="expression" dxfId="2237" priority="121">
      <formula>AND(B$9&gt;=14/24,B$9&lt;20/24)</formula>
    </cfRule>
    <cfRule type="expression" dxfId="2236" priority="122">
      <formula>AND(B$9&gt;=8/24,B$9&lt;14/24)</formula>
    </cfRule>
    <cfRule type="expression" dxfId="2235" priority="123">
      <formula>B$9&lt;8/24</formula>
    </cfRule>
  </conditionalFormatting>
  <conditionalFormatting sqref="B49">
    <cfRule type="expression" dxfId="2234" priority="116">
      <formula>B$9&gt;=20/24</formula>
    </cfRule>
    <cfRule type="expression" dxfId="2233" priority="117">
      <formula>AND(B$9&gt;=14/24,B$9&lt;20/24)</formula>
    </cfRule>
    <cfRule type="expression" dxfId="2232" priority="118">
      <formula>AND(B$9&gt;=8/24,B$9&lt;14/24)</formula>
    </cfRule>
    <cfRule type="expression" dxfId="2231" priority="119">
      <formula>B$9&lt;8/24</formula>
    </cfRule>
  </conditionalFormatting>
  <conditionalFormatting sqref="B49:B51">
    <cfRule type="expression" dxfId="2230" priority="115">
      <formula>B49&gt;$AG49</formula>
    </cfRule>
  </conditionalFormatting>
  <conditionalFormatting sqref="B92 B96:B102 B79:B82 B63:D65 B68:D77 E70:F77 G72:J77 K73:R77">
    <cfRule type="expression" dxfId="2229" priority="111">
      <formula>B$9&gt;=20/24</formula>
    </cfRule>
    <cfRule type="expression" dxfId="2228" priority="112">
      <formula>AND(B$9&gt;=14/24,B$9&lt;20/24)</formula>
    </cfRule>
    <cfRule type="expression" dxfId="2227" priority="113">
      <formula>AND(B$9&gt;=8/24,B$9&lt;14/24)</formula>
    </cfRule>
    <cfRule type="expression" dxfId="2226" priority="114">
      <formula>B$9&lt;8/24</formula>
    </cfRule>
  </conditionalFormatting>
  <conditionalFormatting sqref="B52:B53 B61 C53:D53 B63:D65">
    <cfRule type="expression" dxfId="2225" priority="110">
      <formula>B52&gt;$AG52</formula>
    </cfRule>
  </conditionalFormatting>
  <conditionalFormatting sqref="B54:D54">
    <cfRule type="expression" dxfId="2224" priority="106">
      <formula>B$9&gt;=20/24</formula>
    </cfRule>
    <cfRule type="expression" dxfId="2223" priority="107">
      <formula>AND(B$9&gt;=14/24,B$9&lt;20/24)</formula>
    </cfRule>
    <cfRule type="expression" dxfId="2222" priority="108">
      <formula>AND(B$9&gt;=8/24,B$9&lt;14/24)</formula>
    </cfRule>
    <cfRule type="expression" dxfId="2221" priority="109">
      <formula>B$9&lt;8/24</formula>
    </cfRule>
  </conditionalFormatting>
  <conditionalFormatting sqref="B54:D54">
    <cfRule type="expression" dxfId="2220" priority="105">
      <formula>B54&gt;$AG54</formula>
    </cfRule>
  </conditionalFormatting>
  <conditionalFormatting sqref="B55:H55">
    <cfRule type="expression" dxfId="2219" priority="101">
      <formula>B$9&gt;=20/24</formula>
    </cfRule>
    <cfRule type="expression" dxfId="2218" priority="102">
      <formula>AND(B$9&gt;=14/24,B$9&lt;20/24)</formula>
    </cfRule>
    <cfRule type="expression" dxfId="2217" priority="103">
      <formula>AND(B$9&gt;=8/24,B$9&lt;14/24)</formula>
    </cfRule>
    <cfRule type="expression" dxfId="2216" priority="104">
      <formula>B$9&lt;8/24</formula>
    </cfRule>
  </conditionalFormatting>
  <conditionalFormatting sqref="B55:H55">
    <cfRule type="expression" dxfId="2215" priority="100">
      <formula>B55&gt;$AG55</formula>
    </cfRule>
  </conditionalFormatting>
  <conditionalFormatting sqref="B84 B93">
    <cfRule type="expression" dxfId="2214" priority="96">
      <formula>B$9&gt;=20/24</formula>
    </cfRule>
    <cfRule type="expression" dxfId="2213" priority="97">
      <formula>AND(B$9&gt;=14/24,B$9&lt;20/24)</formula>
    </cfRule>
    <cfRule type="expression" dxfId="2212" priority="98">
      <formula>AND(B$9&gt;=8/24,B$9&lt;14/24)</formula>
    </cfRule>
    <cfRule type="expression" dxfId="2211" priority="99">
      <formula>B$9&lt;8/24</formula>
    </cfRule>
  </conditionalFormatting>
  <conditionalFormatting sqref="B66 B83 B85 B94">
    <cfRule type="expression" dxfId="2210" priority="92">
      <formula>B$9&gt;=20/24</formula>
    </cfRule>
    <cfRule type="expression" dxfId="2209" priority="93">
      <formula>AND(B$9&gt;=14/24,B$9&lt;20/24)</formula>
    </cfRule>
    <cfRule type="expression" dxfId="2208" priority="94">
      <formula>AND(B$9&gt;=8/24,B$9&lt;14/24)</formula>
    </cfRule>
    <cfRule type="expression" dxfId="2207" priority="95">
      <formula>B$9&lt;8/24</formula>
    </cfRule>
  </conditionalFormatting>
  <conditionalFormatting sqref="B44 B62 B66">
    <cfRule type="expression" dxfId="2206" priority="91">
      <formula>B44&gt;$AG44</formula>
    </cfRule>
  </conditionalFormatting>
  <conditionalFormatting sqref="B78">
    <cfRule type="expression" dxfId="2205" priority="87">
      <formula>B$9&gt;=20/24</formula>
    </cfRule>
    <cfRule type="expression" dxfId="2204" priority="88">
      <formula>AND(B$9&gt;=14/24,B$9&lt;20/24)</formula>
    </cfRule>
    <cfRule type="expression" dxfId="2203" priority="89">
      <formula>AND(B$9&gt;=8/24,B$9&lt;14/24)</formula>
    </cfRule>
    <cfRule type="expression" dxfId="2202" priority="90">
      <formula>B$9&lt;8/24</formula>
    </cfRule>
  </conditionalFormatting>
  <conditionalFormatting sqref="B87:B91">
    <cfRule type="expression" dxfId="2201" priority="83">
      <formula>B$9&gt;=20/24</formula>
    </cfRule>
    <cfRule type="expression" dxfId="2200" priority="84">
      <formula>AND(B$9&gt;=14/24,B$9&lt;20/24)</formula>
    </cfRule>
    <cfRule type="expression" dxfId="2199" priority="85">
      <formula>AND(B$9&gt;=8/24,B$9&lt;14/24)</formula>
    </cfRule>
    <cfRule type="expression" dxfId="2198" priority="86">
      <formula>B$9&lt;8/24</formula>
    </cfRule>
  </conditionalFormatting>
  <conditionalFormatting sqref="B45:B47">
    <cfRule type="expression" dxfId="2197" priority="79">
      <formula>B$9&gt;=20/24</formula>
    </cfRule>
    <cfRule type="expression" dxfId="2196" priority="80">
      <formula>AND(B$9&gt;=14/24,B$9&lt;20/24)</formula>
    </cfRule>
    <cfRule type="expression" dxfId="2195" priority="81">
      <formula>AND(B$9&gt;=8/24,B$9&lt;14/24)</formula>
    </cfRule>
    <cfRule type="expression" dxfId="2194" priority="82">
      <formula>B$9&lt;8/24</formula>
    </cfRule>
  </conditionalFormatting>
  <conditionalFormatting sqref="B45:B47">
    <cfRule type="expression" dxfId="2193" priority="78">
      <formula>B45&gt;$AG45</formula>
    </cfRule>
  </conditionalFormatting>
  <conditionalFormatting sqref="B48">
    <cfRule type="expression" dxfId="2192" priority="74">
      <formula>B$9&gt;=20/24</formula>
    </cfRule>
    <cfRule type="expression" dxfId="2191" priority="75">
      <formula>AND(B$9&gt;=14/24,B$9&lt;20/24)</formula>
    </cfRule>
    <cfRule type="expression" dxfId="2190" priority="76">
      <formula>AND(B$9&gt;=8/24,B$9&lt;14/24)</formula>
    </cfRule>
    <cfRule type="expression" dxfId="2189" priority="77">
      <formula>B$9&lt;8/24</formula>
    </cfRule>
  </conditionalFormatting>
  <conditionalFormatting sqref="B48">
    <cfRule type="expression" dxfId="2188" priority="73">
      <formula>B48&gt;$AG48</formula>
    </cfRule>
  </conditionalFormatting>
  <conditionalFormatting sqref="B103">
    <cfRule type="expression" dxfId="2187" priority="69">
      <formula>B$9&gt;=20/24</formula>
    </cfRule>
    <cfRule type="expression" dxfId="2186" priority="70">
      <formula>AND(B$9&gt;=14/24,B$9&lt;20/24)</formula>
    </cfRule>
    <cfRule type="expression" dxfId="2185" priority="71">
      <formula>AND(B$9&gt;=8/24,B$9&lt;14/24)</formula>
    </cfRule>
    <cfRule type="expression" dxfId="2184" priority="72">
      <formula>B$9&lt;8/24</formula>
    </cfRule>
  </conditionalFormatting>
  <conditionalFormatting sqref="B106">
    <cfRule type="expression" dxfId="2183" priority="57">
      <formula>B$9&gt;=20/24</formula>
    </cfRule>
    <cfRule type="expression" dxfId="2182" priority="58">
      <formula>AND(B$9&gt;=14/24,B$9&lt;20/24)</formula>
    </cfRule>
    <cfRule type="expression" dxfId="2181" priority="59">
      <formula>AND(B$9&gt;=8/24,B$9&lt;14/24)</formula>
    </cfRule>
    <cfRule type="expression" dxfId="2180" priority="60">
      <formula>B$9&lt;8/24</formula>
    </cfRule>
  </conditionalFormatting>
  <conditionalFormatting sqref="B56:AB60">
    <cfRule type="expression" dxfId="2179" priority="53">
      <formula>B$9&gt;=20/24</formula>
    </cfRule>
    <cfRule type="expression" dxfId="2178" priority="54">
      <formula>AND(B$9&gt;=14/24,B$9&lt;20/24)</formula>
    </cfRule>
    <cfRule type="expression" dxfId="2177" priority="55">
      <formula>AND(B$9&gt;=8/24,B$9&lt;14/24)</formula>
    </cfRule>
    <cfRule type="expression" dxfId="2176" priority="56">
      <formula>B$9&lt;8/24</formula>
    </cfRule>
  </conditionalFormatting>
  <conditionalFormatting sqref="B56:AB60">
    <cfRule type="expression" dxfId="2175" priority="52">
      <formula>B56&gt;$AG56</formula>
    </cfRule>
  </conditionalFormatting>
  <conditionalFormatting sqref="B22:W26 B11:W11 B15:W15 B17:W18">
    <cfRule type="expression" dxfId="2174" priority="48">
      <formula>B$9&gt;=20/24</formula>
    </cfRule>
    <cfRule type="expression" dxfId="2173" priority="49">
      <formula>AND(B$9&gt;=14/24,B$9&lt;20/24)</formula>
    </cfRule>
    <cfRule type="expression" dxfId="2172" priority="50">
      <formula>AND(B$9&gt;=8/24,B$9&lt;14/24)</formula>
    </cfRule>
    <cfRule type="expression" dxfId="2171" priority="51">
      <formula>B$9&lt;8/24</formula>
    </cfRule>
  </conditionalFormatting>
  <conditionalFormatting sqref="B41:S41 B20:W20 B22:W26 B11:W18">
    <cfRule type="expression" dxfId="2170" priority="47">
      <formula>B11&gt;$AG11</formula>
    </cfRule>
  </conditionalFormatting>
  <conditionalFormatting sqref="B28:W31 B33:W33 B35:W38 B20:W20 B12:W14">
    <cfRule type="expression" dxfId="2169" priority="43">
      <formula>B$9&gt;=20/24</formula>
    </cfRule>
    <cfRule type="expression" dxfId="2168" priority="44">
      <formula>AND(B$9&gt;=14/24,B$9&lt;20/24)</formula>
    </cfRule>
    <cfRule type="expression" dxfId="2167" priority="45">
      <formula>AND(B$9&gt;=8/24,B$9&lt;14/24)</formula>
    </cfRule>
    <cfRule type="expression" dxfId="2166" priority="46">
      <formula>B$9&lt;8/24</formula>
    </cfRule>
  </conditionalFormatting>
  <conditionalFormatting sqref="B39:W39">
    <cfRule type="expression" dxfId="2165" priority="39">
      <formula>B$9&gt;=20/24</formula>
    </cfRule>
    <cfRule type="expression" dxfId="2164" priority="40">
      <formula>AND(B$9&gt;=14/24,B$9&lt;20/24)</formula>
    </cfRule>
    <cfRule type="expression" dxfId="2163" priority="41">
      <formula>AND(B$9&gt;=8/24,B$9&lt;14/24)</formula>
    </cfRule>
    <cfRule type="expression" dxfId="2162" priority="42">
      <formula>B$9&lt;8/24</formula>
    </cfRule>
  </conditionalFormatting>
  <conditionalFormatting sqref="B28:W33 B35:W39">
    <cfRule type="expression" dxfId="2161" priority="38">
      <formula>B28&gt;$AG28</formula>
    </cfRule>
  </conditionalFormatting>
  <conditionalFormatting sqref="B41:S41">
    <cfRule type="expression" dxfId="2160" priority="34">
      <formula>B$9&gt;=20/24</formula>
    </cfRule>
    <cfRule type="expression" dxfId="2159" priority="35">
      <formula>AND(B$9&gt;=14/24,B$9&lt;20/24)</formula>
    </cfRule>
    <cfRule type="expression" dxfId="2158" priority="36">
      <formula>AND(B$9&gt;=8/24,B$9&lt;14/24)</formula>
    </cfRule>
    <cfRule type="expression" dxfId="2157" priority="37">
      <formula>B$9&lt;8/24</formula>
    </cfRule>
  </conditionalFormatting>
  <conditionalFormatting sqref="B16:W16">
    <cfRule type="expression" dxfId="2156" priority="30">
      <formula>B$9&gt;=20/24</formula>
    </cfRule>
    <cfRule type="expression" dxfId="2155" priority="31">
      <formula>AND(B$9&gt;=14/24,B$9&lt;20/24)</formula>
    </cfRule>
    <cfRule type="expression" dxfId="2154" priority="32">
      <formula>AND(B$9&gt;=8/24,B$9&lt;14/24)</formula>
    </cfRule>
    <cfRule type="expression" dxfId="2153" priority="33">
      <formula>B$9&lt;8/24</formula>
    </cfRule>
  </conditionalFormatting>
  <conditionalFormatting sqref="B40:W40">
    <cfRule type="expression" dxfId="2152" priority="26">
      <formula>B$9&gt;=20/24</formula>
    </cfRule>
    <cfRule type="expression" dxfId="2151" priority="27">
      <formula>AND(B$9&gt;=14/24,B$9&lt;20/24)</formula>
    </cfRule>
    <cfRule type="expression" dxfId="2150" priority="28">
      <formula>AND(B$9&gt;=8/24,B$9&lt;14/24)</formula>
    </cfRule>
    <cfRule type="expression" dxfId="2149" priority="29">
      <formula>B$9&lt;8/24</formula>
    </cfRule>
  </conditionalFormatting>
  <conditionalFormatting sqref="B40:W40">
    <cfRule type="expression" dxfId="2148" priority="25">
      <formula>B40&gt;$AG40</formula>
    </cfRule>
  </conditionalFormatting>
  <conditionalFormatting sqref="B32:W32">
    <cfRule type="expression" dxfId="2147" priority="21">
      <formula>B$9&gt;=20/24</formula>
    </cfRule>
    <cfRule type="expression" dxfId="2146" priority="22">
      <formula>AND(B$9&gt;=14/24,B$9&lt;20/24)</formula>
    </cfRule>
    <cfRule type="expression" dxfId="2145" priority="23">
      <formula>AND(B$9&gt;=8/24,B$9&lt;14/24)</formula>
    </cfRule>
    <cfRule type="expression" dxfId="2144" priority="24">
      <formula>B$9&lt;8/24</formula>
    </cfRule>
  </conditionalFormatting>
  <conditionalFormatting sqref="B21:W21 B27:W27">
    <cfRule type="expression" dxfId="2143" priority="17">
      <formula>B$9&gt;=20/24</formula>
    </cfRule>
    <cfRule type="expression" dxfId="2142" priority="18">
      <formula>AND(B$9&gt;=14/24,B$9&lt;20/24)</formula>
    </cfRule>
    <cfRule type="expression" dxfId="2141" priority="19">
      <formula>AND(B$9&gt;=8/24,B$9&lt;14/24)</formula>
    </cfRule>
    <cfRule type="expression" dxfId="2140" priority="20">
      <formula>B$9&lt;8/24</formula>
    </cfRule>
  </conditionalFormatting>
  <conditionalFormatting sqref="B21:W21 B27:W27">
    <cfRule type="expression" dxfId="2139" priority="16">
      <formula>B21&gt;$AG21</formula>
    </cfRule>
  </conditionalFormatting>
  <conditionalFormatting sqref="B42">
    <cfRule type="expression" dxfId="2138" priority="12">
      <formula>B$9&gt;=20/24</formula>
    </cfRule>
    <cfRule type="expression" dxfId="2137" priority="13">
      <formula>AND(B$9&gt;=14/24,B$9&lt;20/24)</formula>
    </cfRule>
    <cfRule type="expression" dxfId="2136" priority="14">
      <formula>AND(B$9&gt;=8/24,B$9&lt;14/24)</formula>
    </cfRule>
    <cfRule type="expression" dxfId="2135" priority="15">
      <formula>B$9&lt;8/24</formula>
    </cfRule>
  </conditionalFormatting>
  <conditionalFormatting sqref="B42">
    <cfRule type="expression" dxfId="2134" priority="11">
      <formula>B42&gt;$AG42</formula>
    </cfRule>
  </conditionalFormatting>
  <conditionalFormatting sqref="B19:W19">
    <cfRule type="expression" dxfId="2133" priority="10">
      <formula>B19&gt;$AG19</formula>
    </cfRule>
  </conditionalFormatting>
  <conditionalFormatting sqref="B19:W19">
    <cfRule type="expression" dxfId="2132" priority="6">
      <formula>B$9&gt;=20/24</formula>
    </cfRule>
    <cfRule type="expression" dxfId="2131" priority="7">
      <formula>AND(B$9&gt;=14/24,B$9&lt;20/24)</formula>
    </cfRule>
    <cfRule type="expression" dxfId="2130" priority="8">
      <formula>AND(B$9&gt;=8/24,B$9&lt;14/24)</formula>
    </cfRule>
    <cfRule type="expression" dxfId="2129" priority="9">
      <formula>B$9&lt;8/24</formula>
    </cfRule>
  </conditionalFormatting>
  <conditionalFormatting sqref="B34:W34">
    <cfRule type="expression" dxfId="2128" priority="2">
      <formula>B$9&gt;=20/24</formula>
    </cfRule>
    <cfRule type="expression" dxfId="2127" priority="3">
      <formula>AND(B$9&gt;=14/24,B$9&lt;20/24)</formula>
    </cfRule>
    <cfRule type="expression" dxfId="2126" priority="4">
      <formula>AND(B$9&gt;=8/24,B$9&lt;14/24)</formula>
    </cfRule>
    <cfRule type="expression" dxfId="2125" priority="5">
      <formula>B$9&lt;8/24</formula>
    </cfRule>
  </conditionalFormatting>
  <conditionalFormatting sqref="B34:W34">
    <cfRule type="expression" dxfId="2124" priority="1">
      <formula>B34&gt;$AG34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1" id="{D2924419-2F51-40B1-9189-D1880E08094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2" id="{F0166B76-F284-4204-8B8D-05F6C173AC1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3" id="{0691191E-6B57-4650-9C8D-E800B6A02AB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4" id="{D94B0D43-2A3F-4E8D-B185-D3D5C0672D1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184" id="{A25467A4-39FA-451B-86F0-AC1801FDDFE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5" id="{581148BE-1FED-4A86-9F25-DBB97620D4F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6" id="{AFCA7099-7F3D-4995-B409-C9CEFF998E6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7" id="{9D7BA76C-546C-4746-B2F6-4B93D1550E2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65" id="{9A59AD6C-B1BA-4BE2-B270-AD948619A7B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6" id="{34E1BAAE-717A-4AAA-ADE1-635AD9475B1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7" id="{A3C9980E-1AE8-433A-AA84-9B1575E918C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8" id="{9FD48B46-B2D5-40A3-AB5C-E673365DE49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  <x14:conditionalFormatting xmlns:xm="http://schemas.microsoft.com/office/excel/2006/main">
          <x14:cfRule type="expression" priority="61" id="{7721CCB4-FA50-471A-841D-8B55C140A10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2" id="{FB8B6430-ED0D-4E30-AD4C-7F641EF6FE2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3" id="{CF7FD36C-F431-44BD-9587-166675DC5DC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4" id="{6470A0A1-B3B8-435F-B8C6-4F4BBAD0826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27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Q69" sqref="Q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2079/08/28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143.69999999999999</v>
      </c>
      <c r="C5" s="30">
        <f t="shared" si="0"/>
        <v>142.69999999999999</v>
      </c>
      <c r="D5" s="30">
        <f t="shared" si="0"/>
        <v>152.19999999999999</v>
      </c>
      <c r="E5" s="30">
        <f t="shared" si="0"/>
        <v>162</v>
      </c>
      <c r="F5" s="30">
        <f t="shared" si="0"/>
        <v>162.19999999999999</v>
      </c>
      <c r="G5" s="30">
        <f t="shared" si="0"/>
        <v>170.1</v>
      </c>
      <c r="H5" s="30">
        <f t="shared" si="0"/>
        <v>56</v>
      </c>
      <c r="I5" s="30">
        <f t="shared" si="0"/>
        <v>70</v>
      </c>
      <c r="J5" s="30">
        <f t="shared" si="0"/>
        <v>54</v>
      </c>
      <c r="K5" s="30">
        <f t="shared" si="0"/>
        <v>51</v>
      </c>
      <c r="L5" s="30">
        <f t="shared" si="0"/>
        <v>62.2</v>
      </c>
      <c r="M5" s="30">
        <f t="shared" si="0"/>
        <v>64.3</v>
      </c>
      <c r="N5" s="30">
        <f t="shared" si="0"/>
        <v>64.8</v>
      </c>
      <c r="O5" s="30">
        <f t="shared" si="0"/>
        <v>161.9</v>
      </c>
      <c r="P5" s="30">
        <f t="shared" si="0"/>
        <v>226</v>
      </c>
      <c r="Q5" s="30">
        <f t="shared" si="0"/>
        <v>213.3</v>
      </c>
      <c r="R5" s="30">
        <f t="shared" si="0"/>
        <v>218</v>
      </c>
      <c r="S5" s="30">
        <f t="shared" si="0"/>
        <v>225</v>
      </c>
      <c r="T5" s="30">
        <f t="shared" si="0"/>
        <v>214</v>
      </c>
      <c r="U5" s="30">
        <f t="shared" si="0"/>
        <v>66.599999999999994</v>
      </c>
      <c r="V5" s="30">
        <f t="shared" si="0"/>
        <v>145.80000000000001</v>
      </c>
      <c r="W5" s="30">
        <f t="shared" si="0"/>
        <v>60.1</v>
      </c>
      <c r="X5" s="30">
        <f t="shared" si="0"/>
        <v>46.6</v>
      </c>
      <c r="Y5" s="30">
        <f t="shared" si="0"/>
        <v>45.7</v>
      </c>
      <c r="Z5" s="30">
        <f t="shared" si="0"/>
        <v>55.1</v>
      </c>
      <c r="AA5" s="30">
        <f t="shared" si="0"/>
        <v>55.5</v>
      </c>
      <c r="AB5" s="30">
        <f t="shared" si="0"/>
        <v>52.9</v>
      </c>
      <c r="AC5" s="30">
        <f t="shared" si="0"/>
        <v>52.7</v>
      </c>
      <c r="AD5" s="30">
        <f t="shared" si="0"/>
        <v>28.5</v>
      </c>
      <c r="AE5" s="30">
        <f t="shared" si="0"/>
        <v>95.3</v>
      </c>
      <c r="AF5" s="30">
        <f>B78</f>
        <v>19.2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1648MW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Load=965</v>
      </c>
      <c r="B7" s="35">
        <f t="shared" ref="B7:AF7" si="1">B85</f>
        <v>1004.14</v>
      </c>
      <c r="C7" s="35">
        <f t="shared" si="1"/>
        <v>964.93999999999983</v>
      </c>
      <c r="D7" s="35">
        <f t="shared" si="1"/>
        <v>965.43999999999983</v>
      </c>
      <c r="E7" s="35">
        <f t="shared" si="1"/>
        <v>975.74</v>
      </c>
      <c r="F7" s="35">
        <f t="shared" si="1"/>
        <v>985.83999999999992</v>
      </c>
      <c r="G7" s="35">
        <f t="shared" si="1"/>
        <v>1042.8399999999999</v>
      </c>
      <c r="H7" s="35">
        <f t="shared" si="1"/>
        <v>1148.1399999999999</v>
      </c>
      <c r="I7" s="35">
        <f t="shared" si="1"/>
        <v>1185.6399999999999</v>
      </c>
      <c r="J7" s="35">
        <f t="shared" si="1"/>
        <v>1305.94</v>
      </c>
      <c r="K7" s="35">
        <f t="shared" si="1"/>
        <v>1553.24</v>
      </c>
      <c r="L7" s="35">
        <f t="shared" si="1"/>
        <v>1623.44</v>
      </c>
      <c r="M7" s="35">
        <f t="shared" si="1"/>
        <v>1648.24</v>
      </c>
      <c r="N7" s="35">
        <f t="shared" si="1"/>
        <v>1613.0399999999997</v>
      </c>
      <c r="O7" s="35">
        <f t="shared" si="1"/>
        <v>1491.94</v>
      </c>
      <c r="P7" s="35">
        <f t="shared" si="1"/>
        <v>1312.2400000000002</v>
      </c>
      <c r="Q7" s="35">
        <f t="shared" si="1"/>
        <v>1257.44</v>
      </c>
      <c r="R7" s="35">
        <f t="shared" si="1"/>
        <v>1198.4399999999998</v>
      </c>
      <c r="S7" s="35">
        <f t="shared" si="1"/>
        <v>1205.54</v>
      </c>
      <c r="T7" s="35">
        <f t="shared" si="1"/>
        <v>1241.04</v>
      </c>
      <c r="U7" s="35">
        <f t="shared" si="1"/>
        <v>1235.04</v>
      </c>
      <c r="V7" s="35">
        <f t="shared" si="1"/>
        <v>1322.5399999999997</v>
      </c>
      <c r="W7" s="35">
        <f t="shared" si="1"/>
        <v>1659.9399999999998</v>
      </c>
      <c r="X7" s="35">
        <f t="shared" si="1"/>
        <v>1641.7399999999998</v>
      </c>
      <c r="Y7" s="35">
        <f t="shared" si="1"/>
        <v>1514.54</v>
      </c>
      <c r="Z7" s="35">
        <f t="shared" si="1"/>
        <v>1507.34</v>
      </c>
      <c r="AA7" s="35">
        <f t="shared" si="1"/>
        <v>1419.4399999999998</v>
      </c>
      <c r="AB7" s="35">
        <f t="shared" si="1"/>
        <v>1359.54</v>
      </c>
      <c r="AC7" s="35">
        <f t="shared" si="1"/>
        <v>1317.74</v>
      </c>
      <c r="AD7" s="35">
        <f t="shared" si="1"/>
        <v>1163.8399999999999</v>
      </c>
      <c r="AE7" s="35">
        <f t="shared" si="1"/>
        <v>1014.54</v>
      </c>
      <c r="AF7" s="35">
        <f t="shared" si="1"/>
        <v>1007.8399999999999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27.1</v>
      </c>
      <c r="C11" s="45">
        <v>27.1</v>
      </c>
      <c r="D11" s="45">
        <v>27.1</v>
      </c>
      <c r="E11" s="45">
        <v>27.3</v>
      </c>
      <c r="F11" s="45">
        <v>27.3</v>
      </c>
      <c r="G11" s="45">
        <v>27.3</v>
      </c>
      <c r="H11" s="45">
        <v>27.3</v>
      </c>
      <c r="I11" s="45">
        <v>27.3</v>
      </c>
      <c r="J11" s="45">
        <v>27.3</v>
      </c>
      <c r="K11" s="45">
        <v>27.3</v>
      </c>
      <c r="L11" s="45">
        <v>27.5</v>
      </c>
      <c r="M11" s="45">
        <v>27.5</v>
      </c>
      <c r="N11" s="45">
        <v>27.5</v>
      </c>
      <c r="O11" s="45">
        <v>27.5</v>
      </c>
      <c r="P11" s="45">
        <v>27.5</v>
      </c>
      <c r="Q11" s="45">
        <v>27.5</v>
      </c>
      <c r="R11" s="45">
        <v>27.5</v>
      </c>
      <c r="S11" s="45">
        <v>27.5</v>
      </c>
      <c r="T11" s="45">
        <v>26.2</v>
      </c>
      <c r="U11" s="45">
        <v>26.2</v>
      </c>
      <c r="V11" s="45">
        <v>26.2</v>
      </c>
      <c r="W11" s="45">
        <v>26.2</v>
      </c>
      <c r="X11" s="46">
        <v>27.5</v>
      </c>
      <c r="Y11" s="46">
        <v>27.5</v>
      </c>
      <c r="Z11" s="46">
        <v>27</v>
      </c>
      <c r="AA11" s="46">
        <v>27</v>
      </c>
      <c r="AB11" s="46">
        <v>27</v>
      </c>
      <c r="AC11" s="46">
        <v>27</v>
      </c>
      <c r="AD11" s="46">
        <v>27</v>
      </c>
      <c r="AE11" s="46">
        <v>27</v>
      </c>
      <c r="AF11" s="46">
        <v>27</v>
      </c>
      <c r="AG11" s="47">
        <v>52.4</v>
      </c>
      <c r="AH11" s="48">
        <f>MAX(B11:AF11)</f>
        <v>27.5</v>
      </c>
      <c r="AI11" s="49">
        <f>MIN(B11:AF11)</f>
        <v>26.2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50.2</v>
      </c>
      <c r="C12" s="45">
        <v>50.2</v>
      </c>
      <c r="D12" s="45">
        <v>50.2</v>
      </c>
      <c r="E12" s="45">
        <v>50.8</v>
      </c>
      <c r="F12" s="45">
        <v>50.8</v>
      </c>
      <c r="G12" s="45">
        <v>50.8</v>
      </c>
      <c r="H12" s="45">
        <v>50.8</v>
      </c>
      <c r="I12" s="45">
        <v>50.8</v>
      </c>
      <c r="J12" s="45">
        <v>50.8</v>
      </c>
      <c r="K12" s="45">
        <v>50.8</v>
      </c>
      <c r="L12" s="45">
        <v>50.6</v>
      </c>
      <c r="M12" s="45">
        <v>50.6</v>
      </c>
      <c r="N12" s="45">
        <v>50.6</v>
      </c>
      <c r="O12" s="45">
        <v>50.6</v>
      </c>
      <c r="P12" s="45">
        <v>50.6</v>
      </c>
      <c r="Q12" s="45">
        <v>50.6</v>
      </c>
      <c r="R12" s="45">
        <v>50.6</v>
      </c>
      <c r="S12" s="45">
        <v>50.6</v>
      </c>
      <c r="T12" s="45">
        <v>50.6</v>
      </c>
      <c r="U12" s="45">
        <v>50.6</v>
      </c>
      <c r="V12" s="45">
        <v>50.6</v>
      </c>
      <c r="W12" s="45">
        <v>50.6</v>
      </c>
      <c r="X12" s="45">
        <v>50.6</v>
      </c>
      <c r="Y12" s="45">
        <v>50.6</v>
      </c>
      <c r="Z12" s="45">
        <v>50.6</v>
      </c>
      <c r="AA12" s="45">
        <v>50.6</v>
      </c>
      <c r="AB12" s="45">
        <v>50.6</v>
      </c>
      <c r="AC12" s="45">
        <v>50.6</v>
      </c>
      <c r="AD12" s="45">
        <v>50.6</v>
      </c>
      <c r="AE12" s="45">
        <v>50.6</v>
      </c>
      <c r="AF12" s="45">
        <v>50.6</v>
      </c>
      <c r="AG12" s="51">
        <v>50</v>
      </c>
      <c r="AH12" s="48">
        <f t="shared" ref="AH12:AH79" si="2">MAX(B12:AF12)</f>
        <v>50.8</v>
      </c>
      <c r="AI12" s="49">
        <f t="shared" ref="AI12:AI79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25</v>
      </c>
      <c r="C13" s="45">
        <v>25</v>
      </c>
      <c r="D13" s="45">
        <v>25</v>
      </c>
      <c r="E13" s="45">
        <v>25</v>
      </c>
      <c r="F13" s="45">
        <v>25</v>
      </c>
      <c r="G13" s="45">
        <v>25</v>
      </c>
      <c r="H13" s="45">
        <v>25</v>
      </c>
      <c r="I13" s="45">
        <v>25</v>
      </c>
      <c r="J13" s="45">
        <v>25</v>
      </c>
      <c r="K13" s="45">
        <v>25</v>
      </c>
      <c r="L13" s="45">
        <v>24.6</v>
      </c>
      <c r="M13" s="45">
        <v>24.6</v>
      </c>
      <c r="N13" s="45">
        <v>24.6</v>
      </c>
      <c r="O13" s="45">
        <v>24.6</v>
      </c>
      <c r="P13" s="45">
        <v>24.6</v>
      </c>
      <c r="Q13" s="45">
        <v>24.6</v>
      </c>
      <c r="R13" s="45">
        <v>24.6</v>
      </c>
      <c r="S13" s="45">
        <v>24.6</v>
      </c>
      <c r="T13" s="45">
        <v>24.6</v>
      </c>
      <c r="U13" s="45">
        <v>24.6</v>
      </c>
      <c r="V13" s="45">
        <v>24.6</v>
      </c>
      <c r="W13" s="45">
        <v>24.6</v>
      </c>
      <c r="X13" s="45">
        <v>26</v>
      </c>
      <c r="Y13" s="45">
        <v>26</v>
      </c>
      <c r="Z13" s="45">
        <v>27.2</v>
      </c>
      <c r="AA13" s="45">
        <v>27.2</v>
      </c>
      <c r="AB13" s="45">
        <v>27.2</v>
      </c>
      <c r="AC13" s="45">
        <v>27.2</v>
      </c>
      <c r="AD13" s="45">
        <v>27.2</v>
      </c>
      <c r="AE13" s="45">
        <v>27.2</v>
      </c>
      <c r="AF13" s="45">
        <v>27.2</v>
      </c>
      <c r="AG13" s="51">
        <v>45</v>
      </c>
      <c r="AH13" s="48">
        <f t="shared" si="2"/>
        <v>27.2</v>
      </c>
      <c r="AI13" s="49">
        <f t="shared" si="3"/>
        <v>24.6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15</v>
      </c>
      <c r="C16" s="45">
        <v>15</v>
      </c>
      <c r="D16" s="45">
        <v>15</v>
      </c>
      <c r="E16" s="45">
        <v>15</v>
      </c>
      <c r="F16" s="45">
        <v>15</v>
      </c>
      <c r="G16" s="45">
        <v>15</v>
      </c>
      <c r="H16" s="45">
        <v>15</v>
      </c>
      <c r="I16" s="45">
        <v>15</v>
      </c>
      <c r="J16" s="45">
        <v>14</v>
      </c>
      <c r="K16" s="45">
        <v>13.5</v>
      </c>
      <c r="L16" s="45">
        <v>13</v>
      </c>
      <c r="M16" s="45">
        <v>13</v>
      </c>
      <c r="N16" s="45">
        <v>13</v>
      </c>
      <c r="O16" s="45">
        <v>13</v>
      </c>
      <c r="P16" s="45">
        <v>13</v>
      </c>
      <c r="Q16" s="45">
        <v>13</v>
      </c>
      <c r="R16" s="45">
        <v>13</v>
      </c>
      <c r="S16" s="45">
        <v>13</v>
      </c>
      <c r="T16" s="45">
        <v>13</v>
      </c>
      <c r="U16" s="45">
        <v>13</v>
      </c>
      <c r="V16" s="45">
        <v>13</v>
      </c>
      <c r="W16" s="45">
        <v>13</v>
      </c>
      <c r="X16" s="45">
        <v>13.6</v>
      </c>
      <c r="Y16" s="45">
        <v>13.6</v>
      </c>
      <c r="Z16" s="45">
        <v>13.6</v>
      </c>
      <c r="AA16" s="45">
        <v>13.6</v>
      </c>
      <c r="AB16" s="45">
        <v>13.6</v>
      </c>
      <c r="AC16" s="45">
        <v>13.6</v>
      </c>
      <c r="AD16" s="45">
        <v>13.6</v>
      </c>
      <c r="AE16" s="45">
        <v>13.6</v>
      </c>
      <c r="AF16" s="45">
        <v>13.6</v>
      </c>
      <c r="AG16" s="52">
        <v>30</v>
      </c>
      <c r="AH16" s="48">
        <f t="shared" si="2"/>
        <v>15</v>
      </c>
      <c r="AI16" s="49">
        <f t="shared" si="3"/>
        <v>13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13.2</v>
      </c>
      <c r="C17" s="45">
        <v>13.2</v>
      </c>
      <c r="D17" s="45">
        <v>13.2</v>
      </c>
      <c r="E17" s="45">
        <v>13.2</v>
      </c>
      <c r="F17" s="45">
        <v>13.2</v>
      </c>
      <c r="G17" s="45">
        <v>13.2</v>
      </c>
      <c r="H17" s="45">
        <v>13.2</v>
      </c>
      <c r="I17" s="45">
        <v>13.2</v>
      </c>
      <c r="J17" s="45">
        <v>13.2</v>
      </c>
      <c r="K17" s="45">
        <v>13.2</v>
      </c>
      <c r="L17" s="45">
        <v>12.1</v>
      </c>
      <c r="M17" s="45">
        <v>12.1</v>
      </c>
      <c r="N17" s="45">
        <v>12.1</v>
      </c>
      <c r="O17" s="45">
        <v>12.1</v>
      </c>
      <c r="P17" s="45">
        <v>12.1</v>
      </c>
      <c r="Q17" s="45">
        <v>12.1</v>
      </c>
      <c r="R17" s="45">
        <v>12.1</v>
      </c>
      <c r="S17" s="45">
        <v>12.1</v>
      </c>
      <c r="T17" s="45">
        <v>12.1</v>
      </c>
      <c r="U17" s="45">
        <v>12.1</v>
      </c>
      <c r="V17" s="45">
        <v>12.1</v>
      </c>
      <c r="W17" s="45">
        <v>12.1</v>
      </c>
      <c r="X17" s="45">
        <v>12.1</v>
      </c>
      <c r="Y17" s="45">
        <v>12.1</v>
      </c>
      <c r="Z17" s="45">
        <v>12.1</v>
      </c>
      <c r="AA17" s="45">
        <v>12.1</v>
      </c>
      <c r="AB17" s="45">
        <v>12.1</v>
      </c>
      <c r="AC17" s="45">
        <v>12.1</v>
      </c>
      <c r="AD17" s="45">
        <v>12.1</v>
      </c>
      <c r="AE17" s="45">
        <v>12.1</v>
      </c>
      <c r="AF17" s="45">
        <v>12.1</v>
      </c>
      <c r="AG17" s="51">
        <v>24.2</v>
      </c>
      <c r="AH17" s="48">
        <f t="shared" si="2"/>
        <v>13.2</v>
      </c>
      <c r="AI17" s="49">
        <f t="shared" si="3"/>
        <v>12.1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13.2</v>
      </c>
      <c r="C20" s="45">
        <v>13.2</v>
      </c>
      <c r="D20" s="45">
        <v>13.2</v>
      </c>
      <c r="E20" s="45">
        <v>13.2</v>
      </c>
      <c r="F20" s="45">
        <v>13.2</v>
      </c>
      <c r="G20" s="45">
        <v>13.2</v>
      </c>
      <c r="H20" s="45">
        <v>13.2</v>
      </c>
      <c r="I20" s="45">
        <v>13.2</v>
      </c>
      <c r="J20" s="45">
        <v>13.2</v>
      </c>
      <c r="K20" s="45">
        <v>13.2</v>
      </c>
      <c r="L20" s="45">
        <v>13.2</v>
      </c>
      <c r="M20" s="45">
        <v>13.2</v>
      </c>
      <c r="N20" s="45">
        <v>13.2</v>
      </c>
      <c r="O20" s="45">
        <v>13.2</v>
      </c>
      <c r="P20" s="45">
        <v>13.2</v>
      </c>
      <c r="Q20" s="45">
        <v>13.2</v>
      </c>
      <c r="R20" s="45">
        <v>13.2</v>
      </c>
      <c r="S20" s="45">
        <v>13.2</v>
      </c>
      <c r="T20" s="45">
        <v>13.2</v>
      </c>
      <c r="U20" s="45">
        <v>13.2</v>
      </c>
      <c r="V20" s="45">
        <v>13.2</v>
      </c>
      <c r="W20" s="45">
        <v>13.2</v>
      </c>
      <c r="X20" s="45">
        <v>13.2</v>
      </c>
      <c r="Y20" s="45">
        <v>13.2</v>
      </c>
      <c r="Z20" s="45">
        <v>13.2</v>
      </c>
      <c r="AA20" s="45">
        <v>13.2</v>
      </c>
      <c r="AB20" s="45">
        <v>13.2</v>
      </c>
      <c r="AC20" s="45">
        <v>13.2</v>
      </c>
      <c r="AD20" s="45">
        <v>13.2</v>
      </c>
      <c r="AE20" s="45">
        <v>13.2</v>
      </c>
      <c r="AF20" s="45">
        <v>13.2</v>
      </c>
      <c r="AG20" s="51">
        <v>25</v>
      </c>
      <c r="AH20" s="48">
        <f t="shared" si="2"/>
        <v>13.2</v>
      </c>
      <c r="AI20" s="49">
        <f t="shared" si="3"/>
        <v>13.2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14</v>
      </c>
      <c r="M21" s="45">
        <v>14</v>
      </c>
      <c r="N21" s="45">
        <v>14</v>
      </c>
      <c r="O21" s="45">
        <v>14</v>
      </c>
      <c r="P21" s="45">
        <v>14</v>
      </c>
      <c r="Q21" s="45">
        <v>14</v>
      </c>
      <c r="R21" s="45">
        <v>14</v>
      </c>
      <c r="S21" s="45">
        <v>14</v>
      </c>
      <c r="T21" s="45">
        <v>14</v>
      </c>
      <c r="U21" s="45">
        <v>14</v>
      </c>
      <c r="V21" s="45">
        <v>14</v>
      </c>
      <c r="W21" s="45">
        <v>14</v>
      </c>
      <c r="X21" s="45">
        <v>14</v>
      </c>
      <c r="Y21" s="45">
        <v>14</v>
      </c>
      <c r="Z21" s="45">
        <v>14</v>
      </c>
      <c r="AA21" s="45">
        <v>14</v>
      </c>
      <c r="AB21" s="45">
        <v>14</v>
      </c>
      <c r="AC21" s="45">
        <v>14</v>
      </c>
      <c r="AD21" s="45">
        <v>14</v>
      </c>
      <c r="AE21" s="45">
        <v>14</v>
      </c>
      <c r="AF21" s="45">
        <v>14</v>
      </c>
      <c r="AG21" s="51">
        <v>25</v>
      </c>
      <c r="AH21" s="48">
        <f t="shared" si="2"/>
        <v>14</v>
      </c>
      <c r="AI21" s="49">
        <f t="shared" si="3"/>
        <v>14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15</v>
      </c>
      <c r="G23" s="45">
        <v>15</v>
      </c>
      <c r="H23" s="45">
        <v>15</v>
      </c>
      <c r="I23" s="45">
        <v>15</v>
      </c>
      <c r="J23" s="45">
        <v>15</v>
      </c>
      <c r="K23" s="45">
        <v>15</v>
      </c>
      <c r="L23" s="45">
        <v>15</v>
      </c>
      <c r="M23" s="45">
        <v>15</v>
      </c>
      <c r="N23" s="45">
        <v>15</v>
      </c>
      <c r="O23" s="45">
        <v>15</v>
      </c>
      <c r="P23" s="45">
        <v>15</v>
      </c>
      <c r="Q23" s="45">
        <v>15</v>
      </c>
      <c r="R23" s="45">
        <v>15</v>
      </c>
      <c r="S23" s="45">
        <v>15</v>
      </c>
      <c r="T23" s="45">
        <v>15</v>
      </c>
      <c r="U23" s="45">
        <v>15</v>
      </c>
      <c r="V23" s="45">
        <v>15</v>
      </c>
      <c r="W23" s="45">
        <v>15</v>
      </c>
      <c r="X23" s="45">
        <v>15</v>
      </c>
      <c r="Y23" s="45">
        <v>15</v>
      </c>
      <c r="Z23" s="45">
        <v>15</v>
      </c>
      <c r="AA23" s="45">
        <v>15</v>
      </c>
      <c r="AB23" s="45">
        <v>15</v>
      </c>
      <c r="AC23" s="45">
        <v>15</v>
      </c>
      <c r="AD23" s="45">
        <v>15</v>
      </c>
      <c r="AE23" s="45">
        <v>15</v>
      </c>
      <c r="AF23" s="45">
        <v>15</v>
      </c>
      <c r="AG23" s="51">
        <v>25</v>
      </c>
      <c r="AH23" s="48">
        <f t="shared" si="2"/>
        <v>15</v>
      </c>
      <c r="AI23" s="49">
        <f t="shared" si="3"/>
        <v>15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12.4</v>
      </c>
      <c r="C24" s="45">
        <v>12.4</v>
      </c>
      <c r="D24" s="45">
        <v>12.4</v>
      </c>
      <c r="E24" s="45">
        <v>12.4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12.4</v>
      </c>
      <c r="N24" s="45">
        <v>12.4</v>
      </c>
      <c r="O24" s="45">
        <v>12.4</v>
      </c>
      <c r="P24" s="45">
        <v>12.4</v>
      </c>
      <c r="Q24" s="45">
        <v>12.4</v>
      </c>
      <c r="R24" s="45">
        <v>12.4</v>
      </c>
      <c r="S24" s="45">
        <v>12.4</v>
      </c>
      <c r="T24" s="45">
        <v>12.4</v>
      </c>
      <c r="U24" s="45">
        <v>12.4</v>
      </c>
      <c r="V24" s="45">
        <v>12.4</v>
      </c>
      <c r="W24" s="45">
        <v>12.4</v>
      </c>
      <c r="X24" s="45">
        <v>12.4</v>
      </c>
      <c r="Y24" s="45">
        <v>12.4</v>
      </c>
      <c r="Z24" s="45">
        <v>12.4</v>
      </c>
      <c r="AA24" s="45">
        <v>12.4</v>
      </c>
      <c r="AB24" s="45">
        <v>12.4</v>
      </c>
      <c r="AC24" s="45">
        <v>12.4</v>
      </c>
      <c r="AD24" s="45">
        <v>12.4</v>
      </c>
      <c r="AE24" s="45">
        <v>12.4</v>
      </c>
      <c r="AF24" s="45">
        <v>12.4</v>
      </c>
      <c r="AG24" s="51">
        <v>23.5</v>
      </c>
      <c r="AH24" s="48">
        <f t="shared" si="2"/>
        <v>12.4</v>
      </c>
      <c r="AI24" s="49">
        <f t="shared" si="3"/>
        <v>12.4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10</v>
      </c>
      <c r="J29" s="45">
        <v>10</v>
      </c>
      <c r="K29" s="45">
        <v>10</v>
      </c>
      <c r="L29" s="45">
        <v>10</v>
      </c>
      <c r="M29" s="45">
        <v>10</v>
      </c>
      <c r="N29" s="45">
        <v>10</v>
      </c>
      <c r="O29" s="45">
        <v>10</v>
      </c>
      <c r="P29" s="45">
        <v>10</v>
      </c>
      <c r="Q29" s="45">
        <v>10</v>
      </c>
      <c r="R29" s="45">
        <v>10</v>
      </c>
      <c r="S29" s="45">
        <v>10</v>
      </c>
      <c r="T29" s="45">
        <v>10</v>
      </c>
      <c r="U29" s="45">
        <v>10</v>
      </c>
      <c r="V29" s="45">
        <v>10</v>
      </c>
      <c r="W29" s="45">
        <v>10</v>
      </c>
      <c r="X29" s="45">
        <v>10</v>
      </c>
      <c r="Y29" s="45">
        <v>10</v>
      </c>
      <c r="Z29" s="45">
        <v>10</v>
      </c>
      <c r="AA29" s="45">
        <v>10</v>
      </c>
      <c r="AB29" s="45">
        <v>10</v>
      </c>
      <c r="AC29" s="45">
        <v>10</v>
      </c>
      <c r="AD29" s="45">
        <v>10</v>
      </c>
      <c r="AE29" s="45">
        <v>10</v>
      </c>
      <c r="AF29" s="45">
        <v>10</v>
      </c>
      <c r="AG29" s="51">
        <v>20</v>
      </c>
      <c r="AH29" s="48">
        <f t="shared" si="2"/>
        <v>10</v>
      </c>
      <c r="AI29" s="49">
        <f t="shared" si="3"/>
        <v>10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1</v>
      </c>
      <c r="W41" s="45">
        <v>1</v>
      </c>
      <c r="X41" s="45">
        <v>1</v>
      </c>
      <c r="Y41" s="45">
        <v>1</v>
      </c>
      <c r="Z41" s="45">
        <v>1</v>
      </c>
      <c r="AA41" s="45">
        <v>1</v>
      </c>
      <c r="AB41" s="45">
        <v>1</v>
      </c>
      <c r="AC41" s="45">
        <v>1</v>
      </c>
      <c r="AD41" s="45">
        <v>1</v>
      </c>
      <c r="AE41" s="45">
        <v>1</v>
      </c>
      <c r="AF41" s="45">
        <v>1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47</v>
      </c>
      <c r="B43" s="59">
        <v>69.5</v>
      </c>
      <c r="C43" s="59">
        <f>30.4+39.2</f>
        <v>69.599999999999994</v>
      </c>
      <c r="D43" s="59">
        <f>30+40</f>
        <v>70</v>
      </c>
      <c r="E43" s="59">
        <f>39.7+30.7</f>
        <v>70.400000000000006</v>
      </c>
      <c r="F43" s="59">
        <f>70.9</f>
        <v>70.900000000000006</v>
      </c>
      <c r="G43" s="59">
        <v>71.400000000000006</v>
      </c>
      <c r="H43" s="59">
        <f>39.6+31.1</f>
        <v>70.7</v>
      </c>
      <c r="I43" s="59">
        <f>38.8+30.9</f>
        <v>69.699999999999989</v>
      </c>
      <c r="J43" s="59">
        <f>38.4+30.9</f>
        <v>69.3</v>
      </c>
      <c r="K43" s="59">
        <f>38.4+30.5</f>
        <v>68.900000000000006</v>
      </c>
      <c r="L43" s="57">
        <f>35.8+30.3</f>
        <v>66.099999999999994</v>
      </c>
      <c r="M43" s="57">
        <f>30.1+37.2</f>
        <v>67.300000000000011</v>
      </c>
      <c r="N43" s="57">
        <f>30.2+36.4</f>
        <v>66.599999999999994</v>
      </c>
      <c r="O43" s="57">
        <f>30.7+40.5</f>
        <v>71.2</v>
      </c>
      <c r="P43" s="57">
        <f>30.7+40.9</f>
        <v>71.599999999999994</v>
      </c>
      <c r="Q43" s="57">
        <f>30.8+40.7</f>
        <v>71.5</v>
      </c>
      <c r="R43" s="57"/>
      <c r="S43" s="59">
        <v>68</v>
      </c>
      <c r="T43" s="59">
        <v>68</v>
      </c>
      <c r="U43" s="59">
        <v>68</v>
      </c>
      <c r="V43" s="59">
        <f>29.6+35.2</f>
        <v>64.800000000000011</v>
      </c>
      <c r="W43" s="59">
        <f>29.6+35.2</f>
        <v>64.800000000000011</v>
      </c>
      <c r="X43" s="59">
        <v>62</v>
      </c>
      <c r="Y43" s="59">
        <f>30.1+36.1</f>
        <v>66.2</v>
      </c>
      <c r="Z43" s="59">
        <f>30.1+36.1</f>
        <v>66.2</v>
      </c>
      <c r="AA43" s="59">
        <f>29.4+35.1</f>
        <v>64.5</v>
      </c>
      <c r="AB43" s="59">
        <v>65.099999999999994</v>
      </c>
      <c r="AC43" s="59">
        <v>60.2</v>
      </c>
      <c r="AD43" s="59">
        <v>63.2</v>
      </c>
      <c r="AE43" s="59">
        <v>67.099999999999994</v>
      </c>
      <c r="AF43" s="59">
        <v>69.599999999999994</v>
      </c>
      <c r="AG43" s="55">
        <v>240</v>
      </c>
      <c r="AH43" s="48">
        <f t="shared" si="2"/>
        <v>71.599999999999994</v>
      </c>
      <c r="AI43" s="49">
        <f t="shared" si="3"/>
        <v>60.2</v>
      </c>
      <c r="AK43" s="50"/>
    </row>
    <row r="44" spans="1:88" ht="15.75" thickBot="1" x14ac:dyDescent="0.3">
      <c r="A44" s="60" t="s">
        <v>48</v>
      </c>
      <c r="B44" s="61">
        <f t="shared" ref="B44:AG44" si="4">SUM(B11:B42)</f>
        <v>582.59999999999991</v>
      </c>
      <c r="C44" s="61">
        <f t="shared" si="4"/>
        <v>582.59999999999991</v>
      </c>
      <c r="D44" s="61">
        <f t="shared" si="4"/>
        <v>582.59999999999991</v>
      </c>
      <c r="E44" s="61">
        <f t="shared" si="4"/>
        <v>583.4</v>
      </c>
      <c r="F44" s="61">
        <f t="shared" si="4"/>
        <v>583.4</v>
      </c>
      <c r="G44" s="61">
        <f t="shared" si="4"/>
        <v>583.4</v>
      </c>
      <c r="H44" s="61">
        <f t="shared" si="4"/>
        <v>583.4</v>
      </c>
      <c r="I44" s="61">
        <f t="shared" si="4"/>
        <v>583.4</v>
      </c>
      <c r="J44" s="61">
        <f t="shared" si="4"/>
        <v>582.4</v>
      </c>
      <c r="K44" s="61">
        <f t="shared" si="4"/>
        <v>581.9</v>
      </c>
      <c r="L44" s="61">
        <f t="shared" si="4"/>
        <v>579.9</v>
      </c>
      <c r="M44" s="61">
        <f t="shared" si="4"/>
        <v>579.9</v>
      </c>
      <c r="N44" s="61">
        <f t="shared" si="4"/>
        <v>580.9</v>
      </c>
      <c r="O44" s="61">
        <f t="shared" si="4"/>
        <v>580.9</v>
      </c>
      <c r="P44" s="61">
        <f t="shared" si="4"/>
        <v>580.9</v>
      </c>
      <c r="Q44" s="61">
        <f t="shared" si="4"/>
        <v>580.9</v>
      </c>
      <c r="R44" s="61">
        <f t="shared" si="4"/>
        <v>580.9</v>
      </c>
      <c r="S44" s="61">
        <f t="shared" si="4"/>
        <v>580.9</v>
      </c>
      <c r="T44" s="61">
        <f t="shared" si="4"/>
        <v>579.59999999999991</v>
      </c>
      <c r="U44" s="61">
        <f t="shared" si="4"/>
        <v>579.59999999999991</v>
      </c>
      <c r="V44" s="61">
        <f t="shared" si="4"/>
        <v>579.59999999999991</v>
      </c>
      <c r="W44" s="61">
        <f t="shared" si="4"/>
        <v>579.59999999999991</v>
      </c>
      <c r="X44" s="61">
        <v>582.9</v>
      </c>
      <c r="Y44" s="61">
        <f t="shared" si="4"/>
        <v>582.9</v>
      </c>
      <c r="Z44" s="61">
        <f t="shared" si="4"/>
        <v>583.59999999999991</v>
      </c>
      <c r="AA44" s="61">
        <f t="shared" si="4"/>
        <v>583.59999999999991</v>
      </c>
      <c r="AB44" s="61">
        <f t="shared" si="4"/>
        <v>583.59999999999991</v>
      </c>
      <c r="AC44" s="61">
        <f t="shared" si="4"/>
        <v>583.59999999999991</v>
      </c>
      <c r="AD44" s="61">
        <f t="shared" si="4"/>
        <v>583.59999999999991</v>
      </c>
      <c r="AE44" s="61">
        <f t="shared" si="4"/>
        <v>583.59999999999991</v>
      </c>
      <c r="AF44" s="61">
        <f t="shared" si="4"/>
        <v>583.59999999999991</v>
      </c>
      <c r="AG44" s="62">
        <f t="shared" si="4"/>
        <v>814.78000000000009</v>
      </c>
      <c r="AH44" s="48">
        <f t="shared" si="2"/>
        <v>583.59999999999991</v>
      </c>
      <c r="AI44" s="49">
        <f t="shared" si="3"/>
        <v>579.59999999999991</v>
      </c>
      <c r="AK44" s="50"/>
    </row>
    <row r="45" spans="1:88" x14ac:dyDescent="0.25">
      <c r="A45" s="63" t="s">
        <v>49</v>
      </c>
      <c r="B45" s="45">
        <v>70</v>
      </c>
      <c r="C45" s="45">
        <v>15</v>
      </c>
      <c r="D45" s="45">
        <v>15</v>
      </c>
      <c r="E45" s="45">
        <v>15</v>
      </c>
      <c r="F45" s="45">
        <v>15</v>
      </c>
      <c r="G45" s="45">
        <v>15</v>
      </c>
      <c r="H45" s="45">
        <v>0</v>
      </c>
      <c r="I45" s="45">
        <v>76</v>
      </c>
      <c r="J45" s="45">
        <v>210</v>
      </c>
      <c r="K45" s="45">
        <v>390</v>
      </c>
      <c r="L45" s="45">
        <v>430</v>
      </c>
      <c r="M45" s="45">
        <v>420</v>
      </c>
      <c r="N45" s="45">
        <v>380</v>
      </c>
      <c r="O45" s="45">
        <v>350</v>
      </c>
      <c r="P45" s="45">
        <v>77</v>
      </c>
      <c r="Q45" s="45">
        <v>35</v>
      </c>
      <c r="R45" s="45">
        <v>27</v>
      </c>
      <c r="S45" s="45">
        <v>55</v>
      </c>
      <c r="T45" s="45">
        <v>55</v>
      </c>
      <c r="U45" s="45">
        <v>40</v>
      </c>
      <c r="V45" s="45">
        <v>240</v>
      </c>
      <c r="W45" s="45">
        <v>456</v>
      </c>
      <c r="X45" s="45">
        <v>435</v>
      </c>
      <c r="Y45" s="45">
        <v>310</v>
      </c>
      <c r="Z45" s="45">
        <v>295</v>
      </c>
      <c r="AA45" s="45">
        <v>150</v>
      </c>
      <c r="AB45" s="45">
        <v>150</v>
      </c>
      <c r="AC45" s="45">
        <v>130</v>
      </c>
      <c r="AD45" s="45">
        <v>105</v>
      </c>
      <c r="AE45" s="45">
        <v>50</v>
      </c>
      <c r="AF45" s="45">
        <v>15</v>
      </c>
      <c r="AG45" s="52">
        <v>456</v>
      </c>
      <c r="AH45" s="48">
        <f t="shared" si="2"/>
        <v>456</v>
      </c>
      <c r="AI45" s="49">
        <f t="shared" si="3"/>
        <v>0</v>
      </c>
      <c r="AK45" s="50"/>
    </row>
    <row r="46" spans="1:88" x14ac:dyDescent="0.25">
      <c r="A46" s="64" t="s">
        <v>50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48</v>
      </c>
      <c r="N46" s="65">
        <v>48</v>
      </c>
      <c r="O46" s="65">
        <v>48</v>
      </c>
      <c r="P46" s="65">
        <v>48</v>
      </c>
      <c r="Q46" s="65">
        <v>48</v>
      </c>
      <c r="R46" s="65">
        <v>46</v>
      </c>
      <c r="S46" s="65">
        <v>46</v>
      </c>
      <c r="T46" s="65">
        <v>46</v>
      </c>
      <c r="U46" s="65">
        <v>46</v>
      </c>
      <c r="V46" s="65">
        <v>46</v>
      </c>
      <c r="W46" s="65">
        <v>46</v>
      </c>
      <c r="X46" s="65">
        <v>46</v>
      </c>
      <c r="Y46" s="65">
        <v>46</v>
      </c>
      <c r="Z46" s="65">
        <v>46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48</v>
      </c>
      <c r="AI46" s="49">
        <f t="shared" si="3"/>
        <v>46</v>
      </c>
      <c r="AK46" s="50"/>
    </row>
    <row r="47" spans="1:88" ht="15.75" thickBot="1" x14ac:dyDescent="0.3">
      <c r="A47" s="66" t="s">
        <v>51</v>
      </c>
      <c r="B47" s="67">
        <v>18.399999999999999</v>
      </c>
      <c r="C47" s="67">
        <v>18.399999999999999</v>
      </c>
      <c r="D47" s="67">
        <v>18.399999999999999</v>
      </c>
      <c r="E47" s="67">
        <v>18.399999999999999</v>
      </c>
      <c r="F47" s="67">
        <v>18.399999999999999</v>
      </c>
      <c r="G47" s="67">
        <v>18.399999999999999</v>
      </c>
      <c r="H47" s="67">
        <v>18.399999999999999</v>
      </c>
      <c r="I47" s="67">
        <v>18.399999999999999</v>
      </c>
      <c r="J47" s="67">
        <v>16.100000000000001</v>
      </c>
      <c r="K47" s="67">
        <v>16</v>
      </c>
      <c r="L47" s="67">
        <v>16</v>
      </c>
      <c r="M47" s="67">
        <v>16.100000000000001</v>
      </c>
      <c r="N47" s="67">
        <v>16.7</v>
      </c>
      <c r="O47" s="67">
        <v>16.8</v>
      </c>
      <c r="P47" s="67">
        <v>16.8</v>
      </c>
      <c r="Q47" s="67">
        <v>16.8</v>
      </c>
      <c r="R47" s="67">
        <v>16.8</v>
      </c>
      <c r="S47" s="67">
        <v>16.8</v>
      </c>
      <c r="T47" s="67">
        <v>16.8</v>
      </c>
      <c r="U47" s="67">
        <v>16.8</v>
      </c>
      <c r="V47" s="67">
        <v>16.8</v>
      </c>
      <c r="W47" s="67">
        <v>16.8</v>
      </c>
      <c r="X47" s="67">
        <v>16.8</v>
      </c>
      <c r="Y47" s="67">
        <v>16.8</v>
      </c>
      <c r="Z47" s="67">
        <v>16.8</v>
      </c>
      <c r="AA47" s="67">
        <v>20.100000000000001</v>
      </c>
      <c r="AB47" s="67">
        <v>20.100000000000001</v>
      </c>
      <c r="AC47" s="67">
        <v>20.100000000000001</v>
      </c>
      <c r="AD47" s="67">
        <v>20.100000000000001</v>
      </c>
      <c r="AE47" s="67">
        <v>20.100000000000001</v>
      </c>
      <c r="AF47" s="67">
        <v>20.100000000000001</v>
      </c>
      <c r="AG47" s="68">
        <v>22.1</v>
      </c>
      <c r="AH47" s="48">
        <f t="shared" si="2"/>
        <v>20.100000000000001</v>
      </c>
      <c r="AI47" s="49">
        <f t="shared" si="3"/>
        <v>16</v>
      </c>
      <c r="AK47" s="50"/>
    </row>
    <row r="48" spans="1:88" ht="15.75" thickBot="1" x14ac:dyDescent="0.3">
      <c r="A48" s="69" t="s">
        <v>52</v>
      </c>
      <c r="B48" s="61">
        <f t="shared" ref="B48:AG48" si="5">SUM(B45:B47)</f>
        <v>136.4</v>
      </c>
      <c r="C48" s="61">
        <f t="shared" si="5"/>
        <v>81.400000000000006</v>
      </c>
      <c r="D48" s="61">
        <f t="shared" si="5"/>
        <v>81.400000000000006</v>
      </c>
      <c r="E48" s="61">
        <f t="shared" si="5"/>
        <v>81.400000000000006</v>
      </c>
      <c r="F48" s="61">
        <f t="shared" si="5"/>
        <v>81.400000000000006</v>
      </c>
      <c r="G48" s="61">
        <f t="shared" si="5"/>
        <v>81.400000000000006</v>
      </c>
      <c r="H48" s="61">
        <f t="shared" si="5"/>
        <v>66.400000000000006</v>
      </c>
      <c r="I48" s="61">
        <f t="shared" si="5"/>
        <v>142.4</v>
      </c>
      <c r="J48" s="61">
        <f t="shared" si="5"/>
        <v>274.10000000000002</v>
      </c>
      <c r="K48" s="61">
        <f t="shared" si="5"/>
        <v>454</v>
      </c>
      <c r="L48" s="61">
        <f t="shared" si="5"/>
        <v>494</v>
      </c>
      <c r="M48" s="61">
        <f t="shared" si="5"/>
        <v>484.1</v>
      </c>
      <c r="N48" s="61">
        <f t="shared" si="5"/>
        <v>444.7</v>
      </c>
      <c r="O48" s="61">
        <f t="shared" si="5"/>
        <v>414.8</v>
      </c>
      <c r="P48" s="61">
        <f t="shared" si="5"/>
        <v>141.80000000000001</v>
      </c>
      <c r="Q48" s="61">
        <f t="shared" si="5"/>
        <v>99.8</v>
      </c>
      <c r="R48" s="61">
        <f t="shared" si="5"/>
        <v>89.8</v>
      </c>
      <c r="S48" s="61">
        <f t="shared" si="5"/>
        <v>117.8</v>
      </c>
      <c r="T48" s="61">
        <f t="shared" si="5"/>
        <v>117.8</v>
      </c>
      <c r="U48" s="61">
        <f t="shared" si="5"/>
        <v>102.8</v>
      </c>
      <c r="V48" s="61">
        <f t="shared" si="5"/>
        <v>302.8</v>
      </c>
      <c r="W48" s="61">
        <f t="shared" si="5"/>
        <v>518.79999999999995</v>
      </c>
      <c r="X48" s="61">
        <f t="shared" si="5"/>
        <v>497.8</v>
      </c>
      <c r="Y48" s="61">
        <f t="shared" si="5"/>
        <v>372.8</v>
      </c>
      <c r="Z48" s="61">
        <f t="shared" si="5"/>
        <v>357.8</v>
      </c>
      <c r="AA48" s="61">
        <f t="shared" si="5"/>
        <v>218.1</v>
      </c>
      <c r="AB48" s="61">
        <f t="shared" si="5"/>
        <v>218.1</v>
      </c>
      <c r="AC48" s="61">
        <f t="shared" si="5"/>
        <v>198.1</v>
      </c>
      <c r="AD48" s="61">
        <f t="shared" si="5"/>
        <v>173.1</v>
      </c>
      <c r="AE48" s="61">
        <f t="shared" si="5"/>
        <v>118.1</v>
      </c>
      <c r="AF48" s="61">
        <f t="shared" si="5"/>
        <v>83.1</v>
      </c>
      <c r="AG48" s="62">
        <f t="shared" si="5"/>
        <v>538.1</v>
      </c>
      <c r="AH48" s="48">
        <f t="shared" si="2"/>
        <v>518.79999999999995</v>
      </c>
      <c r="AI48" s="49">
        <f t="shared" si="3"/>
        <v>66.400000000000006</v>
      </c>
      <c r="AK48" s="50"/>
    </row>
    <row r="49" spans="1:41" x14ac:dyDescent="0.25">
      <c r="A49" s="44" t="s">
        <v>53</v>
      </c>
      <c r="B49" s="45">
        <v>66</v>
      </c>
      <c r="C49" s="45">
        <v>25.8</v>
      </c>
      <c r="D49" s="45">
        <v>25.8</v>
      </c>
      <c r="E49" s="45">
        <v>25.2</v>
      </c>
      <c r="F49" s="45">
        <v>25.2</v>
      </c>
      <c r="G49" s="45">
        <v>25.2</v>
      </c>
      <c r="H49" s="45">
        <v>80</v>
      </c>
      <c r="I49" s="45">
        <v>137.5</v>
      </c>
      <c r="J49" s="45">
        <v>120.5</v>
      </c>
      <c r="K49" s="45">
        <v>140</v>
      </c>
      <c r="L49" s="45">
        <v>142.30000000000001</v>
      </c>
      <c r="M49" s="45">
        <v>142</v>
      </c>
      <c r="N49" s="45">
        <v>142</v>
      </c>
      <c r="O49" s="45">
        <v>131.4</v>
      </c>
      <c r="P49" s="45">
        <v>140.6</v>
      </c>
      <c r="Q49" s="45">
        <v>101.1</v>
      </c>
      <c r="R49" s="45">
        <v>78</v>
      </c>
      <c r="S49" s="45">
        <v>70</v>
      </c>
      <c r="T49" s="45">
        <v>105</v>
      </c>
      <c r="U49" s="45">
        <v>125</v>
      </c>
      <c r="V49" s="45">
        <v>121.8</v>
      </c>
      <c r="W49" s="45">
        <v>140</v>
      </c>
      <c r="X49" s="45">
        <v>139.4</v>
      </c>
      <c r="Y49" s="45">
        <v>138</v>
      </c>
      <c r="Z49" s="45">
        <v>138.9</v>
      </c>
      <c r="AA49" s="45">
        <v>139.19999999999999</v>
      </c>
      <c r="AB49" s="45">
        <v>138.6</v>
      </c>
      <c r="AC49" s="45">
        <v>138.6</v>
      </c>
      <c r="AD49" s="45">
        <v>118.4</v>
      </c>
      <c r="AE49" s="45">
        <v>81.900000000000006</v>
      </c>
      <c r="AF49" s="45">
        <v>47.3</v>
      </c>
      <c r="AG49" s="52">
        <v>144</v>
      </c>
      <c r="AH49" s="48">
        <f t="shared" si="2"/>
        <v>142.30000000000001</v>
      </c>
      <c r="AI49" s="49">
        <f t="shared" si="3"/>
        <v>25.2</v>
      </c>
      <c r="AK49" s="50"/>
    </row>
    <row r="50" spans="1:41" x14ac:dyDescent="0.25">
      <c r="A50" s="54" t="s">
        <v>54</v>
      </c>
      <c r="B50" s="65">
        <v>35.4</v>
      </c>
      <c r="C50" s="65">
        <v>0</v>
      </c>
      <c r="D50" s="65">
        <v>0</v>
      </c>
      <c r="E50" s="65">
        <v>0</v>
      </c>
      <c r="F50" s="65">
        <v>0</v>
      </c>
      <c r="G50" s="65">
        <v>35.299999999999997</v>
      </c>
      <c r="H50" s="65">
        <v>70.3</v>
      </c>
      <c r="I50" s="65">
        <v>70.599999999999994</v>
      </c>
      <c r="J50" s="65">
        <v>70.599999999999994</v>
      </c>
      <c r="K50" s="65">
        <v>70.599999999999994</v>
      </c>
      <c r="L50" s="65">
        <v>70.3</v>
      </c>
      <c r="M50" s="65">
        <v>69.099999999999994</v>
      </c>
      <c r="N50" s="65">
        <v>69.2</v>
      </c>
      <c r="O50" s="45">
        <v>71.900000000000006</v>
      </c>
      <c r="P50" s="45">
        <v>72</v>
      </c>
      <c r="Q50" s="45">
        <v>45.1</v>
      </c>
      <c r="R50" s="45">
        <v>57.1</v>
      </c>
      <c r="S50" s="45">
        <v>57.1</v>
      </c>
      <c r="T50" s="65">
        <v>46</v>
      </c>
      <c r="U50" s="65">
        <v>46</v>
      </c>
      <c r="V50" s="65">
        <v>65</v>
      </c>
      <c r="W50" s="65">
        <v>71.8</v>
      </c>
      <c r="X50" s="65">
        <v>70.400000000000006</v>
      </c>
      <c r="Y50" s="65">
        <v>70.400000000000006</v>
      </c>
      <c r="Z50" s="65">
        <v>70.400000000000006</v>
      </c>
      <c r="AA50" s="65">
        <v>69.2</v>
      </c>
      <c r="AB50" s="65">
        <v>69.2</v>
      </c>
      <c r="AC50" s="65">
        <v>50</v>
      </c>
      <c r="AD50" s="65">
        <v>26.3</v>
      </c>
      <c r="AE50" s="65">
        <v>23.9</v>
      </c>
      <c r="AF50" s="65">
        <v>25.6</v>
      </c>
      <c r="AG50" s="55">
        <v>70</v>
      </c>
      <c r="AH50" s="48">
        <f t="shared" si="2"/>
        <v>72</v>
      </c>
      <c r="AI50" s="49">
        <f t="shared" si="3"/>
        <v>0</v>
      </c>
      <c r="AK50" s="50"/>
    </row>
    <row r="51" spans="1:41" x14ac:dyDescent="0.25">
      <c r="A51" s="54" t="s">
        <v>55</v>
      </c>
      <c r="B51" s="65">
        <v>52</v>
      </c>
      <c r="C51" s="65">
        <v>17.5</v>
      </c>
      <c r="D51" s="65">
        <v>19</v>
      </c>
      <c r="E51" s="65">
        <v>19.7</v>
      </c>
      <c r="F51" s="65">
        <v>20</v>
      </c>
      <c r="G51" s="65">
        <v>42.7</v>
      </c>
      <c r="H51" s="65">
        <v>65.3</v>
      </c>
      <c r="I51" s="65">
        <v>70.099999999999994</v>
      </c>
      <c r="J51" s="65">
        <v>60.7</v>
      </c>
      <c r="K51" s="65">
        <v>69.5</v>
      </c>
      <c r="L51" s="65">
        <v>68.5</v>
      </c>
      <c r="M51" s="65">
        <v>68.3</v>
      </c>
      <c r="N51" s="65">
        <v>67.8</v>
      </c>
      <c r="O51" s="45">
        <v>55.9</v>
      </c>
      <c r="P51" s="45">
        <v>55.5</v>
      </c>
      <c r="Q51" s="45">
        <v>40.4</v>
      </c>
      <c r="R51" s="45">
        <v>40.799999999999997</v>
      </c>
      <c r="S51" s="45">
        <v>40.799999999999997</v>
      </c>
      <c r="T51" s="65">
        <v>46.7</v>
      </c>
      <c r="U51" s="65">
        <v>46.7</v>
      </c>
      <c r="V51" s="65">
        <v>52.2</v>
      </c>
      <c r="W51" s="65">
        <v>69.400000000000006</v>
      </c>
      <c r="X51" s="65">
        <v>69</v>
      </c>
      <c r="Y51" s="65">
        <v>69</v>
      </c>
      <c r="Z51" s="65">
        <v>69</v>
      </c>
      <c r="AA51" s="65">
        <v>68.900000000000006</v>
      </c>
      <c r="AB51" s="65">
        <v>68.900000000000006</v>
      </c>
      <c r="AC51" s="65">
        <v>68.900000000000006</v>
      </c>
      <c r="AD51" s="65">
        <v>61.1</v>
      </c>
      <c r="AE51" s="65">
        <v>51.3</v>
      </c>
      <c r="AF51" s="65">
        <v>60</v>
      </c>
      <c r="AG51" s="55">
        <v>69</v>
      </c>
      <c r="AH51" s="48">
        <f t="shared" si="2"/>
        <v>70.099999999999994</v>
      </c>
      <c r="AI51" s="49">
        <f t="shared" si="3"/>
        <v>17.5</v>
      </c>
      <c r="AK51" s="50"/>
    </row>
    <row r="52" spans="1:41" x14ac:dyDescent="0.25">
      <c r="A52" s="54" t="s">
        <v>56</v>
      </c>
      <c r="B52" s="57">
        <v>60.4</v>
      </c>
      <c r="C52" s="57">
        <v>60.4</v>
      </c>
      <c r="D52" s="57">
        <v>60.4</v>
      </c>
      <c r="E52" s="57">
        <v>60.4</v>
      </c>
      <c r="F52" s="57">
        <v>60.4</v>
      </c>
      <c r="G52" s="57">
        <v>60.4</v>
      </c>
      <c r="H52" s="57">
        <v>60.4</v>
      </c>
      <c r="I52" s="57">
        <v>60.4</v>
      </c>
      <c r="J52" s="57">
        <v>60.4</v>
      </c>
      <c r="K52" s="57">
        <v>60.4</v>
      </c>
      <c r="L52" s="57">
        <v>60.4</v>
      </c>
      <c r="M52" s="65">
        <v>60.4</v>
      </c>
      <c r="N52" s="65">
        <v>60.4</v>
      </c>
      <c r="O52" s="45">
        <v>60.4</v>
      </c>
      <c r="P52" s="45">
        <v>60.4</v>
      </c>
      <c r="Q52" s="45">
        <v>60.4</v>
      </c>
      <c r="R52" s="45">
        <v>60.4</v>
      </c>
      <c r="S52" s="45">
        <v>60.4</v>
      </c>
      <c r="T52" s="45">
        <v>60.4</v>
      </c>
      <c r="U52" s="45">
        <v>60.4</v>
      </c>
      <c r="V52" s="65">
        <v>60.4</v>
      </c>
      <c r="W52" s="65">
        <v>60.4</v>
      </c>
      <c r="X52" s="65">
        <v>60.4</v>
      </c>
      <c r="Y52" s="65">
        <v>60.4</v>
      </c>
      <c r="Z52" s="65">
        <v>60.4</v>
      </c>
      <c r="AA52" s="65">
        <v>60.4</v>
      </c>
      <c r="AB52" s="65">
        <v>60.4</v>
      </c>
      <c r="AC52" s="65">
        <v>60.4</v>
      </c>
      <c r="AD52" s="65">
        <v>60.4</v>
      </c>
      <c r="AE52" s="65">
        <v>60.4</v>
      </c>
      <c r="AF52" s="65">
        <v>60.4</v>
      </c>
      <c r="AG52" s="55">
        <v>60</v>
      </c>
      <c r="AH52" s="48">
        <f t="shared" si="2"/>
        <v>60.4</v>
      </c>
      <c r="AI52" s="49">
        <f t="shared" si="3"/>
        <v>60.4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13</v>
      </c>
      <c r="J53" s="57">
        <v>15</v>
      </c>
      <c r="K53" s="57">
        <v>30</v>
      </c>
      <c r="L53" s="57">
        <v>30</v>
      </c>
      <c r="M53" s="65">
        <v>29.9</v>
      </c>
      <c r="N53" s="65">
        <v>29.9</v>
      </c>
      <c r="O53" s="45">
        <v>24.8</v>
      </c>
      <c r="P53" s="45">
        <v>24.9</v>
      </c>
      <c r="Q53" s="45">
        <v>15.2</v>
      </c>
      <c r="R53" s="45">
        <v>0</v>
      </c>
      <c r="S53" s="45">
        <v>0</v>
      </c>
      <c r="T53" s="45">
        <v>0</v>
      </c>
      <c r="U53" s="45">
        <v>0</v>
      </c>
      <c r="V53" s="65">
        <v>13.6</v>
      </c>
      <c r="W53" s="65">
        <v>13.6</v>
      </c>
      <c r="X53" s="65">
        <v>29.1</v>
      </c>
      <c r="Y53" s="65">
        <v>29.1</v>
      </c>
      <c r="Z53" s="65">
        <v>29.1</v>
      </c>
      <c r="AA53" s="65">
        <v>29</v>
      </c>
      <c r="AB53" s="65">
        <v>14.3</v>
      </c>
      <c r="AC53" s="65">
        <v>14.3</v>
      </c>
      <c r="AD53" s="65">
        <v>14.3</v>
      </c>
      <c r="AE53" s="65">
        <v>14.3</v>
      </c>
      <c r="AF53" s="65">
        <v>0</v>
      </c>
      <c r="AG53" s="55">
        <v>30</v>
      </c>
      <c r="AH53" s="48">
        <f t="shared" si="2"/>
        <v>30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2</v>
      </c>
      <c r="N54" s="65">
        <v>4</v>
      </c>
      <c r="O54" s="65">
        <v>6</v>
      </c>
      <c r="P54" s="65">
        <v>6</v>
      </c>
      <c r="Q54" s="65">
        <v>8</v>
      </c>
      <c r="R54" s="45">
        <v>8</v>
      </c>
      <c r="S54" s="45">
        <v>8</v>
      </c>
      <c r="T54" s="45">
        <v>8</v>
      </c>
      <c r="U54" s="45">
        <v>8</v>
      </c>
      <c r="V54" s="45">
        <v>8</v>
      </c>
      <c r="W54" s="45">
        <v>8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17.3</v>
      </c>
      <c r="C55" s="65">
        <v>17.3</v>
      </c>
      <c r="D55" s="65">
        <v>17.3</v>
      </c>
      <c r="E55" s="65">
        <v>17.3</v>
      </c>
      <c r="F55" s="65">
        <v>17.3</v>
      </c>
      <c r="G55" s="65">
        <v>17.3</v>
      </c>
      <c r="H55" s="65">
        <v>17.3</v>
      </c>
      <c r="I55" s="65">
        <v>17.3</v>
      </c>
      <c r="J55" s="65">
        <v>17.3</v>
      </c>
      <c r="K55" s="65">
        <v>17.3</v>
      </c>
      <c r="L55" s="65">
        <v>17.3</v>
      </c>
      <c r="M55" s="65">
        <v>17.3</v>
      </c>
      <c r="N55" s="65">
        <v>17.3</v>
      </c>
      <c r="O55" s="65">
        <v>17.3</v>
      </c>
      <c r="P55" s="65">
        <v>17.3</v>
      </c>
      <c r="Q55" s="65">
        <v>17.3</v>
      </c>
      <c r="R55" s="65">
        <v>17.3</v>
      </c>
      <c r="S55" s="65">
        <v>17.3</v>
      </c>
      <c r="T55" s="65">
        <v>17.3</v>
      </c>
      <c r="U55" s="65">
        <v>17.3</v>
      </c>
      <c r="V55" s="65">
        <v>17.3</v>
      </c>
      <c r="W55" s="65">
        <v>17.3</v>
      </c>
      <c r="X55" s="45">
        <v>17.3</v>
      </c>
      <c r="Y55" s="45">
        <v>17.3</v>
      </c>
      <c r="Z55" s="45">
        <v>17.3</v>
      </c>
      <c r="AA55" s="45">
        <v>17.3</v>
      </c>
      <c r="AB55" s="45">
        <v>17.3</v>
      </c>
      <c r="AC55" s="45">
        <v>17.3</v>
      </c>
      <c r="AD55" s="45">
        <v>17.3</v>
      </c>
      <c r="AE55" s="45">
        <v>17.3</v>
      </c>
      <c r="AF55" s="45">
        <v>17.3</v>
      </c>
      <c r="AG55" s="55">
        <v>24</v>
      </c>
      <c r="AH55" s="48">
        <f t="shared" si="2"/>
        <v>17.3</v>
      </c>
      <c r="AI55" s="49">
        <f t="shared" si="3"/>
        <v>17.3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14.9</v>
      </c>
      <c r="C57" s="65">
        <v>14.9</v>
      </c>
      <c r="D57" s="65">
        <v>14.9</v>
      </c>
      <c r="E57" s="65">
        <v>15.4</v>
      </c>
      <c r="F57" s="65">
        <v>15.4</v>
      </c>
      <c r="G57" s="65">
        <v>15.4</v>
      </c>
      <c r="H57" s="65">
        <v>15.4</v>
      </c>
      <c r="I57" s="65">
        <v>15.4</v>
      </c>
      <c r="J57" s="65">
        <v>15.4</v>
      </c>
      <c r="K57" s="65">
        <v>15.4</v>
      </c>
      <c r="L57" s="65">
        <v>15.4</v>
      </c>
      <c r="M57" s="65">
        <v>15.4</v>
      </c>
      <c r="N57" s="65">
        <v>15.4</v>
      </c>
      <c r="O57" s="65">
        <v>15.4</v>
      </c>
      <c r="P57" s="65">
        <v>15.4</v>
      </c>
      <c r="Q57" s="65">
        <v>15.4</v>
      </c>
      <c r="R57" s="65">
        <v>15.4</v>
      </c>
      <c r="S57" s="65">
        <v>15.4</v>
      </c>
      <c r="T57" s="65">
        <v>15.4</v>
      </c>
      <c r="U57" s="65">
        <v>15.4</v>
      </c>
      <c r="V57" s="65">
        <v>15.4</v>
      </c>
      <c r="W57" s="65">
        <v>15.4</v>
      </c>
      <c r="X57" s="65">
        <v>15.4</v>
      </c>
      <c r="Y57" s="65">
        <v>15.4</v>
      </c>
      <c r="Z57" s="65">
        <v>15.4</v>
      </c>
      <c r="AA57" s="65">
        <v>15.4</v>
      </c>
      <c r="AB57" s="65">
        <v>15.4</v>
      </c>
      <c r="AC57" s="65">
        <v>15.4</v>
      </c>
      <c r="AD57" s="65">
        <v>15.4</v>
      </c>
      <c r="AE57" s="65">
        <v>15.4</v>
      </c>
      <c r="AF57" s="65">
        <v>15.4</v>
      </c>
      <c r="AG57" s="55">
        <v>14.1</v>
      </c>
      <c r="AH57" s="48">
        <f t="shared" si="2"/>
        <v>15.4</v>
      </c>
      <c r="AI57" s="49">
        <f t="shared" si="3"/>
        <v>14.9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7.4</v>
      </c>
      <c r="C58" s="65">
        <v>8.8000000000000007</v>
      </c>
      <c r="D58" s="65">
        <v>8.8000000000000007</v>
      </c>
      <c r="E58" s="65">
        <v>8.1999999999999993</v>
      </c>
      <c r="F58" s="65">
        <v>8.1999999999999993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>
        <v>7</v>
      </c>
      <c r="O58" s="65">
        <v>7.3</v>
      </c>
      <c r="P58" s="65">
        <v>7.3</v>
      </c>
      <c r="Q58" s="65">
        <v>7.3</v>
      </c>
      <c r="R58" s="65">
        <v>7.3</v>
      </c>
      <c r="S58" s="65">
        <v>7.3</v>
      </c>
      <c r="T58" s="65">
        <v>7.3</v>
      </c>
      <c r="U58" s="65">
        <v>7.3</v>
      </c>
      <c r="V58" s="65">
        <v>7.3</v>
      </c>
      <c r="W58" s="65">
        <v>7.3</v>
      </c>
      <c r="X58" s="65">
        <v>7.3</v>
      </c>
      <c r="Y58" s="65">
        <v>7.3</v>
      </c>
      <c r="Z58" s="65">
        <v>7.3</v>
      </c>
      <c r="AA58" s="65">
        <v>7.3</v>
      </c>
      <c r="AB58" s="65">
        <v>7.3</v>
      </c>
      <c r="AC58" s="65">
        <v>7.3</v>
      </c>
      <c r="AD58" s="65">
        <v>7.3</v>
      </c>
      <c r="AE58" s="65">
        <v>7.3</v>
      </c>
      <c r="AF58" s="65">
        <v>7.3</v>
      </c>
      <c r="AG58" s="55">
        <v>14</v>
      </c>
      <c r="AH58" s="48">
        <f t="shared" si="2"/>
        <v>8.8000000000000007</v>
      </c>
      <c r="AI58" s="49">
        <f t="shared" si="3"/>
        <v>7</v>
      </c>
      <c r="AK58" s="50"/>
    </row>
    <row r="59" spans="1:41" x14ac:dyDescent="0.25">
      <c r="A59" s="54" t="s">
        <v>63</v>
      </c>
      <c r="B59" s="65">
        <v>5.4</v>
      </c>
      <c r="C59" s="65">
        <v>5.4</v>
      </c>
      <c r="D59" s="65">
        <v>5.4</v>
      </c>
      <c r="E59" s="65">
        <v>5.4</v>
      </c>
      <c r="F59" s="65">
        <v>5.4</v>
      </c>
      <c r="G59" s="65">
        <v>5.4</v>
      </c>
      <c r="H59" s="65">
        <v>5.4</v>
      </c>
      <c r="I59" s="65">
        <v>5.4</v>
      </c>
      <c r="J59" s="65">
        <v>5.4</v>
      </c>
      <c r="K59" s="65">
        <v>5.4</v>
      </c>
      <c r="L59" s="65">
        <v>5.4</v>
      </c>
      <c r="M59" s="65">
        <v>5.4</v>
      </c>
      <c r="N59" s="65">
        <v>5.4</v>
      </c>
      <c r="O59" s="65">
        <v>5.4</v>
      </c>
      <c r="P59" s="65">
        <v>5.4</v>
      </c>
      <c r="Q59" s="65">
        <v>5.4</v>
      </c>
      <c r="R59" s="65">
        <v>5.4</v>
      </c>
      <c r="S59" s="65">
        <v>5.4</v>
      </c>
      <c r="T59" s="65">
        <v>5.4</v>
      </c>
      <c r="U59" s="65">
        <v>5.4</v>
      </c>
      <c r="V59" s="65">
        <v>5.4</v>
      </c>
      <c r="W59" s="65">
        <v>5.4</v>
      </c>
      <c r="X59" s="65">
        <v>5.4</v>
      </c>
      <c r="Y59" s="65">
        <v>5.4</v>
      </c>
      <c r="Z59" s="65">
        <v>5.4</v>
      </c>
      <c r="AA59" s="65">
        <v>5.4</v>
      </c>
      <c r="AB59" s="65">
        <v>5.4</v>
      </c>
      <c r="AC59" s="65">
        <v>5.4</v>
      </c>
      <c r="AD59" s="65">
        <v>5.4</v>
      </c>
      <c r="AE59" s="65">
        <v>5.4</v>
      </c>
      <c r="AF59" s="65">
        <v>5.4</v>
      </c>
      <c r="AG59" s="55">
        <v>10.050000000000001</v>
      </c>
      <c r="AH59" s="48">
        <f t="shared" si="2"/>
        <v>5.4</v>
      </c>
      <c r="AI59" s="49">
        <f t="shared" si="3"/>
        <v>5.4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6">SUM(B49:B61)</f>
        <v>265.94000000000005</v>
      </c>
      <c r="C62" s="61">
        <f t="shared" si="6"/>
        <v>157.23999999999998</v>
      </c>
      <c r="D62" s="61">
        <f t="shared" si="6"/>
        <v>158.73999999999998</v>
      </c>
      <c r="E62" s="61">
        <f t="shared" si="6"/>
        <v>158.73999999999998</v>
      </c>
      <c r="F62" s="61">
        <f t="shared" si="6"/>
        <v>159.03999999999996</v>
      </c>
      <c r="G62" s="61">
        <f t="shared" si="6"/>
        <v>215.84</v>
      </c>
      <c r="H62" s="61">
        <f t="shared" si="6"/>
        <v>328.24</v>
      </c>
      <c r="I62" s="61">
        <f t="shared" si="6"/>
        <v>403.84</v>
      </c>
      <c r="J62" s="61">
        <f t="shared" si="6"/>
        <v>379.44</v>
      </c>
      <c r="K62" s="61">
        <f t="shared" si="6"/>
        <v>422.74</v>
      </c>
      <c r="L62" s="61">
        <f t="shared" si="6"/>
        <v>423.74</v>
      </c>
      <c r="M62" s="61">
        <f t="shared" si="6"/>
        <v>423.93999999999994</v>
      </c>
      <c r="N62" s="61">
        <f t="shared" si="6"/>
        <v>425.53999999999996</v>
      </c>
      <c r="O62" s="61">
        <f t="shared" si="6"/>
        <v>402.94</v>
      </c>
      <c r="P62" s="61">
        <f t="shared" si="6"/>
        <v>411.94</v>
      </c>
      <c r="Q62" s="61">
        <f t="shared" si="6"/>
        <v>322.74</v>
      </c>
      <c r="R62" s="61">
        <f t="shared" si="6"/>
        <v>296.83999999999997</v>
      </c>
      <c r="S62" s="61">
        <f t="shared" si="6"/>
        <v>288.84000000000003</v>
      </c>
      <c r="T62" s="61">
        <f t="shared" si="6"/>
        <v>318.64</v>
      </c>
      <c r="U62" s="61">
        <f t="shared" si="6"/>
        <v>338.64</v>
      </c>
      <c r="V62" s="61">
        <f t="shared" si="6"/>
        <v>373.54</v>
      </c>
      <c r="W62" s="61">
        <f t="shared" si="6"/>
        <v>415.74000000000007</v>
      </c>
      <c r="X62" s="61">
        <f t="shared" si="6"/>
        <v>420.84000000000003</v>
      </c>
      <c r="Y62" s="61">
        <f t="shared" si="6"/>
        <v>419.44</v>
      </c>
      <c r="Z62" s="61">
        <f t="shared" si="6"/>
        <v>420.34000000000003</v>
      </c>
      <c r="AA62" s="61">
        <f t="shared" si="6"/>
        <v>419.23999999999995</v>
      </c>
      <c r="AB62" s="61">
        <f t="shared" si="6"/>
        <v>403.94000000000005</v>
      </c>
      <c r="AC62" s="61">
        <f t="shared" si="6"/>
        <v>384.74</v>
      </c>
      <c r="AD62" s="61">
        <f t="shared" si="6"/>
        <v>333.04</v>
      </c>
      <c r="AE62" s="61">
        <f t="shared" si="6"/>
        <v>284.34000000000009</v>
      </c>
      <c r="AF62" s="61">
        <f t="shared" si="6"/>
        <v>245.84000000000003</v>
      </c>
      <c r="AG62" s="62">
        <f t="shared" si="6"/>
        <v>489.91</v>
      </c>
      <c r="AH62" s="48">
        <f t="shared" si="2"/>
        <v>425.53999999999996</v>
      </c>
      <c r="AI62" s="49">
        <f t="shared" si="3"/>
        <v>157.23999999999998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20.5</v>
      </c>
      <c r="L63" s="45">
        <v>40</v>
      </c>
      <c r="M63" s="45">
        <v>60</v>
      </c>
      <c r="N63" s="45">
        <v>59.4</v>
      </c>
      <c r="O63" s="45">
        <v>10.3</v>
      </c>
      <c r="P63" s="45">
        <v>10.1</v>
      </c>
      <c r="Q63" s="45">
        <v>20.2</v>
      </c>
      <c r="R63" s="45">
        <v>10.8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49</v>
      </c>
      <c r="Y63" s="45">
        <v>59.8</v>
      </c>
      <c r="Z63" s="45">
        <v>60.3</v>
      </c>
      <c r="AA63" s="45">
        <v>60</v>
      </c>
      <c r="AB63" s="45">
        <v>60</v>
      </c>
      <c r="AC63" s="45">
        <v>60</v>
      </c>
      <c r="AD63" s="45">
        <v>10.6</v>
      </c>
      <c r="AE63" s="45">
        <v>0</v>
      </c>
      <c r="AF63" s="45"/>
      <c r="AG63" s="52">
        <v>60</v>
      </c>
      <c r="AH63" s="48">
        <f t="shared" si="2"/>
        <v>60.3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14.7</v>
      </c>
      <c r="L64" s="65">
        <v>25.5</v>
      </c>
      <c r="M64" s="65">
        <v>27.9</v>
      </c>
      <c r="N64" s="65">
        <v>28</v>
      </c>
      <c r="O64" s="65">
        <v>13.3</v>
      </c>
      <c r="P64" s="65">
        <v>4.0999999999999996</v>
      </c>
      <c r="Q64" s="65">
        <v>5.7</v>
      </c>
      <c r="R64" s="65">
        <v>4.7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22.8</v>
      </c>
      <c r="Y64" s="65">
        <v>24.7</v>
      </c>
      <c r="Z64" s="65">
        <v>29</v>
      </c>
      <c r="AA64" s="65">
        <v>28.1</v>
      </c>
      <c r="AB64" s="65">
        <v>28.1</v>
      </c>
      <c r="AC64" s="65">
        <v>28.1</v>
      </c>
      <c r="AD64" s="65">
        <v>10.1</v>
      </c>
      <c r="AE64" s="65">
        <v>0</v>
      </c>
      <c r="AF64" s="65"/>
      <c r="AG64" s="55">
        <v>32</v>
      </c>
      <c r="AH64" s="48">
        <f t="shared" si="2"/>
        <v>29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5.4</v>
      </c>
      <c r="L65" s="67">
        <v>9.3000000000000007</v>
      </c>
      <c r="M65" s="67">
        <v>10.199999999999999</v>
      </c>
      <c r="N65" s="67">
        <v>10.199999999999999</v>
      </c>
      <c r="O65" s="67">
        <v>4.9000000000000004</v>
      </c>
      <c r="P65" s="67">
        <v>1.5</v>
      </c>
      <c r="Q65" s="67">
        <v>2.1</v>
      </c>
      <c r="R65" s="67">
        <v>2.1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8.3000000000000007</v>
      </c>
      <c r="Y65" s="67">
        <v>8.3000000000000007</v>
      </c>
      <c r="Z65" s="67">
        <v>10.6</v>
      </c>
      <c r="AA65" s="67">
        <v>10.3</v>
      </c>
      <c r="AB65" s="67">
        <v>10.3</v>
      </c>
      <c r="AC65" s="67">
        <v>10.3</v>
      </c>
      <c r="AD65" s="67">
        <v>0.7</v>
      </c>
      <c r="AE65" s="67">
        <v>0</v>
      </c>
      <c r="AF65" s="67"/>
      <c r="AG65" s="68">
        <v>14</v>
      </c>
      <c r="AH65" s="48">
        <f t="shared" si="2"/>
        <v>10.6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7">SUM(B63:B65)</f>
        <v>0</v>
      </c>
      <c r="C66" s="61">
        <f t="shared" si="7"/>
        <v>0</v>
      </c>
      <c r="D66" s="61">
        <f t="shared" si="7"/>
        <v>0</v>
      </c>
      <c r="E66" s="61">
        <f t="shared" si="7"/>
        <v>0</v>
      </c>
      <c r="F66" s="61">
        <f t="shared" si="7"/>
        <v>0</v>
      </c>
      <c r="G66" s="61">
        <f t="shared" si="7"/>
        <v>0</v>
      </c>
      <c r="H66" s="61">
        <f t="shared" si="7"/>
        <v>0</v>
      </c>
      <c r="I66" s="61">
        <f t="shared" si="7"/>
        <v>0</v>
      </c>
      <c r="J66" s="61">
        <f t="shared" si="7"/>
        <v>0</v>
      </c>
      <c r="K66" s="61">
        <f t="shared" si="7"/>
        <v>40.6</v>
      </c>
      <c r="L66" s="61">
        <f t="shared" si="7"/>
        <v>74.8</v>
      </c>
      <c r="M66" s="61">
        <f t="shared" si="7"/>
        <v>98.100000000000009</v>
      </c>
      <c r="N66" s="61">
        <f t="shared" si="7"/>
        <v>97.600000000000009</v>
      </c>
      <c r="O66" s="61">
        <f t="shared" si="7"/>
        <v>28.5</v>
      </c>
      <c r="P66" s="61">
        <f t="shared" si="7"/>
        <v>15.7</v>
      </c>
      <c r="Q66" s="61">
        <f t="shared" si="7"/>
        <v>28</v>
      </c>
      <c r="R66" s="61">
        <f t="shared" si="7"/>
        <v>17.600000000000001</v>
      </c>
      <c r="S66" s="61">
        <f t="shared" si="7"/>
        <v>0</v>
      </c>
      <c r="T66" s="61">
        <f t="shared" si="7"/>
        <v>0</v>
      </c>
      <c r="U66" s="61">
        <f t="shared" si="7"/>
        <v>0</v>
      </c>
      <c r="V66" s="61">
        <f t="shared" si="7"/>
        <v>0</v>
      </c>
      <c r="W66" s="61">
        <f t="shared" si="7"/>
        <v>0</v>
      </c>
      <c r="X66" s="61">
        <v>80.099999999999994</v>
      </c>
      <c r="Y66" s="61">
        <f t="shared" si="7"/>
        <v>92.8</v>
      </c>
      <c r="Z66" s="61">
        <f t="shared" si="7"/>
        <v>99.899999999999991</v>
      </c>
      <c r="AA66" s="61">
        <f t="shared" si="7"/>
        <v>98.399999999999991</v>
      </c>
      <c r="AB66" s="61">
        <f t="shared" si="7"/>
        <v>98.399999999999991</v>
      </c>
      <c r="AC66" s="61">
        <f t="shared" si="7"/>
        <v>98.399999999999991</v>
      </c>
      <c r="AD66" s="61">
        <f t="shared" si="7"/>
        <v>21.4</v>
      </c>
      <c r="AE66" s="61">
        <f t="shared" si="7"/>
        <v>0</v>
      </c>
      <c r="AF66" s="61">
        <f t="shared" si="7"/>
        <v>0</v>
      </c>
      <c r="AG66" s="62">
        <f t="shared" si="7"/>
        <v>106</v>
      </c>
      <c r="AH66" s="48">
        <f t="shared" si="2"/>
        <v>99.899999999999991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15.2</v>
      </c>
      <c r="C67" s="45">
        <v>60.7</v>
      </c>
      <c r="D67" s="45">
        <v>43.7</v>
      </c>
      <c r="E67" s="45">
        <v>60.2</v>
      </c>
      <c r="F67" s="45">
        <v>59.9</v>
      </c>
      <c r="G67" s="45">
        <v>67</v>
      </c>
      <c r="H67" s="45">
        <v>67.599999999999994</v>
      </c>
      <c r="I67" s="45">
        <v>56</v>
      </c>
      <c r="J67" s="45">
        <v>70</v>
      </c>
      <c r="K67" s="45">
        <v>54</v>
      </c>
      <c r="L67" s="45">
        <v>51</v>
      </c>
      <c r="M67" s="45">
        <v>62.2</v>
      </c>
      <c r="N67" s="45">
        <v>64.3</v>
      </c>
      <c r="O67" s="45">
        <v>64.8</v>
      </c>
      <c r="P67" s="45">
        <v>42.7</v>
      </c>
      <c r="Q67" s="45">
        <v>73.7</v>
      </c>
      <c r="R67" s="45">
        <v>62</v>
      </c>
      <c r="S67" s="45">
        <v>63</v>
      </c>
      <c r="T67" s="45">
        <v>75</v>
      </c>
      <c r="U67" s="45">
        <v>68</v>
      </c>
      <c r="V67" s="45">
        <v>60.6</v>
      </c>
      <c r="W67" s="45">
        <v>55.8</v>
      </c>
      <c r="X67" s="45">
        <v>60.1</v>
      </c>
      <c r="Y67" s="45">
        <v>46.6</v>
      </c>
      <c r="Z67" s="45">
        <v>45.7</v>
      </c>
      <c r="AA67" s="45">
        <v>55.1</v>
      </c>
      <c r="AB67" s="45">
        <v>55.5</v>
      </c>
      <c r="AC67" s="45">
        <v>52.9</v>
      </c>
      <c r="AD67" s="45">
        <v>52.7</v>
      </c>
      <c r="AE67" s="45">
        <v>28.5</v>
      </c>
      <c r="AF67" s="45">
        <v>45.3</v>
      </c>
      <c r="AG67" s="52"/>
      <c r="AH67" s="48">
        <f t="shared" si="2"/>
        <v>75</v>
      </c>
      <c r="AI67" s="49">
        <f t="shared" si="3"/>
        <v>15.2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/>
      <c r="AC68" s="65"/>
      <c r="AD68" s="65"/>
      <c r="AE68" s="65"/>
      <c r="AF68" s="65"/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4</v>
      </c>
      <c r="C69" s="65">
        <v>83</v>
      </c>
      <c r="D69" s="65">
        <v>99</v>
      </c>
      <c r="E69" s="65">
        <v>92</v>
      </c>
      <c r="F69" s="65">
        <v>102.1</v>
      </c>
      <c r="G69" s="65">
        <v>95.2</v>
      </c>
      <c r="H69" s="65">
        <v>102.5</v>
      </c>
      <c r="I69" s="65">
        <v>0</v>
      </c>
      <c r="J69" s="65">
        <v>-1</v>
      </c>
      <c r="K69" s="65">
        <v>-102</v>
      </c>
      <c r="L69" s="65">
        <v>-100.7</v>
      </c>
      <c r="M69" s="65">
        <v>-124.6</v>
      </c>
      <c r="N69" s="65">
        <v>-99.3</v>
      </c>
      <c r="O69" s="65">
        <v>-109.5</v>
      </c>
      <c r="P69" s="65">
        <v>119.2</v>
      </c>
      <c r="Q69" s="65">
        <v>152.30000000000001</v>
      </c>
      <c r="R69" s="65">
        <v>151.30000000000001</v>
      </c>
      <c r="S69" s="65">
        <v>155</v>
      </c>
      <c r="T69" s="65">
        <v>150</v>
      </c>
      <c r="U69" s="65">
        <v>146</v>
      </c>
      <c r="V69" s="65">
        <v>6</v>
      </c>
      <c r="W69" s="65">
        <v>90</v>
      </c>
      <c r="X69" s="65">
        <v>-113</v>
      </c>
      <c r="Y69" s="65">
        <v>-85</v>
      </c>
      <c r="Z69" s="65">
        <v>-80</v>
      </c>
      <c r="AA69" s="65">
        <v>-40</v>
      </c>
      <c r="AB69" s="65">
        <v>-103</v>
      </c>
      <c r="AC69" s="65">
        <v>-101</v>
      </c>
      <c r="AD69" s="65">
        <v>0</v>
      </c>
      <c r="AE69" s="65">
        <v>-1</v>
      </c>
      <c r="AF69" s="65">
        <v>50</v>
      </c>
      <c r="AG69" s="75"/>
      <c r="AH69" s="48">
        <f t="shared" si="2"/>
        <v>155</v>
      </c>
      <c r="AI69" s="49">
        <f t="shared" si="3"/>
        <v>-124.6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/>
      <c r="AC71" s="45"/>
      <c r="AD71" s="45"/>
      <c r="AE71" s="45"/>
      <c r="AF71" s="45"/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/>
      <c r="AC72" s="77"/>
      <c r="AD72" s="77"/>
      <c r="AE72" s="77"/>
      <c r="AF72" s="77"/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/>
      <c r="AC73" s="77"/>
      <c r="AD73" s="77"/>
      <c r="AE73" s="77"/>
      <c r="AF73" s="77"/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>
        <v>0</v>
      </c>
      <c r="C74" s="76">
        <v>0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/>
      <c r="AC74" s="76"/>
      <c r="AD74" s="76"/>
      <c r="AE74" s="76"/>
      <c r="AF74" s="76"/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/>
      <c r="AC75" s="76"/>
      <c r="AD75" s="76"/>
      <c r="AE75" s="76"/>
      <c r="AF75" s="76"/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>
        <v>0</v>
      </c>
      <c r="C76" s="79">
        <v>0</v>
      </c>
      <c r="D76" s="79">
        <v>0</v>
      </c>
      <c r="E76" s="79">
        <v>0</v>
      </c>
      <c r="F76" s="79">
        <v>0</v>
      </c>
      <c r="G76" s="79">
        <v>0</v>
      </c>
      <c r="H76" s="79">
        <v>0</v>
      </c>
      <c r="I76" s="79">
        <v>0</v>
      </c>
      <c r="J76" s="79">
        <v>0</v>
      </c>
      <c r="K76" s="79">
        <v>0</v>
      </c>
      <c r="L76" s="79">
        <v>0</v>
      </c>
      <c r="M76" s="79">
        <v>0</v>
      </c>
      <c r="N76" s="79">
        <v>0</v>
      </c>
      <c r="O76" s="79">
        <v>0</v>
      </c>
      <c r="P76" s="79">
        <v>0</v>
      </c>
      <c r="Q76" s="79">
        <v>0</v>
      </c>
      <c r="R76" s="79">
        <v>0</v>
      </c>
      <c r="S76" s="79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/>
      <c r="AC76" s="79"/>
      <c r="AD76" s="79"/>
      <c r="AE76" s="79"/>
      <c r="AF76" s="79"/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>
        <v>0</v>
      </c>
      <c r="C77" s="79">
        <v>0</v>
      </c>
      <c r="D77" s="79">
        <v>0</v>
      </c>
      <c r="E77" s="79">
        <v>0</v>
      </c>
      <c r="F77" s="79">
        <v>0</v>
      </c>
      <c r="G77" s="79">
        <v>0</v>
      </c>
      <c r="H77" s="79">
        <v>0</v>
      </c>
      <c r="I77" s="79">
        <v>0</v>
      </c>
      <c r="J77" s="79">
        <v>0</v>
      </c>
      <c r="K77" s="79">
        <v>0</v>
      </c>
      <c r="L77" s="79">
        <v>0</v>
      </c>
      <c r="M77" s="79">
        <v>0</v>
      </c>
      <c r="N77" s="79">
        <v>0</v>
      </c>
      <c r="O77" s="79">
        <v>0</v>
      </c>
      <c r="P77" s="79">
        <v>0</v>
      </c>
      <c r="Q77" s="79">
        <v>0</v>
      </c>
      <c r="R77" s="79">
        <v>0</v>
      </c>
      <c r="S77" s="79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/>
      <c r="AC77" s="79"/>
      <c r="AD77" s="79"/>
      <c r="AE77" s="79"/>
      <c r="AF77" s="79"/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8">SUMIF(B67:B77,"&gt;0")</f>
        <v>19.2</v>
      </c>
      <c r="C78" s="61">
        <f t="shared" si="8"/>
        <v>143.69999999999999</v>
      </c>
      <c r="D78" s="61">
        <f t="shared" si="8"/>
        <v>142.69999999999999</v>
      </c>
      <c r="E78" s="61">
        <f t="shared" si="8"/>
        <v>152.19999999999999</v>
      </c>
      <c r="F78" s="61">
        <f t="shared" si="8"/>
        <v>162</v>
      </c>
      <c r="G78" s="61">
        <f t="shared" si="8"/>
        <v>162.19999999999999</v>
      </c>
      <c r="H78" s="61">
        <f t="shared" si="8"/>
        <v>170.1</v>
      </c>
      <c r="I78" s="61">
        <f t="shared" si="8"/>
        <v>56</v>
      </c>
      <c r="J78" s="61">
        <f t="shared" si="8"/>
        <v>70</v>
      </c>
      <c r="K78" s="61">
        <f t="shared" si="8"/>
        <v>54</v>
      </c>
      <c r="L78" s="61">
        <f t="shared" si="8"/>
        <v>51</v>
      </c>
      <c r="M78" s="61">
        <f t="shared" si="8"/>
        <v>62.2</v>
      </c>
      <c r="N78" s="61">
        <f t="shared" si="8"/>
        <v>64.3</v>
      </c>
      <c r="O78" s="61">
        <f t="shared" si="8"/>
        <v>64.8</v>
      </c>
      <c r="P78" s="61">
        <f t="shared" si="8"/>
        <v>161.9</v>
      </c>
      <c r="Q78" s="61">
        <f t="shared" si="8"/>
        <v>226</v>
      </c>
      <c r="R78" s="61">
        <f t="shared" si="8"/>
        <v>213.3</v>
      </c>
      <c r="S78" s="61">
        <f t="shared" si="8"/>
        <v>218</v>
      </c>
      <c r="T78" s="61">
        <f t="shared" si="8"/>
        <v>225</v>
      </c>
      <c r="U78" s="61">
        <f t="shared" si="8"/>
        <v>214</v>
      </c>
      <c r="V78" s="61">
        <f t="shared" si="8"/>
        <v>66.599999999999994</v>
      </c>
      <c r="W78" s="61">
        <f t="shared" si="8"/>
        <v>145.80000000000001</v>
      </c>
      <c r="X78" s="61">
        <f t="shared" si="8"/>
        <v>60.1</v>
      </c>
      <c r="Y78" s="61">
        <f t="shared" si="8"/>
        <v>46.6</v>
      </c>
      <c r="Z78" s="61">
        <f t="shared" si="8"/>
        <v>45.7</v>
      </c>
      <c r="AA78" s="61">
        <f t="shared" si="8"/>
        <v>55.1</v>
      </c>
      <c r="AB78" s="61">
        <f t="shared" si="8"/>
        <v>55.5</v>
      </c>
      <c r="AC78" s="61">
        <f t="shared" si="8"/>
        <v>52.9</v>
      </c>
      <c r="AD78" s="61">
        <f t="shared" si="8"/>
        <v>52.7</v>
      </c>
      <c r="AE78" s="61">
        <f t="shared" si="8"/>
        <v>28.5</v>
      </c>
      <c r="AF78" s="61">
        <f t="shared" si="8"/>
        <v>95.3</v>
      </c>
      <c r="AG78" s="81">
        <f>SUM(AG67:AG77)</f>
        <v>0</v>
      </c>
      <c r="AH78" s="48">
        <f t="shared" si="2"/>
        <v>226</v>
      </c>
      <c r="AI78" s="49">
        <f t="shared" si="3"/>
        <v>19.2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>
        <v>14.4</v>
      </c>
      <c r="AH80" s="48">
        <f t="shared" ref="AH80:AH113" si="9">MAX(B80:AF80)</f>
        <v>0</v>
      </c>
      <c r="AI80" s="49">
        <f t="shared" ref="AI80:AI113" si="10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80">
        <v>2</v>
      </c>
      <c r="AH81" s="48">
        <f t="shared" si="9"/>
        <v>0</v>
      </c>
      <c r="AI81" s="49">
        <f t="shared" si="10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9"/>
        <v>0</v>
      </c>
      <c r="AI82" s="49">
        <f t="shared" si="10"/>
        <v>0</v>
      </c>
    </row>
    <row r="83" spans="1:37" ht="15.75" thickBot="1" x14ac:dyDescent="0.3">
      <c r="A83" s="74" t="s">
        <v>87</v>
      </c>
      <c r="B83" s="83">
        <f t="shared" ref="B83:AG83" si="11">B44+B48+B66+B62+B78+B82</f>
        <v>1004.14</v>
      </c>
      <c r="C83" s="83">
        <f t="shared" si="11"/>
        <v>964.93999999999983</v>
      </c>
      <c r="D83" s="83">
        <f t="shared" si="11"/>
        <v>965.43999999999983</v>
      </c>
      <c r="E83" s="83">
        <f t="shared" si="11"/>
        <v>975.74</v>
      </c>
      <c r="F83" s="83">
        <f t="shared" si="11"/>
        <v>985.83999999999992</v>
      </c>
      <c r="G83" s="83">
        <f t="shared" si="11"/>
        <v>1042.8399999999999</v>
      </c>
      <c r="H83" s="83">
        <f t="shared" si="11"/>
        <v>1148.1399999999999</v>
      </c>
      <c r="I83" s="83">
        <f t="shared" si="11"/>
        <v>1185.6399999999999</v>
      </c>
      <c r="J83" s="83">
        <f t="shared" si="11"/>
        <v>1305.94</v>
      </c>
      <c r="K83" s="83">
        <f t="shared" si="11"/>
        <v>1553.24</v>
      </c>
      <c r="L83" s="83">
        <f t="shared" si="11"/>
        <v>1623.44</v>
      </c>
      <c r="M83" s="83">
        <f t="shared" si="11"/>
        <v>1648.24</v>
      </c>
      <c r="N83" s="83">
        <f t="shared" si="11"/>
        <v>1613.0399999999997</v>
      </c>
      <c r="O83" s="83">
        <f t="shared" si="11"/>
        <v>1491.94</v>
      </c>
      <c r="P83" s="83">
        <f t="shared" si="11"/>
        <v>1312.2400000000002</v>
      </c>
      <c r="Q83" s="83">
        <f t="shared" si="11"/>
        <v>1257.44</v>
      </c>
      <c r="R83" s="83">
        <f t="shared" si="11"/>
        <v>1198.4399999999998</v>
      </c>
      <c r="S83" s="83">
        <f t="shared" si="11"/>
        <v>1205.54</v>
      </c>
      <c r="T83" s="83">
        <f t="shared" si="11"/>
        <v>1241.04</v>
      </c>
      <c r="U83" s="83">
        <f t="shared" si="11"/>
        <v>1235.04</v>
      </c>
      <c r="V83" s="83">
        <f t="shared" si="11"/>
        <v>1322.5399999999997</v>
      </c>
      <c r="W83" s="83">
        <f t="shared" si="11"/>
        <v>1659.9399999999998</v>
      </c>
      <c r="X83" s="83">
        <f t="shared" si="11"/>
        <v>1641.7399999999998</v>
      </c>
      <c r="Y83" s="83">
        <f t="shared" si="11"/>
        <v>1514.54</v>
      </c>
      <c r="Z83" s="83">
        <f t="shared" si="11"/>
        <v>1507.34</v>
      </c>
      <c r="AA83" s="83">
        <f t="shared" si="11"/>
        <v>1374.4399999999998</v>
      </c>
      <c r="AB83" s="83">
        <f t="shared" si="11"/>
        <v>1359.54</v>
      </c>
      <c r="AC83" s="83">
        <f t="shared" si="11"/>
        <v>1317.74</v>
      </c>
      <c r="AD83" s="83">
        <f t="shared" si="11"/>
        <v>1163.8399999999999</v>
      </c>
      <c r="AE83" s="83">
        <f t="shared" si="11"/>
        <v>1014.54</v>
      </c>
      <c r="AF83" s="83">
        <f t="shared" si="11"/>
        <v>1007.8399999999999</v>
      </c>
      <c r="AG83" s="62">
        <f t="shared" si="11"/>
        <v>2004.1900000000003</v>
      </c>
      <c r="AH83" s="48">
        <f t="shared" si="9"/>
        <v>1659.9399999999998</v>
      </c>
      <c r="AI83" s="49">
        <f t="shared" si="10"/>
        <v>964.93999999999983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>
        <v>45</v>
      </c>
      <c r="AB84" s="85"/>
      <c r="AC84" s="85"/>
      <c r="AD84" s="85"/>
      <c r="AE84" s="85"/>
      <c r="AF84" s="85"/>
      <c r="AG84" s="81"/>
      <c r="AH84" s="48">
        <f t="shared" si="9"/>
        <v>45</v>
      </c>
      <c r="AI84" s="49">
        <f t="shared" si="10"/>
        <v>45</v>
      </c>
    </row>
    <row r="85" spans="1:37" ht="15.75" thickBot="1" x14ac:dyDescent="0.3">
      <c r="A85" s="74" t="s">
        <v>89</v>
      </c>
      <c r="B85" s="83">
        <f t="shared" ref="B85:AF85" si="12">B83+B84</f>
        <v>1004.14</v>
      </c>
      <c r="C85" s="83">
        <f t="shared" si="12"/>
        <v>964.93999999999983</v>
      </c>
      <c r="D85" s="83">
        <f t="shared" si="12"/>
        <v>965.43999999999983</v>
      </c>
      <c r="E85" s="83">
        <f t="shared" si="12"/>
        <v>975.74</v>
      </c>
      <c r="F85" s="83">
        <f t="shared" si="12"/>
        <v>985.83999999999992</v>
      </c>
      <c r="G85" s="83">
        <f t="shared" si="12"/>
        <v>1042.8399999999999</v>
      </c>
      <c r="H85" s="83">
        <f t="shared" si="12"/>
        <v>1148.1399999999999</v>
      </c>
      <c r="I85" s="83">
        <f t="shared" si="12"/>
        <v>1185.6399999999999</v>
      </c>
      <c r="J85" s="83">
        <f t="shared" si="12"/>
        <v>1305.94</v>
      </c>
      <c r="K85" s="83">
        <f t="shared" si="12"/>
        <v>1553.24</v>
      </c>
      <c r="L85" s="83">
        <f t="shared" si="12"/>
        <v>1623.44</v>
      </c>
      <c r="M85" s="83">
        <f t="shared" si="12"/>
        <v>1648.24</v>
      </c>
      <c r="N85" s="83">
        <f t="shared" si="12"/>
        <v>1613.0399999999997</v>
      </c>
      <c r="O85" s="83">
        <f t="shared" si="12"/>
        <v>1491.94</v>
      </c>
      <c r="P85" s="83">
        <f t="shared" si="12"/>
        <v>1312.2400000000002</v>
      </c>
      <c r="Q85" s="83">
        <f t="shared" si="12"/>
        <v>1257.44</v>
      </c>
      <c r="R85" s="83">
        <f t="shared" si="12"/>
        <v>1198.4399999999998</v>
      </c>
      <c r="S85" s="83">
        <f t="shared" si="12"/>
        <v>1205.54</v>
      </c>
      <c r="T85" s="83">
        <f t="shared" si="12"/>
        <v>1241.04</v>
      </c>
      <c r="U85" s="83">
        <f t="shared" si="12"/>
        <v>1235.04</v>
      </c>
      <c r="V85" s="83">
        <f t="shared" si="12"/>
        <v>1322.5399999999997</v>
      </c>
      <c r="W85" s="83">
        <f t="shared" si="12"/>
        <v>1659.9399999999998</v>
      </c>
      <c r="X85" s="83">
        <f t="shared" si="12"/>
        <v>1641.7399999999998</v>
      </c>
      <c r="Y85" s="83">
        <f t="shared" si="12"/>
        <v>1514.54</v>
      </c>
      <c r="Z85" s="83">
        <f t="shared" si="12"/>
        <v>1507.34</v>
      </c>
      <c r="AA85" s="83">
        <f t="shared" si="12"/>
        <v>1419.4399999999998</v>
      </c>
      <c r="AB85" s="83">
        <f t="shared" si="12"/>
        <v>1359.54</v>
      </c>
      <c r="AC85" s="83">
        <f t="shared" si="12"/>
        <v>1317.74</v>
      </c>
      <c r="AD85" s="83">
        <f t="shared" si="12"/>
        <v>1163.8399999999999</v>
      </c>
      <c r="AE85" s="83">
        <f t="shared" si="12"/>
        <v>1014.54</v>
      </c>
      <c r="AF85" s="83">
        <f t="shared" si="12"/>
        <v>1007.8399999999999</v>
      </c>
      <c r="AG85" s="81">
        <f>AG82+AG78+AG66+AG62+AG44+AG84</f>
        <v>1466.0900000000001</v>
      </c>
      <c r="AH85" s="48">
        <f t="shared" si="9"/>
        <v>1659.9399999999998</v>
      </c>
      <c r="AI85" s="49">
        <f t="shared" si="10"/>
        <v>964.93999999999983</v>
      </c>
    </row>
    <row r="86" spans="1:37" ht="15.75" thickBot="1" x14ac:dyDescent="0.3">
      <c r="A86" s="74" t="s">
        <v>90</v>
      </c>
      <c r="B86" s="83">
        <f t="shared" ref="B86:AF86" si="13">B85-B93</f>
        <v>1004.14</v>
      </c>
      <c r="C86" s="83">
        <f t="shared" si="13"/>
        <v>964.93999999999983</v>
      </c>
      <c r="D86" s="83">
        <f t="shared" si="13"/>
        <v>965.43999999999983</v>
      </c>
      <c r="E86" s="83">
        <f t="shared" si="13"/>
        <v>975.74</v>
      </c>
      <c r="F86" s="83">
        <f t="shared" si="13"/>
        <v>985.83999999999992</v>
      </c>
      <c r="G86" s="83">
        <f t="shared" si="13"/>
        <v>1042.8399999999999</v>
      </c>
      <c r="H86" s="83">
        <f t="shared" si="13"/>
        <v>1148.1399999999999</v>
      </c>
      <c r="I86" s="83">
        <f t="shared" si="13"/>
        <v>1185.6399999999999</v>
      </c>
      <c r="J86" s="83">
        <f t="shared" si="13"/>
        <v>1304.94</v>
      </c>
      <c r="K86" s="83">
        <f t="shared" si="13"/>
        <v>1451.24</v>
      </c>
      <c r="L86" s="83">
        <f t="shared" si="13"/>
        <v>1522.74</v>
      </c>
      <c r="M86" s="83">
        <f t="shared" si="13"/>
        <v>1523.64</v>
      </c>
      <c r="N86" s="83">
        <f t="shared" si="13"/>
        <v>1513.7399999999998</v>
      </c>
      <c r="O86" s="83">
        <f t="shared" si="13"/>
        <v>1382.44</v>
      </c>
      <c r="P86" s="83">
        <f t="shared" si="13"/>
        <v>1312.2400000000002</v>
      </c>
      <c r="Q86" s="83">
        <f t="shared" si="13"/>
        <v>1257.44</v>
      </c>
      <c r="R86" s="83">
        <f t="shared" si="13"/>
        <v>1198.4399999999998</v>
      </c>
      <c r="S86" s="83">
        <f t="shared" si="13"/>
        <v>1205.54</v>
      </c>
      <c r="T86" s="83">
        <f t="shared" si="13"/>
        <v>1241.04</v>
      </c>
      <c r="U86" s="83">
        <f t="shared" si="13"/>
        <v>1235.04</v>
      </c>
      <c r="V86" s="83">
        <f t="shared" si="13"/>
        <v>1322.5399999999997</v>
      </c>
      <c r="W86" s="83">
        <f t="shared" si="13"/>
        <v>1659.9399999999998</v>
      </c>
      <c r="X86" s="83">
        <v>1528.7399999999998</v>
      </c>
      <c r="Y86" s="83">
        <f t="shared" si="13"/>
        <v>1429.54</v>
      </c>
      <c r="Z86" s="83">
        <f t="shared" si="13"/>
        <v>1427.34</v>
      </c>
      <c r="AA86" s="83">
        <f t="shared" si="13"/>
        <v>1379.4399999999998</v>
      </c>
      <c r="AB86" s="83">
        <f t="shared" si="13"/>
        <v>1256.54</v>
      </c>
      <c r="AC86" s="83">
        <f t="shared" si="13"/>
        <v>1216.74</v>
      </c>
      <c r="AD86" s="83">
        <f t="shared" si="13"/>
        <v>1163.8399999999999</v>
      </c>
      <c r="AE86" s="83">
        <f t="shared" si="13"/>
        <v>1013.54</v>
      </c>
      <c r="AF86" s="83">
        <f t="shared" si="13"/>
        <v>1007.8399999999999</v>
      </c>
      <c r="AG86" s="81"/>
      <c r="AH86" s="48">
        <f t="shared" si="9"/>
        <v>1659.9399999999998</v>
      </c>
      <c r="AI86" s="49">
        <f t="shared" si="10"/>
        <v>964.93999999999983</v>
      </c>
    </row>
    <row r="87" spans="1:37" x14ac:dyDescent="0.25">
      <c r="A87" s="44" t="s">
        <v>74</v>
      </c>
      <c r="B87" s="76">
        <f t="shared" ref="B87:AF87" si="14">IF(B70&lt;0,B70*-1,0)</f>
        <v>0</v>
      </c>
      <c r="C87" s="76">
        <f t="shared" si="14"/>
        <v>0</v>
      </c>
      <c r="D87" s="76">
        <f t="shared" si="14"/>
        <v>0</v>
      </c>
      <c r="E87" s="76">
        <f t="shared" si="14"/>
        <v>0</v>
      </c>
      <c r="F87" s="76">
        <f t="shared" si="14"/>
        <v>0</v>
      </c>
      <c r="G87" s="76">
        <f t="shared" si="14"/>
        <v>0</v>
      </c>
      <c r="H87" s="76">
        <f t="shared" si="14"/>
        <v>0</v>
      </c>
      <c r="I87" s="76">
        <f t="shared" si="14"/>
        <v>0</v>
      </c>
      <c r="J87" s="76">
        <f t="shared" si="14"/>
        <v>0</v>
      </c>
      <c r="K87" s="76">
        <f t="shared" si="14"/>
        <v>0</v>
      </c>
      <c r="L87" s="76">
        <f t="shared" si="14"/>
        <v>0</v>
      </c>
      <c r="M87" s="76">
        <f t="shared" si="14"/>
        <v>0</v>
      </c>
      <c r="N87" s="76">
        <f t="shared" si="14"/>
        <v>0</v>
      </c>
      <c r="O87" s="76">
        <f t="shared" si="14"/>
        <v>0</v>
      </c>
      <c r="P87" s="76">
        <f t="shared" si="14"/>
        <v>0</v>
      </c>
      <c r="Q87" s="76">
        <f t="shared" si="14"/>
        <v>0</v>
      </c>
      <c r="R87" s="76">
        <f t="shared" si="14"/>
        <v>0</v>
      </c>
      <c r="S87" s="76">
        <f t="shared" si="14"/>
        <v>0</v>
      </c>
      <c r="T87" s="76">
        <f t="shared" si="14"/>
        <v>0</v>
      </c>
      <c r="U87" s="76">
        <f t="shared" si="14"/>
        <v>0</v>
      </c>
      <c r="V87" s="76">
        <f t="shared" si="14"/>
        <v>0</v>
      </c>
      <c r="W87" s="76">
        <f t="shared" si="14"/>
        <v>0</v>
      </c>
      <c r="X87" s="76">
        <v>0</v>
      </c>
      <c r="Y87" s="76">
        <f t="shared" si="14"/>
        <v>0</v>
      </c>
      <c r="Z87" s="76">
        <f t="shared" si="14"/>
        <v>0</v>
      </c>
      <c r="AA87" s="76">
        <f t="shared" si="14"/>
        <v>0</v>
      </c>
      <c r="AB87" s="76">
        <f t="shared" si="14"/>
        <v>0</v>
      </c>
      <c r="AC87" s="76">
        <f t="shared" si="14"/>
        <v>0</v>
      </c>
      <c r="AD87" s="76">
        <f t="shared" si="14"/>
        <v>0</v>
      </c>
      <c r="AE87" s="76">
        <f t="shared" si="14"/>
        <v>0</v>
      </c>
      <c r="AF87" s="76">
        <f t="shared" si="14"/>
        <v>0</v>
      </c>
      <c r="AG87" s="52"/>
      <c r="AH87" s="48">
        <f t="shared" si="9"/>
        <v>0</v>
      </c>
      <c r="AI87" s="49">
        <f t="shared" si="10"/>
        <v>0</v>
      </c>
    </row>
    <row r="88" spans="1:37" x14ac:dyDescent="0.25">
      <c r="A88" s="54" t="s">
        <v>72</v>
      </c>
      <c r="B88" s="76">
        <f t="shared" ref="B88:AF88" si="15">IF(B68&lt;0,B68*-1,0)</f>
        <v>0</v>
      </c>
      <c r="C88" s="76">
        <f t="shared" si="15"/>
        <v>0</v>
      </c>
      <c r="D88" s="76">
        <f t="shared" si="15"/>
        <v>0</v>
      </c>
      <c r="E88" s="76">
        <f t="shared" si="15"/>
        <v>0</v>
      </c>
      <c r="F88" s="76">
        <f t="shared" si="15"/>
        <v>0</v>
      </c>
      <c r="G88" s="76">
        <f t="shared" si="15"/>
        <v>0</v>
      </c>
      <c r="H88" s="76">
        <f t="shared" si="15"/>
        <v>0</v>
      </c>
      <c r="I88" s="76">
        <f t="shared" si="15"/>
        <v>0</v>
      </c>
      <c r="J88" s="76">
        <f t="shared" si="15"/>
        <v>0</v>
      </c>
      <c r="K88" s="76">
        <f t="shared" si="15"/>
        <v>0</v>
      </c>
      <c r="L88" s="76">
        <f t="shared" si="15"/>
        <v>0</v>
      </c>
      <c r="M88" s="76">
        <f t="shared" si="15"/>
        <v>0</v>
      </c>
      <c r="N88" s="76">
        <f t="shared" si="15"/>
        <v>0</v>
      </c>
      <c r="O88" s="76">
        <f t="shared" si="15"/>
        <v>0</v>
      </c>
      <c r="P88" s="76">
        <f t="shared" si="15"/>
        <v>0</v>
      </c>
      <c r="Q88" s="76">
        <f t="shared" si="15"/>
        <v>0</v>
      </c>
      <c r="R88" s="76">
        <f t="shared" si="15"/>
        <v>0</v>
      </c>
      <c r="S88" s="76">
        <f t="shared" si="15"/>
        <v>0</v>
      </c>
      <c r="T88" s="76">
        <f t="shared" si="15"/>
        <v>0</v>
      </c>
      <c r="U88" s="76">
        <f t="shared" si="15"/>
        <v>0</v>
      </c>
      <c r="V88" s="76">
        <f t="shared" si="15"/>
        <v>0</v>
      </c>
      <c r="W88" s="76">
        <f t="shared" si="15"/>
        <v>0</v>
      </c>
      <c r="X88" s="76">
        <v>0</v>
      </c>
      <c r="Y88" s="76">
        <f t="shared" si="15"/>
        <v>0</v>
      </c>
      <c r="Z88" s="76">
        <f t="shared" si="15"/>
        <v>0</v>
      </c>
      <c r="AA88" s="76">
        <f t="shared" si="15"/>
        <v>0</v>
      </c>
      <c r="AB88" s="76">
        <f t="shared" si="15"/>
        <v>0</v>
      </c>
      <c r="AC88" s="76">
        <f t="shared" si="15"/>
        <v>0</v>
      </c>
      <c r="AD88" s="76">
        <f t="shared" si="15"/>
        <v>0</v>
      </c>
      <c r="AE88" s="76">
        <f t="shared" si="15"/>
        <v>0</v>
      </c>
      <c r="AF88" s="76">
        <f t="shared" si="15"/>
        <v>0</v>
      </c>
      <c r="AG88" s="55"/>
      <c r="AH88" s="48">
        <f t="shared" si="9"/>
        <v>0</v>
      </c>
      <c r="AI88" s="49">
        <f t="shared" si="10"/>
        <v>0</v>
      </c>
    </row>
    <row r="89" spans="1:37" x14ac:dyDescent="0.25">
      <c r="A89" s="78" t="s">
        <v>91</v>
      </c>
      <c r="B89" s="76">
        <f t="shared" ref="B89:AF89" si="16">IF(B71&lt;0,B71*-1,0)</f>
        <v>0</v>
      </c>
      <c r="C89" s="76">
        <f t="shared" si="16"/>
        <v>0</v>
      </c>
      <c r="D89" s="76">
        <f t="shared" si="16"/>
        <v>0</v>
      </c>
      <c r="E89" s="76">
        <f t="shared" si="16"/>
        <v>0</v>
      </c>
      <c r="F89" s="76">
        <f t="shared" si="16"/>
        <v>0</v>
      </c>
      <c r="G89" s="76">
        <f t="shared" si="16"/>
        <v>0</v>
      </c>
      <c r="H89" s="76">
        <f t="shared" si="16"/>
        <v>0</v>
      </c>
      <c r="I89" s="76">
        <f t="shared" si="16"/>
        <v>0</v>
      </c>
      <c r="J89" s="76">
        <f t="shared" si="16"/>
        <v>0</v>
      </c>
      <c r="K89" s="76">
        <f t="shared" si="16"/>
        <v>0</v>
      </c>
      <c r="L89" s="76">
        <f t="shared" si="16"/>
        <v>0</v>
      </c>
      <c r="M89" s="76">
        <f t="shared" si="16"/>
        <v>0</v>
      </c>
      <c r="N89" s="76">
        <f t="shared" si="16"/>
        <v>0</v>
      </c>
      <c r="O89" s="76">
        <f t="shared" si="16"/>
        <v>0</v>
      </c>
      <c r="P89" s="76">
        <f t="shared" si="16"/>
        <v>0</v>
      </c>
      <c r="Q89" s="76">
        <f t="shared" si="16"/>
        <v>0</v>
      </c>
      <c r="R89" s="76">
        <f t="shared" si="16"/>
        <v>0</v>
      </c>
      <c r="S89" s="76">
        <f t="shared" si="16"/>
        <v>0</v>
      </c>
      <c r="T89" s="76">
        <f t="shared" si="16"/>
        <v>0</v>
      </c>
      <c r="U89" s="76">
        <f t="shared" si="16"/>
        <v>0</v>
      </c>
      <c r="V89" s="76">
        <f t="shared" si="16"/>
        <v>0</v>
      </c>
      <c r="W89" s="76">
        <f t="shared" si="16"/>
        <v>0</v>
      </c>
      <c r="X89" s="76">
        <v>0</v>
      </c>
      <c r="Y89" s="76">
        <f t="shared" si="16"/>
        <v>0</v>
      </c>
      <c r="Z89" s="76">
        <f t="shared" si="16"/>
        <v>0</v>
      </c>
      <c r="AA89" s="76">
        <f t="shared" si="16"/>
        <v>0</v>
      </c>
      <c r="AB89" s="76">
        <f t="shared" si="16"/>
        <v>0</v>
      </c>
      <c r="AC89" s="76">
        <f t="shared" si="16"/>
        <v>0</v>
      </c>
      <c r="AD89" s="76">
        <f t="shared" si="16"/>
        <v>0</v>
      </c>
      <c r="AE89" s="76">
        <f t="shared" si="16"/>
        <v>0</v>
      </c>
      <c r="AF89" s="76">
        <f t="shared" si="16"/>
        <v>0</v>
      </c>
      <c r="AG89" s="86"/>
      <c r="AH89" s="48">
        <f t="shared" si="9"/>
        <v>0</v>
      </c>
      <c r="AI89" s="49">
        <f t="shared" si="10"/>
        <v>0</v>
      </c>
    </row>
    <row r="90" spans="1:37" x14ac:dyDescent="0.25">
      <c r="A90" s="78" t="s">
        <v>92</v>
      </c>
      <c r="B90" s="76">
        <f t="shared" ref="B90:AF90" si="17">IF(B69&lt;0,B69*-1,0)</f>
        <v>0</v>
      </c>
      <c r="C90" s="76">
        <f t="shared" si="17"/>
        <v>0</v>
      </c>
      <c r="D90" s="76">
        <f t="shared" si="17"/>
        <v>0</v>
      </c>
      <c r="E90" s="76">
        <f t="shared" si="17"/>
        <v>0</v>
      </c>
      <c r="F90" s="76">
        <f t="shared" si="17"/>
        <v>0</v>
      </c>
      <c r="G90" s="76">
        <f t="shared" si="17"/>
        <v>0</v>
      </c>
      <c r="H90" s="76">
        <f t="shared" si="17"/>
        <v>0</v>
      </c>
      <c r="I90" s="76">
        <f t="shared" si="17"/>
        <v>0</v>
      </c>
      <c r="J90" s="76">
        <f t="shared" si="17"/>
        <v>1</v>
      </c>
      <c r="K90" s="76">
        <f t="shared" si="17"/>
        <v>102</v>
      </c>
      <c r="L90" s="76">
        <f t="shared" si="17"/>
        <v>100.7</v>
      </c>
      <c r="M90" s="76">
        <f t="shared" si="17"/>
        <v>124.6</v>
      </c>
      <c r="N90" s="76">
        <f t="shared" si="17"/>
        <v>99.3</v>
      </c>
      <c r="O90" s="76">
        <f t="shared" si="17"/>
        <v>109.5</v>
      </c>
      <c r="P90" s="76">
        <f t="shared" si="17"/>
        <v>0</v>
      </c>
      <c r="Q90" s="76">
        <f t="shared" si="17"/>
        <v>0</v>
      </c>
      <c r="R90" s="76">
        <f t="shared" si="17"/>
        <v>0</v>
      </c>
      <c r="S90" s="76">
        <f t="shared" si="17"/>
        <v>0</v>
      </c>
      <c r="T90" s="76">
        <f t="shared" si="17"/>
        <v>0</v>
      </c>
      <c r="U90" s="76">
        <f t="shared" si="17"/>
        <v>0</v>
      </c>
      <c r="V90" s="76">
        <f t="shared" si="17"/>
        <v>0</v>
      </c>
      <c r="W90" s="76">
        <f t="shared" si="17"/>
        <v>0</v>
      </c>
      <c r="X90" s="76">
        <v>113</v>
      </c>
      <c r="Y90" s="76">
        <f t="shared" si="17"/>
        <v>85</v>
      </c>
      <c r="Z90" s="76">
        <f t="shared" si="17"/>
        <v>80</v>
      </c>
      <c r="AA90" s="76">
        <f t="shared" si="17"/>
        <v>40</v>
      </c>
      <c r="AB90" s="76">
        <f t="shared" si="17"/>
        <v>103</v>
      </c>
      <c r="AC90" s="76">
        <f t="shared" si="17"/>
        <v>101</v>
      </c>
      <c r="AD90" s="76">
        <f t="shared" si="17"/>
        <v>0</v>
      </c>
      <c r="AE90" s="76">
        <f t="shared" si="17"/>
        <v>1</v>
      </c>
      <c r="AF90" s="76">
        <f t="shared" si="17"/>
        <v>0</v>
      </c>
      <c r="AG90" s="86"/>
      <c r="AH90" s="48">
        <f t="shared" si="9"/>
        <v>124.6</v>
      </c>
      <c r="AI90" s="49">
        <f t="shared" si="10"/>
        <v>0</v>
      </c>
    </row>
    <row r="91" spans="1:37" x14ac:dyDescent="0.25">
      <c r="A91" s="78" t="s">
        <v>71</v>
      </c>
      <c r="B91" s="76">
        <f t="shared" ref="B91:AF91" si="18">IF(B67&lt;0,B67*-1,0)</f>
        <v>0</v>
      </c>
      <c r="C91" s="76">
        <f t="shared" si="18"/>
        <v>0</v>
      </c>
      <c r="D91" s="76">
        <f t="shared" si="18"/>
        <v>0</v>
      </c>
      <c r="E91" s="76">
        <f t="shared" si="18"/>
        <v>0</v>
      </c>
      <c r="F91" s="76">
        <f t="shared" si="18"/>
        <v>0</v>
      </c>
      <c r="G91" s="76">
        <f t="shared" si="18"/>
        <v>0</v>
      </c>
      <c r="H91" s="76">
        <f t="shared" si="18"/>
        <v>0</v>
      </c>
      <c r="I91" s="76">
        <f t="shared" si="18"/>
        <v>0</v>
      </c>
      <c r="J91" s="76">
        <f t="shared" si="18"/>
        <v>0</v>
      </c>
      <c r="K91" s="76">
        <f t="shared" si="18"/>
        <v>0</v>
      </c>
      <c r="L91" s="76">
        <f t="shared" si="18"/>
        <v>0</v>
      </c>
      <c r="M91" s="76">
        <f t="shared" si="18"/>
        <v>0</v>
      </c>
      <c r="N91" s="76">
        <f t="shared" si="18"/>
        <v>0</v>
      </c>
      <c r="O91" s="76">
        <f t="shared" si="18"/>
        <v>0</v>
      </c>
      <c r="P91" s="76">
        <f t="shared" si="18"/>
        <v>0</v>
      </c>
      <c r="Q91" s="76">
        <f t="shared" si="18"/>
        <v>0</v>
      </c>
      <c r="R91" s="76">
        <f t="shared" si="18"/>
        <v>0</v>
      </c>
      <c r="S91" s="76">
        <f t="shared" si="18"/>
        <v>0</v>
      </c>
      <c r="T91" s="76">
        <f t="shared" si="18"/>
        <v>0</v>
      </c>
      <c r="U91" s="76">
        <f t="shared" si="18"/>
        <v>0</v>
      </c>
      <c r="V91" s="76">
        <f t="shared" si="18"/>
        <v>0</v>
      </c>
      <c r="W91" s="76">
        <f t="shared" si="18"/>
        <v>0</v>
      </c>
      <c r="X91" s="76">
        <v>0</v>
      </c>
      <c r="Y91" s="76">
        <f t="shared" si="18"/>
        <v>0</v>
      </c>
      <c r="Z91" s="76">
        <f t="shared" si="18"/>
        <v>0</v>
      </c>
      <c r="AA91" s="76">
        <f t="shared" si="18"/>
        <v>0</v>
      </c>
      <c r="AB91" s="76">
        <f t="shared" si="18"/>
        <v>0</v>
      </c>
      <c r="AC91" s="76">
        <f t="shared" si="18"/>
        <v>0</v>
      </c>
      <c r="AD91" s="76">
        <f t="shared" si="18"/>
        <v>0</v>
      </c>
      <c r="AE91" s="76">
        <f t="shared" si="18"/>
        <v>0</v>
      </c>
      <c r="AF91" s="76">
        <f t="shared" si="18"/>
        <v>0</v>
      </c>
      <c r="AG91" s="86"/>
      <c r="AH91" s="48">
        <f t="shared" si="9"/>
        <v>0</v>
      </c>
      <c r="AI91" s="49">
        <f t="shared" si="10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>
        <v>0</v>
      </c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9"/>
        <v>0</v>
      </c>
      <c r="AI92" s="49">
        <f t="shared" si="10"/>
        <v>0</v>
      </c>
    </row>
    <row r="93" spans="1:37" ht="15.75" thickBot="1" x14ac:dyDescent="0.3">
      <c r="A93" s="87" t="s">
        <v>94</v>
      </c>
      <c r="B93" s="61">
        <f t="shared" ref="B93:AF93" si="19">SUM(B87:B92)</f>
        <v>0</v>
      </c>
      <c r="C93" s="61">
        <f t="shared" si="19"/>
        <v>0</v>
      </c>
      <c r="D93" s="61">
        <f t="shared" si="19"/>
        <v>0</v>
      </c>
      <c r="E93" s="61">
        <f t="shared" si="19"/>
        <v>0</v>
      </c>
      <c r="F93" s="61">
        <f t="shared" si="19"/>
        <v>0</v>
      </c>
      <c r="G93" s="61">
        <f t="shared" si="19"/>
        <v>0</v>
      </c>
      <c r="H93" s="61">
        <f t="shared" si="19"/>
        <v>0</v>
      </c>
      <c r="I93" s="61">
        <f t="shared" si="19"/>
        <v>0</v>
      </c>
      <c r="J93" s="61">
        <f t="shared" si="19"/>
        <v>1</v>
      </c>
      <c r="K93" s="61">
        <f t="shared" si="19"/>
        <v>102</v>
      </c>
      <c r="L93" s="61">
        <f t="shared" si="19"/>
        <v>100.7</v>
      </c>
      <c r="M93" s="61">
        <f t="shared" si="19"/>
        <v>124.6</v>
      </c>
      <c r="N93" s="61">
        <f t="shared" si="19"/>
        <v>99.3</v>
      </c>
      <c r="O93" s="61">
        <f t="shared" si="19"/>
        <v>109.5</v>
      </c>
      <c r="P93" s="61">
        <f t="shared" si="19"/>
        <v>0</v>
      </c>
      <c r="Q93" s="61">
        <f t="shared" si="19"/>
        <v>0</v>
      </c>
      <c r="R93" s="61">
        <f t="shared" si="19"/>
        <v>0</v>
      </c>
      <c r="S93" s="61">
        <f t="shared" si="19"/>
        <v>0</v>
      </c>
      <c r="T93" s="61">
        <f t="shared" si="19"/>
        <v>0</v>
      </c>
      <c r="U93" s="61">
        <f t="shared" si="19"/>
        <v>0</v>
      </c>
      <c r="V93" s="61">
        <f t="shared" si="19"/>
        <v>0</v>
      </c>
      <c r="W93" s="61">
        <f t="shared" si="19"/>
        <v>0</v>
      </c>
      <c r="X93" s="61">
        <f t="shared" si="19"/>
        <v>113</v>
      </c>
      <c r="Y93" s="61">
        <f t="shared" si="19"/>
        <v>85</v>
      </c>
      <c r="Z93" s="61">
        <f t="shared" si="19"/>
        <v>80</v>
      </c>
      <c r="AA93" s="61">
        <f t="shared" si="19"/>
        <v>40</v>
      </c>
      <c r="AB93" s="61">
        <f t="shared" si="19"/>
        <v>103</v>
      </c>
      <c r="AC93" s="61">
        <f t="shared" si="19"/>
        <v>101</v>
      </c>
      <c r="AD93" s="61">
        <f t="shared" si="19"/>
        <v>0</v>
      </c>
      <c r="AE93" s="61">
        <f t="shared" si="19"/>
        <v>1</v>
      </c>
      <c r="AF93" s="61">
        <f t="shared" si="19"/>
        <v>0</v>
      </c>
      <c r="AG93" s="81"/>
      <c r="AH93" s="48">
        <f t="shared" si="9"/>
        <v>124.6</v>
      </c>
      <c r="AI93" s="49">
        <f t="shared" si="10"/>
        <v>0</v>
      </c>
      <c r="AK93" s="50"/>
    </row>
    <row r="94" spans="1:37" ht="15.75" thickBot="1" x14ac:dyDescent="0.3">
      <c r="A94" s="74" t="s">
        <v>95</v>
      </c>
      <c r="B94" s="61">
        <f t="shared" ref="B94:AF94" si="20">B78-B93</f>
        <v>19.2</v>
      </c>
      <c r="C94" s="61">
        <f t="shared" si="20"/>
        <v>143.69999999999999</v>
      </c>
      <c r="D94" s="61">
        <f t="shared" si="20"/>
        <v>142.69999999999999</v>
      </c>
      <c r="E94" s="61">
        <f t="shared" si="20"/>
        <v>152.19999999999999</v>
      </c>
      <c r="F94" s="61">
        <f t="shared" si="20"/>
        <v>162</v>
      </c>
      <c r="G94" s="61">
        <f t="shared" si="20"/>
        <v>162.19999999999999</v>
      </c>
      <c r="H94" s="61">
        <f t="shared" si="20"/>
        <v>170.1</v>
      </c>
      <c r="I94" s="61">
        <f t="shared" si="20"/>
        <v>56</v>
      </c>
      <c r="J94" s="61">
        <f t="shared" si="20"/>
        <v>69</v>
      </c>
      <c r="K94" s="61">
        <f t="shared" si="20"/>
        <v>-48</v>
      </c>
      <c r="L94" s="61">
        <f t="shared" si="20"/>
        <v>-49.7</v>
      </c>
      <c r="M94" s="61">
        <f t="shared" si="20"/>
        <v>-62.399999999999991</v>
      </c>
      <c r="N94" s="61">
        <f t="shared" si="20"/>
        <v>-35</v>
      </c>
      <c r="O94" s="61">
        <f t="shared" si="20"/>
        <v>-44.7</v>
      </c>
      <c r="P94" s="61">
        <f t="shared" si="20"/>
        <v>161.9</v>
      </c>
      <c r="Q94" s="61">
        <f t="shared" si="20"/>
        <v>226</v>
      </c>
      <c r="R94" s="61">
        <f t="shared" si="20"/>
        <v>213.3</v>
      </c>
      <c r="S94" s="61">
        <f t="shared" si="20"/>
        <v>218</v>
      </c>
      <c r="T94" s="61">
        <f t="shared" si="20"/>
        <v>225</v>
      </c>
      <c r="U94" s="61">
        <f t="shared" si="20"/>
        <v>214</v>
      </c>
      <c r="V94" s="61">
        <f t="shared" si="20"/>
        <v>66.599999999999994</v>
      </c>
      <c r="W94" s="61">
        <f t="shared" si="20"/>
        <v>145.80000000000001</v>
      </c>
      <c r="X94" s="61">
        <f t="shared" si="20"/>
        <v>-52.9</v>
      </c>
      <c r="Y94" s="61">
        <f t="shared" si="20"/>
        <v>-38.4</v>
      </c>
      <c r="Z94" s="61">
        <f t="shared" si="20"/>
        <v>-34.299999999999997</v>
      </c>
      <c r="AA94" s="61">
        <f t="shared" si="20"/>
        <v>15.100000000000001</v>
      </c>
      <c r="AB94" s="61">
        <f t="shared" si="20"/>
        <v>-47.5</v>
      </c>
      <c r="AC94" s="61">
        <f t="shared" si="20"/>
        <v>-48.1</v>
      </c>
      <c r="AD94" s="61">
        <f t="shared" si="20"/>
        <v>52.7</v>
      </c>
      <c r="AE94" s="61">
        <f t="shared" si="20"/>
        <v>27.5</v>
      </c>
      <c r="AF94" s="61">
        <f t="shared" si="20"/>
        <v>95.3</v>
      </c>
      <c r="AG94" s="81"/>
      <c r="AH94" s="48">
        <f t="shared" si="9"/>
        <v>226</v>
      </c>
      <c r="AI94" s="49">
        <f t="shared" si="10"/>
        <v>-62.399999999999991</v>
      </c>
    </row>
    <row r="95" spans="1:37" x14ac:dyDescent="0.25">
      <c r="A95" s="88" t="s">
        <v>96</v>
      </c>
      <c r="B95" s="89">
        <v>49.972000000000001</v>
      </c>
      <c r="C95" s="89">
        <v>49.954999999999998</v>
      </c>
      <c r="D95" s="89">
        <v>49.917000000000002</v>
      </c>
      <c r="E95" s="89">
        <v>50.02</v>
      </c>
      <c r="F95" s="89">
        <v>50.124000000000002</v>
      </c>
      <c r="G95" s="89">
        <v>50.024000000000001</v>
      </c>
      <c r="H95" s="89">
        <v>50.024000000000001</v>
      </c>
      <c r="I95" s="89">
        <v>50.058999999999997</v>
      </c>
      <c r="J95" s="89">
        <v>50.06</v>
      </c>
      <c r="K95" s="89">
        <v>49.926000000000002</v>
      </c>
      <c r="L95" s="89">
        <v>50.005000000000003</v>
      </c>
      <c r="M95" s="89">
        <v>50.101999999999997</v>
      </c>
      <c r="N95" s="89">
        <v>50.127000000000002</v>
      </c>
      <c r="O95" s="89">
        <v>49.878</v>
      </c>
      <c r="P95" s="89">
        <v>49.953000000000003</v>
      </c>
      <c r="Q95" s="89">
        <v>49.942999999999998</v>
      </c>
      <c r="R95" s="89">
        <v>49.933999999999997</v>
      </c>
      <c r="S95" s="89">
        <v>50.01</v>
      </c>
      <c r="T95" s="89">
        <v>50.04</v>
      </c>
      <c r="U95" s="89">
        <v>49.98</v>
      </c>
      <c r="V95" s="89">
        <v>50.05</v>
      </c>
      <c r="W95" s="89">
        <v>50.06</v>
      </c>
      <c r="X95" s="89">
        <v>49.97</v>
      </c>
      <c r="Y95" s="89">
        <v>50.03</v>
      </c>
      <c r="Z95" s="89">
        <v>49</v>
      </c>
      <c r="AA95" s="89">
        <v>50.02</v>
      </c>
      <c r="AB95" s="89">
        <v>50.006999999999998</v>
      </c>
      <c r="AC95" s="89">
        <v>49.87</v>
      </c>
      <c r="AD95" s="89">
        <v>49.884</v>
      </c>
      <c r="AE95" s="89">
        <v>50.243000000000002</v>
      </c>
      <c r="AF95" s="89">
        <v>50.02</v>
      </c>
      <c r="AG95" s="90"/>
      <c r="AH95" s="48">
        <f t="shared" si="9"/>
        <v>50.243000000000002</v>
      </c>
      <c r="AI95" s="49">
        <f t="shared" si="10"/>
        <v>49</v>
      </c>
    </row>
    <row r="96" spans="1:37" x14ac:dyDescent="0.25">
      <c r="A96" s="91" t="s">
        <v>97</v>
      </c>
      <c r="B96" s="65">
        <v>126.9</v>
      </c>
      <c r="C96" s="65">
        <v>130</v>
      </c>
      <c r="D96" s="65">
        <v>129.19999999999999</v>
      </c>
      <c r="E96" s="65">
        <v>129.19999999999999</v>
      </c>
      <c r="F96" s="65">
        <v>129</v>
      </c>
      <c r="G96" s="65">
        <v>128.80000000000001</v>
      </c>
      <c r="H96" s="65">
        <v>128.80000000000001</v>
      </c>
      <c r="I96" s="65">
        <v>127.8</v>
      </c>
      <c r="J96" s="65">
        <v>124.8</v>
      </c>
      <c r="K96" s="65">
        <v>124.8</v>
      </c>
      <c r="L96" s="65">
        <v>125.5</v>
      </c>
      <c r="M96" s="65">
        <v>124.6</v>
      </c>
      <c r="N96" s="65">
        <v>126</v>
      </c>
      <c r="O96" s="65">
        <v>124.2</v>
      </c>
      <c r="P96" s="65">
        <v>124.2</v>
      </c>
      <c r="Q96" s="65">
        <v>125.9</v>
      </c>
      <c r="R96" s="65">
        <v>125.7</v>
      </c>
      <c r="S96" s="65">
        <v>125.7</v>
      </c>
      <c r="T96" s="65">
        <v>125</v>
      </c>
      <c r="U96" s="65">
        <v>125</v>
      </c>
      <c r="V96" s="65">
        <v>126.6</v>
      </c>
      <c r="W96" s="65">
        <v>125.6</v>
      </c>
      <c r="X96" s="65">
        <v>128.19999999999999</v>
      </c>
      <c r="Y96" s="65">
        <v>128.5</v>
      </c>
      <c r="Z96" s="65">
        <v>129.30000000000001</v>
      </c>
      <c r="AA96" s="65">
        <v>129.6</v>
      </c>
      <c r="AB96" s="65">
        <v>129.6</v>
      </c>
      <c r="AC96" s="65">
        <v>129.6</v>
      </c>
      <c r="AD96" s="65">
        <v>129.69999999999999</v>
      </c>
      <c r="AE96" s="65">
        <v>129.9</v>
      </c>
      <c r="AF96" s="65">
        <v>128.30000000000001</v>
      </c>
      <c r="AG96" s="92"/>
      <c r="AH96" s="48">
        <f t="shared" si="9"/>
        <v>130</v>
      </c>
      <c r="AI96" s="49">
        <f t="shared" si="10"/>
        <v>124.2</v>
      </c>
    </row>
    <row r="97" spans="1:35" x14ac:dyDescent="0.25">
      <c r="A97" s="91" t="s">
        <v>98</v>
      </c>
      <c r="B97" s="65">
        <v>131.1</v>
      </c>
      <c r="C97" s="65">
        <v>133.30000000000001</v>
      </c>
      <c r="D97" s="65">
        <v>133</v>
      </c>
      <c r="E97" s="65">
        <v>133.19999999999999</v>
      </c>
      <c r="F97" s="65">
        <v>132.9</v>
      </c>
      <c r="G97" s="65">
        <v>132.1</v>
      </c>
      <c r="H97" s="65">
        <v>132.1</v>
      </c>
      <c r="I97" s="65">
        <v>130.80000000000001</v>
      </c>
      <c r="J97" s="65">
        <v>128.6</v>
      </c>
      <c r="K97" s="65">
        <v>128.6</v>
      </c>
      <c r="L97" s="65">
        <v>127.8</v>
      </c>
      <c r="M97" s="65">
        <v>126.7</v>
      </c>
      <c r="N97" s="65">
        <v>128.30000000000001</v>
      </c>
      <c r="O97" s="65">
        <v>126.6</v>
      </c>
      <c r="P97" s="65">
        <v>126.5</v>
      </c>
      <c r="Q97" s="65">
        <v>128.5</v>
      </c>
      <c r="R97" s="65">
        <v>128.5</v>
      </c>
      <c r="S97" s="65">
        <v>128.5</v>
      </c>
      <c r="T97" s="65">
        <v>128</v>
      </c>
      <c r="U97" s="65">
        <v>128</v>
      </c>
      <c r="V97" s="65">
        <v>129.19999999999999</v>
      </c>
      <c r="W97" s="65">
        <v>128.69999999999999</v>
      </c>
      <c r="X97" s="65">
        <v>130.4</v>
      </c>
      <c r="Y97" s="65">
        <v>130.6</v>
      </c>
      <c r="Z97" s="65">
        <v>131.1</v>
      </c>
      <c r="AA97" s="65">
        <v>131.30000000000001</v>
      </c>
      <c r="AB97" s="65">
        <v>131.30000000000001</v>
      </c>
      <c r="AC97" s="65">
        <v>131.30000000000001</v>
      </c>
      <c r="AD97" s="65">
        <v>131.9</v>
      </c>
      <c r="AE97" s="65">
        <v>132.6</v>
      </c>
      <c r="AF97" s="65">
        <v>131.4</v>
      </c>
      <c r="AG97" s="92"/>
      <c r="AH97" s="48">
        <f t="shared" si="9"/>
        <v>133.30000000000001</v>
      </c>
      <c r="AI97" s="49">
        <f t="shared" si="10"/>
        <v>126.5</v>
      </c>
    </row>
    <row r="98" spans="1:35" x14ac:dyDescent="0.25">
      <c r="A98" s="91" t="s">
        <v>99</v>
      </c>
      <c r="B98" s="65">
        <v>130.9</v>
      </c>
      <c r="C98" s="65">
        <v>132.5</v>
      </c>
      <c r="D98" s="65">
        <v>132</v>
      </c>
      <c r="E98" s="65">
        <v>131.9</v>
      </c>
      <c r="F98" s="65">
        <v>131.9</v>
      </c>
      <c r="G98" s="65">
        <v>130.69999999999999</v>
      </c>
      <c r="H98" s="65">
        <v>130.69999999999999</v>
      </c>
      <c r="I98" s="65">
        <v>128.6</v>
      </c>
      <c r="J98" s="65">
        <v>128.80000000000001</v>
      </c>
      <c r="K98" s="65">
        <v>128.80000000000001</v>
      </c>
      <c r="L98" s="65">
        <v>127.5</v>
      </c>
      <c r="M98" s="65">
        <v>130</v>
      </c>
      <c r="N98" s="65">
        <v>128.69999999999999</v>
      </c>
      <c r="O98" s="65">
        <v>130.9</v>
      </c>
      <c r="P98" s="65">
        <v>128.1</v>
      </c>
      <c r="Q98" s="65">
        <v>130.19999999999999</v>
      </c>
      <c r="R98" s="65">
        <v>130</v>
      </c>
      <c r="S98" s="65">
        <v>130</v>
      </c>
      <c r="T98" s="65">
        <v>128</v>
      </c>
      <c r="U98" s="65">
        <v>128</v>
      </c>
      <c r="V98" s="65">
        <v>129.4</v>
      </c>
      <c r="W98" s="65">
        <v>128.30000000000001</v>
      </c>
      <c r="X98" s="65">
        <v>130.30000000000001</v>
      </c>
      <c r="Y98" s="65">
        <v>132.5</v>
      </c>
      <c r="Z98" s="65">
        <v>132.30000000000001</v>
      </c>
      <c r="AA98" s="65">
        <v>133.6</v>
      </c>
      <c r="AB98" s="65">
        <v>133.6</v>
      </c>
      <c r="AC98" s="65">
        <v>133.6</v>
      </c>
      <c r="AD98" s="65">
        <v>134.19999999999999</v>
      </c>
      <c r="AE98" s="65">
        <v>135.80000000000001</v>
      </c>
      <c r="AF98" s="65">
        <v>132.19999999999999</v>
      </c>
      <c r="AG98" s="92"/>
      <c r="AH98" s="48">
        <f t="shared" si="9"/>
        <v>135.80000000000001</v>
      </c>
      <c r="AI98" s="49">
        <f t="shared" si="10"/>
        <v>127.5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9"/>
        <v>0</v>
      </c>
      <c r="AI99" s="49">
        <f t="shared" si="10"/>
        <v>0</v>
      </c>
    </row>
    <row r="100" spans="1:35" x14ac:dyDescent="0.25">
      <c r="A100" s="93" t="s">
        <v>101</v>
      </c>
      <c r="B100" s="94">
        <v>130.6</v>
      </c>
      <c r="C100" s="94">
        <v>133.30000000000001</v>
      </c>
      <c r="D100" s="94">
        <v>135.1</v>
      </c>
      <c r="E100" s="94">
        <v>135.80000000000001</v>
      </c>
      <c r="F100" s="94">
        <v>134.30000000000001</v>
      </c>
      <c r="G100" s="94">
        <v>133.30000000000001</v>
      </c>
      <c r="H100" s="94">
        <v>133.30000000000001</v>
      </c>
      <c r="I100" s="94">
        <v>133.80000000000001</v>
      </c>
      <c r="J100" s="94">
        <v>131.69999999999999</v>
      </c>
      <c r="K100" s="94">
        <v>133.4</v>
      </c>
      <c r="L100" s="94">
        <v>133.4</v>
      </c>
      <c r="M100" s="94">
        <v>132.5</v>
      </c>
      <c r="N100" s="94">
        <v>134.1</v>
      </c>
      <c r="O100" s="94">
        <v>135.1</v>
      </c>
      <c r="P100" s="94">
        <v>134</v>
      </c>
      <c r="Q100" s="94">
        <v>133.69999999999999</v>
      </c>
      <c r="R100" s="94">
        <v>132.69999999999999</v>
      </c>
      <c r="S100" s="94">
        <v>132.69999999999999</v>
      </c>
      <c r="T100" s="94">
        <v>132</v>
      </c>
      <c r="U100" s="94">
        <v>132</v>
      </c>
      <c r="V100" s="94">
        <v>134.80000000000001</v>
      </c>
      <c r="W100" s="94">
        <v>138.80000000000001</v>
      </c>
      <c r="X100" s="94">
        <v>133.6</v>
      </c>
      <c r="Y100" s="94">
        <v>134.9</v>
      </c>
      <c r="Z100" s="94">
        <v>135.5</v>
      </c>
      <c r="AA100" s="94">
        <v>135.19999999999999</v>
      </c>
      <c r="AB100" s="94">
        <v>135.19999999999999</v>
      </c>
      <c r="AC100" s="94">
        <v>135.19999999999999</v>
      </c>
      <c r="AD100" s="94">
        <v>135.1</v>
      </c>
      <c r="AE100" s="94">
        <v>135.111111111111</v>
      </c>
      <c r="AF100" s="65">
        <v>131.1</v>
      </c>
      <c r="AG100" s="95"/>
      <c r="AH100" s="48">
        <f t="shared" si="9"/>
        <v>138.80000000000001</v>
      </c>
      <c r="AI100" s="49">
        <f t="shared" si="10"/>
        <v>130.6</v>
      </c>
    </row>
    <row r="101" spans="1:35" x14ac:dyDescent="0.25">
      <c r="A101" s="91" t="s">
        <v>102</v>
      </c>
      <c r="B101" s="65">
        <v>130.4</v>
      </c>
      <c r="C101" s="65">
        <v>134.6</v>
      </c>
      <c r="D101" s="65">
        <v>130.9</v>
      </c>
      <c r="E101" s="65">
        <v>131.4</v>
      </c>
      <c r="F101" s="65">
        <v>130.9</v>
      </c>
      <c r="G101" s="65">
        <v>127.4</v>
      </c>
      <c r="H101" s="65">
        <v>127.4</v>
      </c>
      <c r="I101" s="65">
        <v>128.80000000000001</v>
      </c>
      <c r="J101" s="65">
        <v>129.9</v>
      </c>
      <c r="K101" s="65">
        <v>126.7</v>
      </c>
      <c r="L101" s="65">
        <v>126.7</v>
      </c>
      <c r="M101" s="65">
        <v>126.1</v>
      </c>
      <c r="N101" s="65">
        <v>122.7</v>
      </c>
      <c r="O101" s="65">
        <v>118.9</v>
      </c>
      <c r="P101" s="65">
        <v>127</v>
      </c>
      <c r="Q101" s="65">
        <v>126.1</v>
      </c>
      <c r="R101" s="65">
        <v>127.4</v>
      </c>
      <c r="S101" s="65">
        <v>127.4</v>
      </c>
      <c r="T101" s="65">
        <v>128</v>
      </c>
      <c r="U101" s="65">
        <v>128</v>
      </c>
      <c r="V101" s="65">
        <v>132</v>
      </c>
      <c r="W101" s="65">
        <v>129.69999999999999</v>
      </c>
      <c r="X101" s="65">
        <v>129.69999999999999</v>
      </c>
      <c r="Y101" s="65">
        <v>134.9</v>
      </c>
      <c r="Z101" s="65">
        <v>131.69999999999999</v>
      </c>
      <c r="AA101" s="65">
        <v>134.19999999999999</v>
      </c>
      <c r="AB101" s="65">
        <v>134.19999999999999</v>
      </c>
      <c r="AC101" s="65">
        <v>134.19999999999999</v>
      </c>
      <c r="AD101" s="65">
        <v>127.4</v>
      </c>
      <c r="AE101" s="65">
        <v>134.19999999999999</v>
      </c>
      <c r="AF101" s="94">
        <v>132.6</v>
      </c>
      <c r="AG101" s="92"/>
      <c r="AH101" s="48">
        <f t="shared" si="9"/>
        <v>134.9</v>
      </c>
      <c r="AI101" s="49">
        <f t="shared" si="10"/>
        <v>118.9</v>
      </c>
    </row>
    <row r="102" spans="1:35" ht="15.75" thickBot="1" x14ac:dyDescent="0.3">
      <c r="A102" s="91" t="s">
        <v>104</v>
      </c>
      <c r="B102" s="96">
        <v>66</v>
      </c>
      <c r="C102" s="96">
        <v>67</v>
      </c>
      <c r="D102" s="96">
        <v>67</v>
      </c>
      <c r="E102" s="96">
        <v>66.099999999999994</v>
      </c>
      <c r="F102" s="96">
        <v>66.900000000000006</v>
      </c>
      <c r="G102" s="96">
        <v>66.2</v>
      </c>
      <c r="H102" s="96">
        <v>66.2</v>
      </c>
      <c r="I102" s="96">
        <v>65.7</v>
      </c>
      <c r="J102" s="96">
        <v>64.8</v>
      </c>
      <c r="K102" s="96">
        <v>65.2</v>
      </c>
      <c r="L102" s="96">
        <v>64.2</v>
      </c>
      <c r="M102" s="96">
        <v>63.6</v>
      </c>
      <c r="N102" s="96">
        <v>64.599999999999994</v>
      </c>
      <c r="O102" s="96">
        <v>63.5</v>
      </c>
      <c r="P102" s="96">
        <v>63.5</v>
      </c>
      <c r="Q102" s="96">
        <v>64.5</v>
      </c>
      <c r="R102" s="96">
        <v>64.7</v>
      </c>
      <c r="S102" s="96">
        <v>64.7</v>
      </c>
      <c r="T102" s="96">
        <v>64.599999999999994</v>
      </c>
      <c r="U102" s="96">
        <v>64.599999999999994</v>
      </c>
      <c r="V102" s="96">
        <v>65.3</v>
      </c>
      <c r="W102" s="96">
        <v>64.599999999999994</v>
      </c>
      <c r="X102" s="96">
        <v>65.2</v>
      </c>
      <c r="Y102" s="96">
        <v>65.099999999999994</v>
      </c>
      <c r="Z102" s="96">
        <v>65.400000000000006</v>
      </c>
      <c r="AA102" s="96">
        <v>65.599999999999994</v>
      </c>
      <c r="AB102" s="96">
        <v>65.599999999999994</v>
      </c>
      <c r="AC102" s="96">
        <v>65.599999999999994</v>
      </c>
      <c r="AD102" s="96">
        <v>66.3</v>
      </c>
      <c r="AE102" s="96">
        <v>66.400000000000006</v>
      </c>
      <c r="AF102" s="96">
        <v>65.900000000000006</v>
      </c>
      <c r="AG102" s="97"/>
      <c r="AH102" s="48">
        <f t="shared" si="9"/>
        <v>67</v>
      </c>
      <c r="AI102" s="49">
        <f t="shared" si="10"/>
        <v>63.5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 t="s">
        <v>248</v>
      </c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9"/>
        <v>0</v>
      </c>
      <c r="AI103" s="49">
        <f t="shared" si="10"/>
        <v>0</v>
      </c>
    </row>
    <row r="104" spans="1:35" ht="15.75" thickBot="1" x14ac:dyDescent="0.3">
      <c r="A104" s="99" t="s">
        <v>105</v>
      </c>
      <c r="B104" s="100">
        <f t="shared" ref="B104:AF104" si="21">SUM(B16,B22,B25:B26,B52,B54:B55,B57,B59,B105:B109,B131,B137,B143,B152,B154,B166,B173,B176:B177,B184,B186,B188,B192:B194,B196:B198,B203,B209:B210,B212:B214,B222,B227)</f>
        <v>112.89999999999998</v>
      </c>
      <c r="C104" s="100">
        <f t="shared" si="21"/>
        <v>111.94</v>
      </c>
      <c r="D104" s="100">
        <f t="shared" si="21"/>
        <v>110.33999999999997</v>
      </c>
      <c r="E104" s="100">
        <f t="shared" si="21"/>
        <v>90.039999999999978</v>
      </c>
      <c r="F104" s="100">
        <f t="shared" si="21"/>
        <v>98.039999999999992</v>
      </c>
      <c r="G104" s="100">
        <f t="shared" si="21"/>
        <v>133.24</v>
      </c>
      <c r="H104" s="100">
        <f t="shared" si="21"/>
        <v>159.63999999999999</v>
      </c>
      <c r="I104" s="100">
        <v>184.04</v>
      </c>
      <c r="J104" s="100">
        <f t="shared" si="21"/>
        <v>242.73999999999998</v>
      </c>
      <c r="K104" s="100">
        <f t="shared" si="21"/>
        <v>335.73999999999995</v>
      </c>
      <c r="L104" s="100">
        <f t="shared" si="21"/>
        <v>337.24</v>
      </c>
      <c r="M104" s="100">
        <f t="shared" si="21"/>
        <v>298.33999999999997</v>
      </c>
      <c r="N104" s="100">
        <f t="shared" si="21"/>
        <v>455.64</v>
      </c>
      <c r="O104" s="100">
        <f t="shared" si="21"/>
        <v>274.54000000000002</v>
      </c>
      <c r="P104" s="100">
        <f t="shared" si="21"/>
        <v>265.23999999999995</v>
      </c>
      <c r="Q104" s="100">
        <f t="shared" si="21"/>
        <v>240.2</v>
      </c>
      <c r="R104" s="100">
        <f t="shared" si="21"/>
        <v>227.29999999999998</v>
      </c>
      <c r="S104" s="100">
        <f t="shared" si="21"/>
        <v>-381.8</v>
      </c>
      <c r="T104" s="100">
        <f t="shared" si="21"/>
        <v>237.6</v>
      </c>
      <c r="U104" s="100">
        <f t="shared" si="21"/>
        <v>227.2</v>
      </c>
      <c r="V104" s="100">
        <f t="shared" si="21"/>
        <v>231.79999999999998</v>
      </c>
      <c r="W104" s="100">
        <f t="shared" si="21"/>
        <v>270.60000000000002</v>
      </c>
      <c r="X104" s="100">
        <f t="shared" si="21"/>
        <v>338.9</v>
      </c>
      <c r="Y104" s="100">
        <f t="shared" si="21"/>
        <v>333.2</v>
      </c>
      <c r="Z104" s="100">
        <f t="shared" si="21"/>
        <v>313.60000000000002</v>
      </c>
      <c r="AA104" s="100">
        <f t="shared" si="21"/>
        <v>306.59999999999991</v>
      </c>
      <c r="AB104" s="100">
        <f t="shared" si="21"/>
        <v>317.5</v>
      </c>
      <c r="AC104" s="100">
        <f t="shared" si="21"/>
        <v>302.60000000000002</v>
      </c>
      <c r="AD104" s="100">
        <f t="shared" si="21"/>
        <v>266.39999999999998</v>
      </c>
      <c r="AE104" s="100">
        <f t="shared" si="21"/>
        <v>181.9</v>
      </c>
      <c r="AF104" s="100">
        <f t="shared" si="21"/>
        <v>128.80000000000001</v>
      </c>
      <c r="AG104" s="101"/>
      <c r="AH104" s="48">
        <f t="shared" si="9"/>
        <v>455.64</v>
      </c>
      <c r="AI104" s="49">
        <f t="shared" si="10"/>
        <v>-381.8</v>
      </c>
    </row>
    <row r="105" spans="1:35" x14ac:dyDescent="0.25">
      <c r="A105" s="88" t="s">
        <v>106</v>
      </c>
      <c r="B105" s="102">
        <v>21.1</v>
      </c>
      <c r="C105" s="102">
        <v>6.8</v>
      </c>
      <c r="D105" s="102">
        <v>6.2</v>
      </c>
      <c r="E105" s="102">
        <v>8</v>
      </c>
      <c r="F105" s="102">
        <v>1.6</v>
      </c>
      <c r="G105" s="102">
        <v>14.9</v>
      </c>
      <c r="H105" s="102">
        <v>16</v>
      </c>
      <c r="I105" s="102">
        <v>21.4</v>
      </c>
      <c r="J105" s="102">
        <v>37.9</v>
      </c>
      <c r="K105" s="102">
        <v>37.9</v>
      </c>
      <c r="L105" s="102">
        <v>35.4</v>
      </c>
      <c r="M105" s="102">
        <v>34.799999999999997</v>
      </c>
      <c r="N105" s="102">
        <v>39</v>
      </c>
      <c r="O105" s="102">
        <v>48.6</v>
      </c>
      <c r="P105" s="102">
        <v>51.8</v>
      </c>
      <c r="Q105" s="102">
        <v>37.299999999999997</v>
      </c>
      <c r="R105" s="102">
        <v>33.5</v>
      </c>
      <c r="S105" s="102">
        <v>27</v>
      </c>
      <c r="T105" s="102">
        <v>39</v>
      </c>
      <c r="U105" s="102">
        <v>51</v>
      </c>
      <c r="V105" s="102">
        <v>45.1</v>
      </c>
      <c r="W105" s="102">
        <v>44.7</v>
      </c>
      <c r="X105" s="102">
        <v>40.799999999999997</v>
      </c>
      <c r="Y105" s="102">
        <v>43.5</v>
      </c>
      <c r="Z105" s="102">
        <v>45.8</v>
      </c>
      <c r="AA105" s="102">
        <v>48.1</v>
      </c>
      <c r="AB105" s="102">
        <v>53.4</v>
      </c>
      <c r="AC105" s="102">
        <v>47.7</v>
      </c>
      <c r="AD105" s="102">
        <v>45.1</v>
      </c>
      <c r="AE105" s="102">
        <v>40.299999999999997</v>
      </c>
      <c r="AF105" s="102">
        <v>26.3</v>
      </c>
      <c r="AG105" s="103">
        <v>75</v>
      </c>
      <c r="AH105" s="48">
        <f t="shared" si="9"/>
        <v>53.4</v>
      </c>
      <c r="AI105" s="49">
        <f t="shared" si="10"/>
        <v>1.6</v>
      </c>
    </row>
    <row r="106" spans="1:35" x14ac:dyDescent="0.25">
      <c r="A106" s="91" t="s">
        <v>107</v>
      </c>
      <c r="B106" s="104">
        <v>38.700000000000003</v>
      </c>
      <c r="C106" s="104">
        <v>17</v>
      </c>
      <c r="D106" s="104">
        <v>16.600000000000001</v>
      </c>
      <c r="E106" s="104">
        <v>17.7</v>
      </c>
      <c r="F106" s="104">
        <v>10.5</v>
      </c>
      <c r="G106" s="104">
        <v>29.9</v>
      </c>
      <c r="H106" s="104">
        <v>30.9</v>
      </c>
      <c r="I106" s="104">
        <v>37.9</v>
      </c>
      <c r="J106" s="104">
        <v>59.7</v>
      </c>
      <c r="K106" s="104">
        <v>59.7</v>
      </c>
      <c r="L106" s="104">
        <v>55</v>
      </c>
      <c r="M106" s="104">
        <v>53.5</v>
      </c>
      <c r="N106" s="104">
        <v>60.2</v>
      </c>
      <c r="O106" s="104">
        <v>71.400000000000006</v>
      </c>
      <c r="P106" s="104">
        <v>76.7</v>
      </c>
      <c r="Q106" s="104">
        <v>56.8</v>
      </c>
      <c r="R106" s="104">
        <v>52.1</v>
      </c>
      <c r="S106" s="104">
        <v>41.6</v>
      </c>
      <c r="T106" s="104">
        <v>59</v>
      </c>
      <c r="U106" s="104">
        <v>77.599999999999994</v>
      </c>
      <c r="V106" s="104">
        <v>62.7</v>
      </c>
      <c r="W106" s="104">
        <v>62.8</v>
      </c>
      <c r="X106" s="104">
        <v>57.4</v>
      </c>
      <c r="Y106" s="104">
        <v>62.7</v>
      </c>
      <c r="Z106" s="104">
        <v>65.599999999999994</v>
      </c>
      <c r="AA106" s="104">
        <v>69</v>
      </c>
      <c r="AB106" s="104">
        <v>76.8</v>
      </c>
      <c r="AC106" s="104">
        <v>67.599999999999994</v>
      </c>
      <c r="AD106" s="104">
        <v>62</v>
      </c>
      <c r="AE106" s="104">
        <v>56.6</v>
      </c>
      <c r="AF106" s="104">
        <v>44.8</v>
      </c>
      <c r="AG106" s="103">
        <v>240</v>
      </c>
      <c r="AH106" s="48">
        <f t="shared" si="9"/>
        <v>77.599999999999994</v>
      </c>
      <c r="AI106" s="49">
        <f t="shared" si="10"/>
        <v>10.5</v>
      </c>
    </row>
    <row r="107" spans="1:35" x14ac:dyDescent="0.25">
      <c r="A107" s="91" t="s">
        <v>108</v>
      </c>
      <c r="B107" s="104">
        <f>-50-53</f>
        <v>-103</v>
      </c>
      <c r="C107" s="104">
        <f>-40-43</f>
        <v>-83</v>
      </c>
      <c r="D107" s="104">
        <f>-40-44</f>
        <v>-84</v>
      </c>
      <c r="E107" s="104">
        <f>-46-48.5</f>
        <v>-94.5</v>
      </c>
      <c r="F107" s="104">
        <f>-42-46.4</f>
        <v>-88.4</v>
      </c>
      <c r="G107" s="104">
        <f>-40-44.5</f>
        <v>-84.5</v>
      </c>
      <c r="H107" s="104">
        <f>-40-44.5</f>
        <v>-84.5</v>
      </c>
      <c r="I107" s="104">
        <v>-72</v>
      </c>
      <c r="J107" s="104">
        <f>-33-35</f>
        <v>-68</v>
      </c>
      <c r="K107" s="104">
        <f>-9.5-17.8</f>
        <v>-27.3</v>
      </c>
      <c r="L107" s="104">
        <f>-10-19</f>
        <v>-29</v>
      </c>
      <c r="M107" s="104">
        <v>-72</v>
      </c>
      <c r="N107" s="104">
        <v>94</v>
      </c>
      <c r="O107" s="104">
        <v>-16</v>
      </c>
      <c r="P107" s="104">
        <v>-35</v>
      </c>
      <c r="Q107" s="104">
        <v>-32</v>
      </c>
      <c r="R107" s="104">
        <v>-21</v>
      </c>
      <c r="S107" s="104">
        <v>-613</v>
      </c>
      <c r="T107" s="104">
        <v>-20</v>
      </c>
      <c r="U107" s="104">
        <v>-58</v>
      </c>
      <c r="V107" s="104">
        <f>-18.1-19.5</f>
        <v>-37.6</v>
      </c>
      <c r="W107" s="104">
        <f>-10.3-11.3</f>
        <v>-21.6</v>
      </c>
      <c r="X107" s="104">
        <v>-52.1</v>
      </c>
      <c r="Y107" s="104">
        <f>-43.4-23.1</f>
        <v>-66.5</v>
      </c>
      <c r="Z107" s="104">
        <f>-58.8-27.6</f>
        <v>-86.4</v>
      </c>
      <c r="AA107" s="104">
        <f>-62.4-33.4</f>
        <v>-95.8</v>
      </c>
      <c r="AB107" s="104">
        <v>-77.099999999999994</v>
      </c>
      <c r="AC107" s="104">
        <v>-77.099999999999994</v>
      </c>
      <c r="AD107" s="104">
        <v>-49</v>
      </c>
      <c r="AE107" s="104">
        <v>-66.099999999999994</v>
      </c>
      <c r="AF107" s="104">
        <v>-101.5</v>
      </c>
      <c r="AG107" s="103">
        <v>240</v>
      </c>
      <c r="AH107" s="48">
        <f t="shared" si="9"/>
        <v>94</v>
      </c>
      <c r="AI107" s="49">
        <f t="shared" si="10"/>
        <v>-613</v>
      </c>
    </row>
    <row r="108" spans="1:35" x14ac:dyDescent="0.25">
      <c r="A108" s="91" t="s">
        <v>109</v>
      </c>
      <c r="B108" s="104">
        <v>-5.8</v>
      </c>
      <c r="C108" s="104">
        <v>-1.4</v>
      </c>
      <c r="D108" s="104">
        <v>-5.9</v>
      </c>
      <c r="E108" s="104">
        <v>-8.9</v>
      </c>
      <c r="F108" s="104">
        <v>-5.8</v>
      </c>
      <c r="G108" s="104">
        <v>-5.6</v>
      </c>
      <c r="H108" s="104">
        <v>-2.7</v>
      </c>
      <c r="I108" s="104">
        <v>-2.7</v>
      </c>
      <c r="J108" s="104">
        <v>2.1</v>
      </c>
      <c r="K108" s="104">
        <v>38.4</v>
      </c>
      <c r="L108" s="104">
        <v>38.1</v>
      </c>
      <c r="M108" s="104">
        <v>49.5</v>
      </c>
      <c r="N108" s="104">
        <v>46.7</v>
      </c>
      <c r="O108" s="104">
        <v>23</v>
      </c>
      <c r="P108" s="104">
        <v>24.2</v>
      </c>
      <c r="Q108" s="104">
        <v>29.5</v>
      </c>
      <c r="R108" s="104">
        <v>14.1</v>
      </c>
      <c r="S108" s="104">
        <v>14</v>
      </c>
      <c r="T108" s="104">
        <v>11</v>
      </c>
      <c r="U108" s="104">
        <v>8</v>
      </c>
      <c r="V108" s="104">
        <v>13</v>
      </c>
      <c r="W108" s="104">
        <v>36.1</v>
      </c>
      <c r="X108" s="104">
        <v>46</v>
      </c>
      <c r="Y108" s="104">
        <v>55.8</v>
      </c>
      <c r="Z108" s="104">
        <v>55</v>
      </c>
      <c r="AA108" s="104">
        <v>54.1</v>
      </c>
      <c r="AB108" s="104">
        <v>50.5</v>
      </c>
      <c r="AC108" s="104">
        <v>50.5</v>
      </c>
      <c r="AD108" s="104">
        <v>18.5</v>
      </c>
      <c r="AE108" s="104">
        <v>5.4</v>
      </c>
      <c r="AF108" s="104">
        <v>-1.7</v>
      </c>
      <c r="AG108" s="103">
        <v>60</v>
      </c>
      <c r="AH108" s="48">
        <f t="shared" si="9"/>
        <v>55.8</v>
      </c>
      <c r="AI108" s="49">
        <f t="shared" si="10"/>
        <v>-8.9</v>
      </c>
    </row>
    <row r="109" spans="1:35" x14ac:dyDescent="0.25">
      <c r="A109" s="105" t="s">
        <v>110</v>
      </c>
      <c r="B109" s="106">
        <v>19.8</v>
      </c>
      <c r="C109" s="106">
        <v>29.5</v>
      </c>
      <c r="D109" s="106">
        <v>34.4</v>
      </c>
      <c r="E109" s="106">
        <v>24.2</v>
      </c>
      <c r="F109" s="106">
        <v>36.6</v>
      </c>
      <c r="G109" s="106">
        <v>35</v>
      </c>
      <c r="H109" s="106">
        <v>56.4</v>
      </c>
      <c r="I109" s="106">
        <v>56.4</v>
      </c>
      <c r="J109" s="106">
        <v>68.5</v>
      </c>
      <c r="K109" s="106">
        <v>85</v>
      </c>
      <c r="L109" s="106">
        <v>96.2</v>
      </c>
      <c r="M109" s="106">
        <v>89</v>
      </c>
      <c r="N109" s="106">
        <v>70.2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0</v>
      </c>
      <c r="V109" s="106">
        <v>0</v>
      </c>
      <c r="W109" s="106">
        <v>0</v>
      </c>
      <c r="X109" s="106">
        <v>105.6</v>
      </c>
      <c r="Y109" s="106">
        <v>96.5</v>
      </c>
      <c r="Z109" s="106">
        <v>92.4</v>
      </c>
      <c r="AA109" s="106">
        <v>90</v>
      </c>
      <c r="AB109" s="106">
        <v>72.7</v>
      </c>
      <c r="AC109" s="106">
        <v>72.7</v>
      </c>
      <c r="AD109" s="106">
        <v>48.6</v>
      </c>
      <c r="AE109" s="106">
        <v>4.5</v>
      </c>
      <c r="AF109" s="106">
        <v>19.7</v>
      </c>
      <c r="AG109" s="107">
        <v>120</v>
      </c>
      <c r="AH109" s="48">
        <f t="shared" si="9"/>
        <v>105.6</v>
      </c>
      <c r="AI109" s="49">
        <f t="shared" si="10"/>
        <v>0</v>
      </c>
    </row>
    <row r="110" spans="1:35" x14ac:dyDescent="0.25">
      <c r="A110" s="105" t="s">
        <v>111</v>
      </c>
      <c r="B110" s="106">
        <v>36</v>
      </c>
      <c r="C110" s="106">
        <v>42</v>
      </c>
      <c r="D110" s="106">
        <v>46.9</v>
      </c>
      <c r="E110" s="106">
        <v>42.6</v>
      </c>
      <c r="F110" s="106">
        <v>50.8</v>
      </c>
      <c r="G110" s="106">
        <v>46.2</v>
      </c>
      <c r="H110" s="106">
        <v>53.5</v>
      </c>
      <c r="I110" s="106">
        <v>53.5</v>
      </c>
      <c r="J110" s="106">
        <v>61.5</v>
      </c>
      <c r="K110" s="106">
        <v>62</v>
      </c>
      <c r="L110" s="106">
        <v>65.3</v>
      </c>
      <c r="M110" s="106">
        <v>63.4</v>
      </c>
      <c r="N110" s="106">
        <v>54.3</v>
      </c>
      <c r="O110" s="106">
        <v>94.6</v>
      </c>
      <c r="P110" s="106">
        <v>72.3</v>
      </c>
      <c r="Q110" s="106">
        <v>75.5</v>
      </c>
      <c r="R110" s="106">
        <v>81.3</v>
      </c>
      <c r="S110" s="106">
        <v>96</v>
      </c>
      <c r="T110" s="106">
        <v>77</v>
      </c>
      <c r="U110" s="106">
        <v>39</v>
      </c>
      <c r="V110" s="106">
        <v>55.4</v>
      </c>
      <c r="W110" s="106">
        <v>68.099999999999994</v>
      </c>
      <c r="X110" s="106">
        <v>54.2</v>
      </c>
      <c r="Y110" s="106">
        <v>25.4</v>
      </c>
      <c r="Z110" s="106">
        <v>11</v>
      </c>
      <c r="AA110" s="106">
        <v>-19.2</v>
      </c>
      <c r="AB110" s="106">
        <v>-33.6</v>
      </c>
      <c r="AC110" s="106">
        <v>-33.6</v>
      </c>
      <c r="AD110" s="106">
        <v>21.8</v>
      </c>
      <c r="AE110" s="106">
        <v>20.5</v>
      </c>
      <c r="AF110" s="106">
        <v>29.5</v>
      </c>
      <c r="AG110" s="107"/>
      <c r="AH110" s="48">
        <f t="shared" si="9"/>
        <v>96</v>
      </c>
      <c r="AI110" s="49">
        <f t="shared" si="10"/>
        <v>-33.6</v>
      </c>
    </row>
    <row r="111" spans="1:35" x14ac:dyDescent="0.25">
      <c r="A111" s="105" t="s">
        <v>112</v>
      </c>
      <c r="B111" s="106">
        <v>38</v>
      </c>
      <c r="C111" s="106">
        <v>30</v>
      </c>
      <c r="D111" s="106">
        <v>32.299999999999997</v>
      </c>
      <c r="E111" s="106">
        <v>25.3</v>
      </c>
      <c r="F111" s="106">
        <v>44.2</v>
      </c>
      <c r="G111" s="106">
        <v>46.2</v>
      </c>
      <c r="H111" s="106">
        <v>40.6</v>
      </c>
      <c r="I111" s="106">
        <v>40.6</v>
      </c>
      <c r="J111" s="106">
        <v>17</v>
      </c>
      <c r="K111" s="106">
        <v>29.4</v>
      </c>
      <c r="L111" s="106">
        <v>26.7</v>
      </c>
      <c r="M111" s="106">
        <v>24.8</v>
      </c>
      <c r="N111" s="106">
        <v>16</v>
      </c>
      <c r="O111" s="106">
        <v>-0.2</v>
      </c>
      <c r="P111" s="106">
        <v>-7.9</v>
      </c>
      <c r="Q111" s="106">
        <v>3.9</v>
      </c>
      <c r="R111" s="106">
        <v>17.5</v>
      </c>
      <c r="S111" s="106">
        <v>32</v>
      </c>
      <c r="T111" s="106">
        <v>2.6</v>
      </c>
      <c r="U111" s="106">
        <v>-5</v>
      </c>
      <c r="V111" s="106">
        <v>-6.1</v>
      </c>
      <c r="W111" s="106">
        <v>17.3</v>
      </c>
      <c r="X111" s="106">
        <v>25</v>
      </c>
      <c r="Y111" s="106">
        <v>18.100000000000001</v>
      </c>
      <c r="Z111" s="106">
        <v>15</v>
      </c>
      <c r="AA111" s="106">
        <v>-3.2</v>
      </c>
      <c r="AB111" s="106">
        <v>-6.3</v>
      </c>
      <c r="AC111" s="106">
        <v>-6.3</v>
      </c>
      <c r="AD111" s="106">
        <v>-8.6999999999999993</v>
      </c>
      <c r="AE111" s="106">
        <v>-1</v>
      </c>
      <c r="AF111" s="106">
        <v>32.700000000000003</v>
      </c>
      <c r="AG111" s="108"/>
      <c r="AH111" s="48">
        <f t="shared" si="9"/>
        <v>46.2</v>
      </c>
      <c r="AI111" s="49">
        <f t="shared" si="10"/>
        <v>-8.6999999999999993</v>
      </c>
    </row>
    <row r="112" spans="1:35" x14ac:dyDescent="0.25">
      <c r="A112" s="109" t="s">
        <v>113</v>
      </c>
      <c r="B112" s="94">
        <v>38</v>
      </c>
      <c r="C112" s="94">
        <v>39</v>
      </c>
      <c r="D112" s="94">
        <v>39.4</v>
      </c>
      <c r="E112" s="94">
        <v>42.5</v>
      </c>
      <c r="F112" s="94">
        <v>43.2</v>
      </c>
      <c r="G112" s="94">
        <v>39.6</v>
      </c>
      <c r="H112" s="94">
        <v>31.3</v>
      </c>
      <c r="I112" s="94">
        <v>31.3</v>
      </c>
      <c r="J112" s="94">
        <v>25.1</v>
      </c>
      <c r="K112" s="94">
        <v>13.1</v>
      </c>
      <c r="L112" s="94">
        <v>13.3</v>
      </c>
      <c r="M112" s="94">
        <v>11.8</v>
      </c>
      <c r="N112" s="94">
        <v>16.7</v>
      </c>
      <c r="O112" s="94">
        <v>23.1</v>
      </c>
      <c r="P112" s="94">
        <v>26.8</v>
      </c>
      <c r="Q112" s="94">
        <v>28.9</v>
      </c>
      <c r="R112" s="94">
        <v>29.9</v>
      </c>
      <c r="S112" s="94">
        <v>32</v>
      </c>
      <c r="T112" s="94">
        <v>21</v>
      </c>
      <c r="U112" s="94">
        <v>15</v>
      </c>
      <c r="V112" s="94">
        <v>7.2</v>
      </c>
      <c r="W112" s="94">
        <v>0</v>
      </c>
      <c r="X112" s="94">
        <v>51.9</v>
      </c>
      <c r="Y112" s="94">
        <v>13.2</v>
      </c>
      <c r="Z112" s="94">
        <v>16</v>
      </c>
      <c r="AA112" s="94">
        <v>19.399999999999999</v>
      </c>
      <c r="AB112" s="94">
        <v>22.3</v>
      </c>
      <c r="AC112" s="94">
        <v>22.3</v>
      </c>
      <c r="AD112" s="94">
        <v>28.6</v>
      </c>
      <c r="AE112" s="94">
        <v>35.799999999999997</v>
      </c>
      <c r="AF112" s="94">
        <v>38</v>
      </c>
      <c r="AG112" s="108"/>
      <c r="AH112" s="48">
        <f t="shared" si="9"/>
        <v>51.9</v>
      </c>
      <c r="AI112" s="49">
        <f t="shared" si="10"/>
        <v>0</v>
      </c>
    </row>
    <row r="113" spans="1:37" ht="15.75" thickBot="1" x14ac:dyDescent="0.3">
      <c r="A113" s="109" t="s">
        <v>114</v>
      </c>
      <c r="B113" s="94">
        <v>67</v>
      </c>
      <c r="C113" s="94">
        <v>50</v>
      </c>
      <c r="D113" s="94">
        <v>49.3</v>
      </c>
      <c r="E113" s="94">
        <v>59</v>
      </c>
      <c r="F113" s="94">
        <v>50.7</v>
      </c>
      <c r="G113" s="94">
        <v>48</v>
      </c>
      <c r="H113" s="94">
        <v>37.799999999999997</v>
      </c>
      <c r="I113" s="94">
        <v>37.799999999999997</v>
      </c>
      <c r="J113" s="94">
        <v>44.7</v>
      </c>
      <c r="K113" s="94">
        <v>41.1</v>
      </c>
      <c r="L113" s="94">
        <v>41.3</v>
      </c>
      <c r="M113" s="94">
        <v>52.7</v>
      </c>
      <c r="N113" s="94">
        <v>68.099999999999994</v>
      </c>
      <c r="O113" s="94">
        <v>20.6</v>
      </c>
      <c r="P113" s="94">
        <v>38.700000000000003</v>
      </c>
      <c r="Q113" s="94">
        <v>31</v>
      </c>
      <c r="R113" s="94">
        <v>14.1</v>
      </c>
      <c r="S113" s="94">
        <v>3</v>
      </c>
      <c r="T113" s="94">
        <v>21</v>
      </c>
      <c r="U113" s="94">
        <v>48</v>
      </c>
      <c r="V113" s="94">
        <v>27.2</v>
      </c>
      <c r="W113" s="94">
        <v>20.9</v>
      </c>
      <c r="X113" s="94">
        <v>31.2</v>
      </c>
      <c r="Y113" s="94">
        <v>50</v>
      </c>
      <c r="Z113" s="94">
        <v>63.1</v>
      </c>
      <c r="AA113" s="94">
        <v>72.2</v>
      </c>
      <c r="AB113" s="94">
        <v>90.2</v>
      </c>
      <c r="AC113" s="94">
        <v>90.2</v>
      </c>
      <c r="AD113" s="94">
        <v>47.7</v>
      </c>
      <c r="AE113" s="94">
        <v>51.8</v>
      </c>
      <c r="AF113" s="94">
        <v>62.6</v>
      </c>
      <c r="AG113" s="108"/>
      <c r="AH113" s="48">
        <f t="shared" si="9"/>
        <v>90.2</v>
      </c>
      <c r="AI113" s="49">
        <f t="shared" si="10"/>
        <v>3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2">SUM(B115:B219)</f>
        <v>0</v>
      </c>
      <c r="C220" s="125">
        <f t="shared" si="22"/>
        <v>0</v>
      </c>
      <c r="D220" s="125">
        <f t="shared" si="22"/>
        <v>0</v>
      </c>
      <c r="E220" s="125">
        <f t="shared" si="22"/>
        <v>0</v>
      </c>
      <c r="F220" s="125">
        <f t="shared" si="22"/>
        <v>0</v>
      </c>
      <c r="G220" s="125">
        <f t="shared" si="22"/>
        <v>0</v>
      </c>
      <c r="H220" s="125">
        <f t="shared" si="22"/>
        <v>0</v>
      </c>
      <c r="I220" s="125">
        <f t="shared" si="22"/>
        <v>0</v>
      </c>
      <c r="J220" s="125">
        <f t="shared" si="22"/>
        <v>0</v>
      </c>
      <c r="K220" s="125">
        <f t="shared" si="22"/>
        <v>0</v>
      </c>
      <c r="L220" s="125">
        <f t="shared" si="22"/>
        <v>0</v>
      </c>
      <c r="M220" s="125">
        <f t="shared" si="22"/>
        <v>0</v>
      </c>
      <c r="N220" s="125">
        <f t="shared" si="22"/>
        <v>0</v>
      </c>
      <c r="O220" s="125">
        <f t="shared" si="22"/>
        <v>0</v>
      </c>
      <c r="P220" s="125">
        <f t="shared" si="22"/>
        <v>0</v>
      </c>
      <c r="Q220" s="125">
        <f t="shared" si="22"/>
        <v>0</v>
      </c>
      <c r="R220" s="125">
        <f t="shared" si="22"/>
        <v>0</v>
      </c>
      <c r="S220" s="125">
        <f t="shared" si="22"/>
        <v>0</v>
      </c>
      <c r="T220" s="125">
        <f t="shared" si="22"/>
        <v>0</v>
      </c>
      <c r="U220" s="125">
        <f t="shared" si="22"/>
        <v>0</v>
      </c>
      <c r="V220" s="125">
        <f t="shared" si="22"/>
        <v>0</v>
      </c>
      <c r="W220" s="125">
        <f t="shared" si="22"/>
        <v>0</v>
      </c>
      <c r="X220" s="125">
        <f t="shared" si="22"/>
        <v>0</v>
      </c>
      <c r="Y220" s="125">
        <f t="shared" si="22"/>
        <v>0</v>
      </c>
      <c r="Z220" s="125">
        <f t="shared" si="22"/>
        <v>0</v>
      </c>
      <c r="AA220" s="125">
        <f t="shared" si="22"/>
        <v>0</v>
      </c>
      <c r="AB220" s="125">
        <f t="shared" si="22"/>
        <v>0</v>
      </c>
      <c r="AC220" s="125">
        <f t="shared" si="22"/>
        <v>0</v>
      </c>
      <c r="AD220" s="125">
        <f t="shared" si="22"/>
        <v>0</v>
      </c>
      <c r="AE220" s="125">
        <f t="shared" si="22"/>
        <v>0</v>
      </c>
      <c r="AF220" s="126">
        <f t="shared" si="22"/>
        <v>0</v>
      </c>
      <c r="AG220" s="127">
        <f t="shared" si="22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3">AF222</f>
        <v>0</v>
      </c>
      <c r="C222" s="129">
        <v>0.3</v>
      </c>
      <c r="D222" s="129">
        <f t="shared" ref="D222:P227" si="24">C222</f>
        <v>0.3</v>
      </c>
      <c r="E222" s="129">
        <f t="shared" si="24"/>
        <v>0.3</v>
      </c>
      <c r="F222" s="129">
        <f t="shared" si="24"/>
        <v>0.3</v>
      </c>
      <c r="G222" s="129">
        <f t="shared" si="24"/>
        <v>0.3</v>
      </c>
      <c r="H222" s="129">
        <f t="shared" si="24"/>
        <v>0.3</v>
      </c>
      <c r="I222" s="129">
        <f t="shared" si="24"/>
        <v>0.3</v>
      </c>
      <c r="J222" s="129">
        <f t="shared" si="24"/>
        <v>0.3</v>
      </c>
      <c r="K222" s="129">
        <f t="shared" si="24"/>
        <v>0.3</v>
      </c>
      <c r="L222" s="129">
        <f t="shared" si="24"/>
        <v>0.3</v>
      </c>
      <c r="M222" s="129">
        <f t="shared" si="24"/>
        <v>0.3</v>
      </c>
      <c r="N222" s="129">
        <f t="shared" si="24"/>
        <v>0.3</v>
      </c>
      <c r="O222" s="129">
        <f t="shared" si="24"/>
        <v>0.3</v>
      </c>
      <c r="P222" s="129">
        <f t="shared" si="24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3"/>
        <v>0</v>
      </c>
      <c r="C223" s="117">
        <v>0.4</v>
      </c>
      <c r="D223" s="117">
        <f t="shared" si="24"/>
        <v>0.4</v>
      </c>
      <c r="E223" s="117">
        <f t="shared" si="24"/>
        <v>0.4</v>
      </c>
      <c r="F223" s="117">
        <f t="shared" si="24"/>
        <v>0.4</v>
      </c>
      <c r="G223" s="117">
        <f t="shared" si="24"/>
        <v>0.4</v>
      </c>
      <c r="H223" s="117">
        <f t="shared" si="24"/>
        <v>0.4</v>
      </c>
      <c r="I223" s="117">
        <f t="shared" si="24"/>
        <v>0.4</v>
      </c>
      <c r="J223" s="117">
        <f t="shared" si="24"/>
        <v>0.4</v>
      </c>
      <c r="K223" s="117">
        <f t="shared" si="24"/>
        <v>0.4</v>
      </c>
      <c r="L223" s="117">
        <f t="shared" si="24"/>
        <v>0.4</v>
      </c>
      <c r="M223" s="117">
        <f t="shared" si="24"/>
        <v>0.4</v>
      </c>
      <c r="N223" s="117">
        <f t="shared" si="24"/>
        <v>0.4</v>
      </c>
      <c r="O223" s="117">
        <f t="shared" si="24"/>
        <v>0.4</v>
      </c>
      <c r="P223" s="117">
        <f t="shared" si="24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3"/>
        <v>0</v>
      </c>
      <c r="C224" s="117">
        <v>1.5</v>
      </c>
      <c r="D224" s="117">
        <f t="shared" si="24"/>
        <v>1.5</v>
      </c>
      <c r="E224" s="117">
        <f t="shared" si="24"/>
        <v>1.5</v>
      </c>
      <c r="F224" s="117">
        <f t="shared" si="24"/>
        <v>1.5</v>
      </c>
      <c r="G224" s="117">
        <f t="shared" si="24"/>
        <v>1.5</v>
      </c>
      <c r="H224" s="117">
        <f t="shared" si="24"/>
        <v>1.5</v>
      </c>
      <c r="I224" s="117">
        <f t="shared" si="24"/>
        <v>1.5</v>
      </c>
      <c r="J224" s="117">
        <f t="shared" si="24"/>
        <v>1.5</v>
      </c>
      <c r="K224" s="117">
        <f t="shared" si="24"/>
        <v>1.5</v>
      </c>
      <c r="L224" s="117">
        <f t="shared" si="24"/>
        <v>1.5</v>
      </c>
      <c r="M224" s="117">
        <f t="shared" si="24"/>
        <v>1.5</v>
      </c>
      <c r="N224" s="117">
        <f t="shared" si="24"/>
        <v>1.5</v>
      </c>
      <c r="O224" s="117">
        <f t="shared" si="24"/>
        <v>1.5</v>
      </c>
      <c r="P224" s="117">
        <f t="shared" si="24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3"/>
        <v>0</v>
      </c>
      <c r="C225" s="117">
        <v>0.3</v>
      </c>
      <c r="D225" s="117">
        <f t="shared" si="24"/>
        <v>0.3</v>
      </c>
      <c r="E225" s="117">
        <f t="shared" si="24"/>
        <v>0.3</v>
      </c>
      <c r="F225" s="117">
        <f t="shared" si="24"/>
        <v>0.3</v>
      </c>
      <c r="G225" s="117">
        <f t="shared" si="24"/>
        <v>0.3</v>
      </c>
      <c r="H225" s="117">
        <f t="shared" si="24"/>
        <v>0.3</v>
      </c>
      <c r="I225" s="117">
        <f t="shared" si="24"/>
        <v>0.3</v>
      </c>
      <c r="J225" s="117">
        <f t="shared" si="24"/>
        <v>0.3</v>
      </c>
      <c r="K225" s="117">
        <f t="shared" si="24"/>
        <v>0.3</v>
      </c>
      <c r="L225" s="117">
        <f t="shared" si="24"/>
        <v>0.3</v>
      </c>
      <c r="M225" s="117">
        <f t="shared" si="24"/>
        <v>0.3</v>
      </c>
      <c r="N225" s="117">
        <f t="shared" si="24"/>
        <v>0.3</v>
      </c>
      <c r="O225" s="117">
        <f t="shared" si="24"/>
        <v>0.3</v>
      </c>
      <c r="P225" s="117">
        <f t="shared" si="24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3"/>
        <v>0</v>
      </c>
      <c r="C226" s="117">
        <v>0.4</v>
      </c>
      <c r="D226" s="117">
        <f t="shared" si="24"/>
        <v>0.4</v>
      </c>
      <c r="E226" s="117">
        <f t="shared" si="24"/>
        <v>0.4</v>
      </c>
      <c r="F226" s="117">
        <f t="shared" si="24"/>
        <v>0.4</v>
      </c>
      <c r="G226" s="117">
        <f t="shared" si="24"/>
        <v>0.4</v>
      </c>
      <c r="H226" s="117">
        <f t="shared" si="24"/>
        <v>0.4</v>
      </c>
      <c r="I226" s="117">
        <f t="shared" si="24"/>
        <v>0.4</v>
      </c>
      <c r="J226" s="117">
        <f t="shared" si="24"/>
        <v>0.4</v>
      </c>
      <c r="K226" s="117">
        <f t="shared" si="24"/>
        <v>0.4</v>
      </c>
      <c r="L226" s="117">
        <f t="shared" si="24"/>
        <v>0.4</v>
      </c>
      <c r="M226" s="117">
        <f t="shared" si="24"/>
        <v>0.4</v>
      </c>
      <c r="N226" s="117">
        <f t="shared" si="24"/>
        <v>0.4</v>
      </c>
      <c r="O226" s="117">
        <f t="shared" si="24"/>
        <v>0.4</v>
      </c>
      <c r="P226" s="117">
        <f t="shared" si="24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3"/>
        <v>0</v>
      </c>
      <c r="C227" s="121">
        <v>0.64</v>
      </c>
      <c r="D227" s="121">
        <f t="shared" si="24"/>
        <v>0.64</v>
      </c>
      <c r="E227" s="121">
        <f t="shared" si="24"/>
        <v>0.64</v>
      </c>
      <c r="F227" s="121">
        <f t="shared" si="24"/>
        <v>0.64</v>
      </c>
      <c r="G227" s="121">
        <f t="shared" si="24"/>
        <v>0.64</v>
      </c>
      <c r="H227" s="121">
        <f t="shared" si="24"/>
        <v>0.64</v>
      </c>
      <c r="I227" s="121">
        <f t="shared" si="24"/>
        <v>0.64</v>
      </c>
      <c r="J227" s="121">
        <f t="shared" si="24"/>
        <v>0.64</v>
      </c>
      <c r="K227" s="121">
        <f t="shared" si="24"/>
        <v>0.64</v>
      </c>
      <c r="L227" s="121">
        <f t="shared" si="24"/>
        <v>0.64</v>
      </c>
      <c r="M227" s="121">
        <f t="shared" si="24"/>
        <v>0.64</v>
      </c>
      <c r="N227" s="121">
        <f t="shared" si="24"/>
        <v>0.64</v>
      </c>
      <c r="O227" s="121">
        <f t="shared" si="24"/>
        <v>0.64</v>
      </c>
      <c r="P227" s="121">
        <f t="shared" si="24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5">SUM(B222:B227)</f>
        <v>0</v>
      </c>
      <c r="C228" s="125">
        <f t="shared" si="25"/>
        <v>3.54</v>
      </c>
      <c r="D228" s="125">
        <f t="shared" si="25"/>
        <v>3.54</v>
      </c>
      <c r="E228" s="125">
        <f t="shared" si="25"/>
        <v>3.54</v>
      </c>
      <c r="F228" s="125">
        <f t="shared" si="25"/>
        <v>3.54</v>
      </c>
      <c r="G228" s="125">
        <f t="shared" si="25"/>
        <v>3.54</v>
      </c>
      <c r="H228" s="125">
        <f t="shared" si="25"/>
        <v>3.54</v>
      </c>
      <c r="I228" s="125">
        <f t="shared" si="25"/>
        <v>3.54</v>
      </c>
      <c r="J228" s="125">
        <f t="shared" si="25"/>
        <v>3.54</v>
      </c>
      <c r="K228" s="125">
        <f t="shared" si="25"/>
        <v>3.54</v>
      </c>
      <c r="L228" s="125">
        <f t="shared" si="25"/>
        <v>3.54</v>
      </c>
      <c r="M228" s="125">
        <f t="shared" si="25"/>
        <v>3.54</v>
      </c>
      <c r="N228" s="125">
        <f t="shared" si="25"/>
        <v>3.54</v>
      </c>
      <c r="O228" s="125">
        <f t="shared" si="25"/>
        <v>3.54</v>
      </c>
      <c r="P228" s="125">
        <f t="shared" si="25"/>
        <v>3.54</v>
      </c>
      <c r="Q228" s="125">
        <f t="shared" si="25"/>
        <v>0</v>
      </c>
      <c r="R228" s="125">
        <f t="shared" si="25"/>
        <v>0</v>
      </c>
      <c r="S228" s="125">
        <f t="shared" si="25"/>
        <v>0</v>
      </c>
      <c r="T228" s="125">
        <f t="shared" si="25"/>
        <v>0</v>
      </c>
      <c r="U228" s="125">
        <f t="shared" si="25"/>
        <v>0</v>
      </c>
      <c r="V228" s="125">
        <f t="shared" si="25"/>
        <v>0</v>
      </c>
      <c r="W228" s="125">
        <f t="shared" si="25"/>
        <v>0</v>
      </c>
      <c r="X228" s="125">
        <f t="shared" si="25"/>
        <v>0</v>
      </c>
      <c r="Y228" s="125">
        <f t="shared" si="25"/>
        <v>0</v>
      </c>
      <c r="Z228" s="125">
        <f t="shared" si="25"/>
        <v>0</v>
      </c>
      <c r="AA228" s="125">
        <f t="shared" si="25"/>
        <v>0</v>
      </c>
      <c r="AB228" s="125">
        <f t="shared" si="25"/>
        <v>0</v>
      </c>
      <c r="AC228" s="125">
        <f t="shared" si="25"/>
        <v>0</v>
      </c>
      <c r="AD228" s="125">
        <f t="shared" si="25"/>
        <v>0</v>
      </c>
      <c r="AE228" s="125">
        <f t="shared" si="25"/>
        <v>0</v>
      </c>
      <c r="AF228" s="125">
        <f t="shared" si="25"/>
        <v>0</v>
      </c>
      <c r="AG228" s="134">
        <f t="shared" si="25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1648.24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2079/08/28)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26">B85</f>
        <v>1004.14</v>
      </c>
      <c r="U242" s="159">
        <f t="shared" si="26"/>
        <v>964.93999999999983</v>
      </c>
      <c r="V242" s="159">
        <f t="shared" si="26"/>
        <v>965.43999999999983</v>
      </c>
      <c r="W242" s="159">
        <f t="shared" si="26"/>
        <v>975.74</v>
      </c>
      <c r="X242" s="159">
        <f t="shared" si="26"/>
        <v>985.83999999999992</v>
      </c>
      <c r="Y242" s="159">
        <f t="shared" si="26"/>
        <v>1042.8399999999999</v>
      </c>
      <c r="Z242" s="159">
        <f t="shared" si="26"/>
        <v>1148.1399999999999</v>
      </c>
      <c r="AA242" s="159">
        <f t="shared" si="26"/>
        <v>1185.6399999999999</v>
      </c>
      <c r="AB242" s="159">
        <f t="shared" si="26"/>
        <v>1305.94</v>
      </c>
      <c r="AC242" s="159">
        <f t="shared" si="26"/>
        <v>1553.24</v>
      </c>
      <c r="AD242" s="159">
        <f t="shared" si="26"/>
        <v>1623.44</v>
      </c>
      <c r="AE242" s="159">
        <f t="shared" si="26"/>
        <v>1648.24</v>
      </c>
      <c r="AF242" s="159">
        <f t="shared" si="26"/>
        <v>1613.0399999999997</v>
      </c>
      <c r="AG242" s="159">
        <f t="shared" si="26"/>
        <v>1491.94</v>
      </c>
      <c r="AH242" s="159">
        <f t="shared" si="26"/>
        <v>1312.2400000000002</v>
      </c>
      <c r="AI242" s="159">
        <f t="shared" si="26"/>
        <v>1257.44</v>
      </c>
      <c r="AJ242" s="159">
        <f t="shared" si="26"/>
        <v>1198.4399999999998</v>
      </c>
      <c r="AK242" s="159">
        <f t="shared" si="26"/>
        <v>1205.54</v>
      </c>
      <c r="AL242" s="159">
        <f t="shared" si="26"/>
        <v>1241.04</v>
      </c>
      <c r="AM242" s="159">
        <f t="shared" si="26"/>
        <v>1235.04</v>
      </c>
      <c r="AN242" s="159">
        <f t="shared" si="26"/>
        <v>1322.5399999999997</v>
      </c>
      <c r="AO242" s="159">
        <f t="shared" si="26"/>
        <v>1659.9399999999998</v>
      </c>
      <c r="AP242" s="159">
        <f t="shared" si="26"/>
        <v>1641.7399999999998</v>
      </c>
      <c r="AQ242" s="159">
        <f t="shared" si="26"/>
        <v>1514.54</v>
      </c>
      <c r="AR242" s="159">
        <f t="shared" si="26"/>
        <v>1507.34</v>
      </c>
      <c r="AS242" s="159">
        <f t="shared" si="26"/>
        <v>1419.4399999999998</v>
      </c>
      <c r="AT242" s="159">
        <f t="shared" si="26"/>
        <v>1359.54</v>
      </c>
      <c r="AU242" s="159">
        <f t="shared" si="26"/>
        <v>1317.74</v>
      </c>
      <c r="AV242" s="159">
        <f t="shared" si="26"/>
        <v>1163.8399999999999</v>
      </c>
      <c r="AW242" s="159">
        <f t="shared" si="26"/>
        <v>1014.54</v>
      </c>
      <c r="AX242" s="159">
        <f t="shared" si="26"/>
        <v>1007.8399999999999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27">C227</f>
        <v>0.64</v>
      </c>
      <c r="C263" s="162">
        <f t="shared" si="27"/>
        <v>0.64</v>
      </c>
      <c r="D263" s="162">
        <f t="shared" si="27"/>
        <v>0.64</v>
      </c>
      <c r="E263" s="162">
        <f t="shared" si="27"/>
        <v>0.64</v>
      </c>
      <c r="F263" s="162">
        <f t="shared" si="27"/>
        <v>0.64</v>
      </c>
      <c r="G263" s="162">
        <f t="shared" si="27"/>
        <v>0.64</v>
      </c>
      <c r="H263" s="162">
        <f t="shared" si="27"/>
        <v>0.64</v>
      </c>
      <c r="I263" s="162">
        <f t="shared" si="27"/>
        <v>0.64</v>
      </c>
      <c r="J263" s="162">
        <f t="shared" si="27"/>
        <v>0.64</v>
      </c>
      <c r="K263" s="162">
        <f t="shared" si="27"/>
        <v>0.64</v>
      </c>
      <c r="L263" s="162">
        <f t="shared" si="27"/>
        <v>0.64</v>
      </c>
      <c r="M263" s="162">
        <f t="shared" si="27"/>
        <v>0.64</v>
      </c>
      <c r="N263" s="162">
        <f t="shared" si="27"/>
        <v>0.64</v>
      </c>
      <c r="O263" s="162">
        <f t="shared" si="27"/>
        <v>0.64</v>
      </c>
      <c r="P263" s="162">
        <f t="shared" si="27"/>
        <v>0</v>
      </c>
      <c r="Q263" s="162">
        <f t="shared" si="27"/>
        <v>0</v>
      </c>
      <c r="R263" s="162">
        <f t="shared" si="27"/>
        <v>0</v>
      </c>
      <c r="S263" s="162">
        <f t="shared" si="27"/>
        <v>0</v>
      </c>
      <c r="T263" s="162">
        <f t="shared" si="27"/>
        <v>0</v>
      </c>
      <c r="U263" s="162">
        <f t="shared" si="27"/>
        <v>0</v>
      </c>
      <c r="V263" s="162">
        <f t="shared" si="27"/>
        <v>0</v>
      </c>
      <c r="W263" s="162">
        <f t="shared" si="27"/>
        <v>0</v>
      </c>
      <c r="X263" s="162">
        <f t="shared" si="27"/>
        <v>0</v>
      </c>
      <c r="Y263" s="162">
        <f t="shared" si="27"/>
        <v>0</v>
      </c>
      <c r="Z263" s="162">
        <f t="shared" si="27"/>
        <v>0</v>
      </c>
      <c r="AA263" s="162">
        <f t="shared" si="27"/>
        <v>0</v>
      </c>
      <c r="AB263" s="162">
        <f t="shared" si="27"/>
        <v>0</v>
      </c>
      <c r="AC263" s="162">
        <f t="shared" si="27"/>
        <v>0</v>
      </c>
      <c r="AD263" s="162">
        <f t="shared" si="27"/>
        <v>0</v>
      </c>
      <c r="AE263" s="162">
        <f t="shared" si="27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8">IF(B231&lt;100,"",B231-520)</f>
        <v/>
      </c>
      <c r="C264" s="163" t="str">
        <f t="shared" si="28"/>
        <v/>
      </c>
      <c r="D264" s="163" t="str">
        <f t="shared" si="28"/>
        <v/>
      </c>
      <c r="E264" s="163" t="str">
        <f t="shared" si="28"/>
        <v/>
      </c>
      <c r="F264" s="163" t="str">
        <f t="shared" si="28"/>
        <v/>
      </c>
      <c r="G264" s="163" t="str">
        <f t="shared" si="28"/>
        <v/>
      </c>
      <c r="H264" s="163" t="str">
        <f t="shared" si="28"/>
        <v/>
      </c>
      <c r="I264" s="163" t="str">
        <f t="shared" si="28"/>
        <v/>
      </c>
      <c r="J264" s="163" t="str">
        <f t="shared" si="28"/>
        <v/>
      </c>
      <c r="K264" s="163" t="str">
        <f t="shared" si="28"/>
        <v/>
      </c>
      <c r="L264" s="163" t="str">
        <f t="shared" si="28"/>
        <v/>
      </c>
      <c r="M264" s="163" t="str">
        <f t="shared" si="28"/>
        <v/>
      </c>
      <c r="N264" s="163" t="str">
        <f t="shared" si="28"/>
        <v/>
      </c>
      <c r="O264" s="163" t="str">
        <f t="shared" si="28"/>
        <v/>
      </c>
      <c r="P264" s="163" t="str">
        <f t="shared" si="28"/>
        <v/>
      </c>
      <c r="Q264" s="163" t="str">
        <f t="shared" si="28"/>
        <v/>
      </c>
      <c r="R264" s="163" t="str">
        <f t="shared" si="28"/>
        <v/>
      </c>
      <c r="S264" s="163" t="str">
        <f t="shared" si="28"/>
        <v/>
      </c>
      <c r="T264" s="163" t="str">
        <f t="shared" si="28"/>
        <v/>
      </c>
      <c r="U264" s="163" t="str">
        <f t="shared" si="28"/>
        <v/>
      </c>
      <c r="V264" s="163" t="str">
        <f t="shared" si="28"/>
        <v/>
      </c>
      <c r="W264" s="163" t="str">
        <f t="shared" si="28"/>
        <v/>
      </c>
      <c r="X264" s="163" t="str">
        <f t="shared" si="28"/>
        <v/>
      </c>
      <c r="Y264" s="163" t="str">
        <f t="shared" si="28"/>
        <v/>
      </c>
      <c r="Z264" s="163" t="str">
        <f t="shared" si="28"/>
        <v/>
      </c>
      <c r="AA264" s="163" t="str">
        <f t="shared" si="28"/>
        <v/>
      </c>
      <c r="AB264" s="163" t="str">
        <f t="shared" si="28"/>
        <v/>
      </c>
      <c r="AC264" s="163" t="str">
        <f t="shared" si="28"/>
        <v/>
      </c>
      <c r="AD264" s="163" t="str">
        <f t="shared" si="28"/>
        <v/>
      </c>
      <c r="AE264" s="163" t="str">
        <f t="shared" si="28"/>
        <v/>
      </c>
      <c r="AF264" s="163" t="str">
        <f t="shared" si="28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29">IF(B232&lt;100,"",B232-620)</f>
        <v/>
      </c>
      <c r="C265" s="163" t="str">
        <f t="shared" si="29"/>
        <v/>
      </c>
      <c r="D265" s="163" t="str">
        <f t="shared" si="29"/>
        <v/>
      </c>
      <c r="E265" s="163" t="str">
        <f t="shared" si="29"/>
        <v/>
      </c>
      <c r="F265" s="163" t="str">
        <f t="shared" si="29"/>
        <v/>
      </c>
      <c r="G265" s="163" t="str">
        <f t="shared" si="29"/>
        <v/>
      </c>
      <c r="H265" s="163" t="str">
        <f t="shared" si="29"/>
        <v/>
      </c>
      <c r="I265" s="163" t="str">
        <f t="shared" si="29"/>
        <v/>
      </c>
      <c r="J265" s="163" t="str">
        <f t="shared" si="29"/>
        <v/>
      </c>
      <c r="K265" s="163" t="str">
        <f t="shared" si="29"/>
        <v/>
      </c>
      <c r="L265" s="163" t="str">
        <f t="shared" si="29"/>
        <v/>
      </c>
      <c r="M265" s="163" t="str">
        <f t="shared" si="29"/>
        <v/>
      </c>
      <c r="N265" s="163" t="str">
        <f t="shared" si="29"/>
        <v/>
      </c>
      <c r="O265" s="163" t="str">
        <f t="shared" si="29"/>
        <v/>
      </c>
      <c r="P265" s="163" t="str">
        <f t="shared" si="29"/>
        <v/>
      </c>
      <c r="Q265" s="163" t="str">
        <f t="shared" si="29"/>
        <v/>
      </c>
      <c r="R265" s="163" t="str">
        <f t="shared" si="29"/>
        <v/>
      </c>
      <c r="S265" s="163" t="str">
        <f t="shared" si="29"/>
        <v/>
      </c>
      <c r="T265" s="163" t="str">
        <f t="shared" si="29"/>
        <v/>
      </c>
      <c r="U265" s="163" t="str">
        <f t="shared" si="29"/>
        <v/>
      </c>
      <c r="V265" s="163" t="str">
        <f t="shared" si="29"/>
        <v/>
      </c>
      <c r="W265" s="163" t="str">
        <f t="shared" si="29"/>
        <v/>
      </c>
      <c r="X265" s="163" t="str">
        <f t="shared" si="29"/>
        <v/>
      </c>
      <c r="Y265" s="163" t="str">
        <f t="shared" si="29"/>
        <v/>
      </c>
      <c r="Z265" s="163" t="str">
        <f t="shared" si="29"/>
        <v/>
      </c>
      <c r="AA265" s="163" t="str">
        <f t="shared" si="29"/>
        <v/>
      </c>
      <c r="AB265" s="163" t="str">
        <f t="shared" si="29"/>
        <v/>
      </c>
      <c r="AC265" s="163" t="str">
        <f t="shared" si="29"/>
        <v/>
      </c>
      <c r="AD265" s="163" t="str">
        <f t="shared" si="29"/>
        <v/>
      </c>
      <c r="AE265" s="163" t="str">
        <f t="shared" si="29"/>
        <v/>
      </c>
      <c r="AF265" s="163" t="str">
        <f t="shared" si="29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0">IF(B233&lt;100,"",B233-330)</f>
        <v/>
      </c>
      <c r="C266" s="163" t="str">
        <f t="shared" si="30"/>
        <v/>
      </c>
      <c r="D266" s="163" t="str">
        <f t="shared" si="30"/>
        <v/>
      </c>
      <c r="E266" s="163" t="str">
        <f t="shared" si="30"/>
        <v/>
      </c>
      <c r="F266" s="163" t="str">
        <f t="shared" si="30"/>
        <v/>
      </c>
      <c r="G266" s="163" t="str">
        <f t="shared" si="30"/>
        <v/>
      </c>
      <c r="H266" s="163" t="str">
        <f t="shared" si="30"/>
        <v/>
      </c>
      <c r="I266" s="163" t="str">
        <f t="shared" si="30"/>
        <v/>
      </c>
      <c r="J266" s="163" t="str">
        <f t="shared" si="30"/>
        <v/>
      </c>
      <c r="K266" s="163" t="str">
        <f t="shared" si="30"/>
        <v/>
      </c>
      <c r="L266" s="163" t="str">
        <f t="shared" si="30"/>
        <v/>
      </c>
      <c r="M266" s="163" t="str">
        <f t="shared" si="30"/>
        <v/>
      </c>
      <c r="N266" s="163" t="str">
        <f t="shared" si="30"/>
        <v/>
      </c>
      <c r="O266" s="163" t="str">
        <f t="shared" si="30"/>
        <v/>
      </c>
      <c r="P266" s="163" t="str">
        <f t="shared" si="30"/>
        <v/>
      </c>
      <c r="Q266" s="163" t="str">
        <f t="shared" si="30"/>
        <v/>
      </c>
      <c r="R266" s="163" t="str">
        <f t="shared" si="30"/>
        <v/>
      </c>
      <c r="S266" s="163" t="str">
        <f t="shared" si="30"/>
        <v/>
      </c>
      <c r="T266" s="163" t="str">
        <f t="shared" si="30"/>
        <v/>
      </c>
      <c r="U266" s="163" t="str">
        <f t="shared" si="30"/>
        <v/>
      </c>
      <c r="V266" s="163" t="str">
        <f t="shared" si="30"/>
        <v/>
      </c>
      <c r="W266" s="163" t="str">
        <f t="shared" si="30"/>
        <v/>
      </c>
      <c r="X266" s="163" t="str">
        <f t="shared" si="30"/>
        <v/>
      </c>
      <c r="Y266" s="163" t="str">
        <f t="shared" si="30"/>
        <v/>
      </c>
      <c r="Z266" s="163" t="str">
        <f t="shared" si="30"/>
        <v/>
      </c>
      <c r="AA266" s="163" t="str">
        <f t="shared" si="30"/>
        <v/>
      </c>
      <c r="AB266" s="163" t="str">
        <f t="shared" si="30"/>
        <v/>
      </c>
      <c r="AC266" s="163" t="str">
        <f t="shared" si="30"/>
        <v/>
      </c>
      <c r="AD266" s="163" t="str">
        <f t="shared" si="30"/>
        <v/>
      </c>
      <c r="AE266" s="163" t="str">
        <f t="shared" si="30"/>
        <v/>
      </c>
      <c r="AF266" s="163" t="str">
        <f t="shared" si="30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1">IF(B234&lt;100,"",B234-1500)</f>
        <v/>
      </c>
      <c r="C267" s="163" t="str">
        <f t="shared" si="31"/>
        <v/>
      </c>
      <c r="D267" s="163" t="str">
        <f t="shared" si="31"/>
        <v/>
      </c>
      <c r="E267" s="163" t="str">
        <f t="shared" si="31"/>
        <v/>
      </c>
      <c r="F267" s="163" t="str">
        <f t="shared" si="31"/>
        <v/>
      </c>
      <c r="G267" s="163" t="str">
        <f t="shared" si="31"/>
        <v/>
      </c>
      <c r="H267" s="163" t="str">
        <f t="shared" si="31"/>
        <v/>
      </c>
      <c r="I267" s="163" t="str">
        <f t="shared" si="31"/>
        <v/>
      </c>
      <c r="J267" s="163" t="str">
        <f t="shared" si="31"/>
        <v/>
      </c>
      <c r="K267" s="163" t="str">
        <f t="shared" si="31"/>
        <v/>
      </c>
      <c r="L267" s="163" t="str">
        <f t="shared" si="31"/>
        <v/>
      </c>
      <c r="M267" s="163" t="str">
        <f t="shared" si="31"/>
        <v/>
      </c>
      <c r="N267" s="163" t="str">
        <f t="shared" si="31"/>
        <v/>
      </c>
      <c r="O267" s="163" t="str">
        <f t="shared" si="31"/>
        <v/>
      </c>
      <c r="P267" s="163" t="str">
        <f t="shared" si="31"/>
        <v/>
      </c>
      <c r="Q267" s="163" t="str">
        <f t="shared" si="31"/>
        <v/>
      </c>
      <c r="R267" s="163" t="str">
        <f t="shared" si="31"/>
        <v/>
      </c>
      <c r="S267" s="163" t="str">
        <f t="shared" si="31"/>
        <v/>
      </c>
      <c r="T267" s="163" t="str">
        <f t="shared" si="31"/>
        <v/>
      </c>
      <c r="U267" s="163" t="str">
        <f t="shared" si="31"/>
        <v/>
      </c>
      <c r="V267" s="163" t="str">
        <f t="shared" si="31"/>
        <v/>
      </c>
      <c r="W267" s="163" t="str">
        <f t="shared" si="31"/>
        <v/>
      </c>
      <c r="X267" s="163" t="str">
        <f t="shared" si="31"/>
        <v/>
      </c>
      <c r="Y267" s="163" t="str">
        <f t="shared" si="31"/>
        <v/>
      </c>
      <c r="Z267" s="163" t="str">
        <f t="shared" si="31"/>
        <v/>
      </c>
      <c r="AA267" s="163" t="str">
        <f t="shared" si="31"/>
        <v/>
      </c>
      <c r="AB267" s="163" t="str">
        <f t="shared" si="31"/>
        <v/>
      </c>
      <c r="AC267" s="163" t="str">
        <f t="shared" si="31"/>
        <v/>
      </c>
      <c r="AD267" s="163" t="str">
        <f t="shared" si="31"/>
        <v/>
      </c>
      <c r="AE267" s="163" t="str">
        <f t="shared" si="31"/>
        <v/>
      </c>
      <c r="AF267" s="163" t="str">
        <f t="shared" si="31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107:AF112 C105:AF105 X11:AF11 B15:AF15 B22:AF26 B17:AF18">
    <cfRule type="expression" dxfId="2107" priority="239">
      <formula>B$9&gt;=20/24</formula>
    </cfRule>
    <cfRule type="expression" dxfId="2106" priority="240">
      <formula>AND(B$9&gt;=14/24,B$9&lt;20/24)</formula>
    </cfRule>
    <cfRule type="expression" dxfId="2105" priority="241">
      <formula>AND(B$9&gt;=8/24,B$9&lt;14/24)</formula>
    </cfRule>
    <cfRule type="expression" dxfId="2104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2103" priority="234">
      <formula>S$9&gt;=20/24</formula>
    </cfRule>
    <cfRule type="expression" dxfId="2102" priority="235">
      <formula>AND(S$9&gt;=14/24,S$9&lt;20/24)</formula>
    </cfRule>
    <cfRule type="expression" dxfId="2101" priority="236">
      <formula>AND(S$9&gt;=8/24,S$9&lt;14/24)</formula>
    </cfRule>
    <cfRule type="expression" dxfId="2100" priority="237">
      <formula>S$9&lt;8/24</formula>
    </cfRule>
  </conditionalFormatting>
  <conditionalFormatting sqref="AG61 B12:W18 S43:AF43 X11:AF18 B41:AF41 B20:AF20 B22:AF26">
    <cfRule type="expression" dxfId="2099" priority="233">
      <formula>B11&gt;$AG11</formula>
    </cfRule>
  </conditionalFormatting>
  <conditionalFormatting sqref="A95:A105 A55:A82 A91:A93 A198:A228 A42:A53 A114:A185 A38:A39 A87:A89 A84:A85 A107:A109 A35:A36 A17:A18 A11:A15 A20:A33">
    <cfRule type="expression" dxfId="2098" priority="232">
      <formula>$AH11=0</formula>
    </cfRule>
  </conditionalFormatting>
  <conditionalFormatting sqref="A110">
    <cfRule type="expression" dxfId="2097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096" priority="229">
      <formula>$AH41=0</formula>
    </cfRule>
  </conditionalFormatting>
  <conditionalFormatting sqref="A94">
    <cfRule type="expression" dxfId="2095" priority="228">
      <formula>$AH94=0</formula>
    </cfRule>
  </conditionalFormatting>
  <conditionalFormatting sqref="A16">
    <cfRule type="expression" dxfId="2094" priority="227">
      <formula>$AH16=0</formula>
    </cfRule>
  </conditionalFormatting>
  <conditionalFormatting sqref="A192:A197">
    <cfRule type="expression" dxfId="2093" priority="226">
      <formula>$AH192=0</formula>
    </cfRule>
  </conditionalFormatting>
  <conditionalFormatting sqref="A186:A191">
    <cfRule type="expression" dxfId="2092" priority="225">
      <formula>$AH186=0</formula>
    </cfRule>
  </conditionalFormatting>
  <conditionalFormatting sqref="A54">
    <cfRule type="expression" dxfId="2091" priority="224">
      <formula>$AH54=0</formula>
    </cfRule>
  </conditionalFormatting>
  <conditionalFormatting sqref="A90">
    <cfRule type="expression" dxfId="2090" priority="223">
      <formula>$AH90=0</formula>
    </cfRule>
  </conditionalFormatting>
  <conditionalFormatting sqref="C95:AF95">
    <cfRule type="expression" dxfId="2089" priority="219">
      <formula>C$9&gt;=20/24</formula>
    </cfRule>
    <cfRule type="expression" dxfId="2088" priority="220">
      <formula>AND(C$9&gt;=14/24,C$9&lt;20/24)</formula>
    </cfRule>
    <cfRule type="expression" dxfId="2087" priority="221">
      <formula>AND(C$9&gt;=8/24,C$9&lt;14/24)</formula>
    </cfRule>
    <cfRule type="expression" dxfId="2086" priority="222">
      <formula>C$9&lt;8/24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085" priority="245">
      <formula>C$9&gt;=20/24</formula>
    </cfRule>
    <cfRule type="expression" dxfId="2084" priority="246">
      <formula>AND(C$9&gt;=14/24,C$9&lt;20/24)</formula>
    </cfRule>
    <cfRule type="expression" dxfId="2083" priority="247">
      <formula>AND(C$9&gt;=8/24,C$9&lt;14/24)</formula>
    </cfRule>
    <cfRule type="expression" dxfId="2082" priority="248">
      <formula>C$9&lt;8/24</formula>
    </cfRule>
  </conditionalFormatting>
  <conditionalFormatting sqref="A229">
    <cfRule type="expression" dxfId="2081" priority="249">
      <formula>$AH229=0</formula>
    </cfRule>
  </conditionalFormatting>
  <conditionalFormatting sqref="AG241">
    <cfRule type="expression" dxfId="2080" priority="250">
      <formula>B$9&gt;=20/24</formula>
    </cfRule>
    <cfRule type="expression" dxfId="2079" priority="251">
      <formula>AND(B$9&gt;=14/24,B$9&lt;20/24)</formula>
    </cfRule>
    <cfRule type="expression" dxfId="2078" priority="252">
      <formula>AND(B$9&gt;=8/24,B$9&lt;14/24)</formula>
    </cfRule>
    <cfRule type="expression" dxfId="2077" priority="253">
      <formula>B$9&lt;8/24</formula>
    </cfRule>
  </conditionalFormatting>
  <conditionalFormatting sqref="S8">
    <cfRule type="expression" dxfId="2076" priority="214">
      <formula>U$9&gt;=20/24</formula>
    </cfRule>
    <cfRule type="expression" dxfId="2075" priority="215">
      <formula>AND(U$9&gt;=14/24,U$9&lt;20/24)</formula>
    </cfRule>
    <cfRule type="expression" dxfId="2074" priority="216">
      <formula>AND(U$9&gt;=8/24,U$9&lt;14/24)</formula>
    </cfRule>
    <cfRule type="expression" dxfId="2073" priority="217">
      <formula>U$9&lt;8/24</formula>
    </cfRule>
  </conditionalFormatting>
  <conditionalFormatting sqref="AB8">
    <cfRule type="expression" dxfId="2072" priority="210">
      <formula>AD$9&gt;=20/24</formula>
    </cfRule>
    <cfRule type="expression" dxfId="2071" priority="211">
      <formula>AND(AD$9&gt;=14/24,AD$9&lt;20/24)</formula>
    </cfRule>
    <cfRule type="expression" dxfId="2070" priority="212">
      <formula>AND(AD$9&gt;=8/24,AD$9&lt;14/24)</formula>
    </cfRule>
    <cfRule type="expression" dxfId="2069" priority="213">
      <formula>AD$9&lt;8/24</formula>
    </cfRule>
  </conditionalFormatting>
  <conditionalFormatting sqref="AH241:AX241">
    <cfRule type="expression" dxfId="2068" priority="254">
      <formula>AG$9&gt;=20/24</formula>
    </cfRule>
    <cfRule type="expression" dxfId="2067" priority="255">
      <formula>AND(AG$9&gt;=14/24,AG$9&lt;20/24)</formula>
    </cfRule>
    <cfRule type="expression" dxfId="2066" priority="256">
      <formula>AND(AG$9&gt;=8/24,AG$9&lt;14/24)</formula>
    </cfRule>
    <cfRule type="expression" dxfId="2065" priority="257">
      <formula>AG$9&lt;8/24</formula>
    </cfRule>
  </conditionalFormatting>
  <conditionalFormatting sqref="T241">
    <cfRule type="expression" dxfId="2064" priority="258">
      <formula>AX$9&gt;=20/24</formula>
    </cfRule>
    <cfRule type="expression" dxfId="2063" priority="259">
      <formula>AND(AX$9&gt;=14/24,AX$9&lt;20/24)</formula>
    </cfRule>
    <cfRule type="expression" dxfId="2062" priority="260">
      <formula>AND(AX$9&gt;=8/24,AX$9&lt;14/24)</formula>
    </cfRule>
    <cfRule type="expression" dxfId="2061" priority="261">
      <formula>AX$9&lt;8/24</formula>
    </cfRule>
  </conditionalFormatting>
  <conditionalFormatting sqref="A111:A112">
    <cfRule type="expression" dxfId="2060" priority="209">
      <formula>$AH111=0</formula>
    </cfRule>
  </conditionalFormatting>
  <conditionalFormatting sqref="M52:M53 E50:M51 N50:N53 T50:W51 E67:AF67 AA50:AF51">
    <cfRule type="expression" dxfId="2059" priority="205">
      <formula>E$9&gt;=20/24</formula>
    </cfRule>
    <cfRule type="expression" dxfId="2058" priority="206">
      <formula>AND(E$9&gt;=14/24,E$9&lt;20/24)</formula>
    </cfRule>
    <cfRule type="expression" dxfId="2057" priority="207">
      <formula>AND(E$9&gt;=8/24,E$9&lt;14/24)</formula>
    </cfRule>
    <cfRule type="expression" dxfId="2056" priority="208">
      <formula>E$9&lt;8/24</formula>
    </cfRule>
  </conditionalFormatting>
  <conditionalFormatting sqref="E49:L49 S49:W49 AA49:AF49">
    <cfRule type="expression" dxfId="2055" priority="201">
      <formula>E$9&gt;=20/24</formula>
    </cfRule>
    <cfRule type="expression" dxfId="2054" priority="202">
      <formula>AND(E$9&gt;=14/24,E$9&lt;20/24)</formula>
    </cfRule>
    <cfRule type="expression" dxfId="2053" priority="203">
      <formula>AND(E$9&gt;=8/24,E$9&lt;14/24)</formula>
    </cfRule>
    <cfRule type="expression" dxfId="2052" priority="204">
      <formula>E$9&lt;8/24</formula>
    </cfRule>
  </conditionalFormatting>
  <conditionalFormatting sqref="S49:V49 M52:M53 H49:L49 E49:G51 H50:M51 N50:N53 T50:V51 W49:W51 AA49:AF51">
    <cfRule type="expression" dxfId="2051" priority="200">
      <formula>E49&gt;$AG49</formula>
    </cfRule>
  </conditionalFormatting>
  <conditionalFormatting sqref="C92:AF92 L43:R43 E68:U69 C79:AF82 U70 V68:W70 S63:AF65 X28:AF31 X33:AF33 X12:AF14 X20:AF20 X35:AF38 D96:AF102 X68:AF77">
    <cfRule type="expression" dxfId="2050" priority="196">
      <formula>C$9&gt;=20/24</formula>
    </cfRule>
    <cfRule type="expression" dxfId="2049" priority="197">
      <formula>AND(C$9&gt;=14/24,C$9&lt;20/24)</formula>
    </cfRule>
    <cfRule type="expression" dxfId="2048" priority="198">
      <formula>AND(C$9&gt;=8/24,C$9&lt;14/24)</formula>
    </cfRule>
    <cfRule type="expression" dxfId="2047" priority="199">
      <formula>C$9&lt;8/24</formula>
    </cfRule>
  </conditionalFormatting>
  <conditionalFormatting sqref="X39:AF39">
    <cfRule type="expression" dxfId="2046" priority="192">
      <formula>X$9&gt;=20/24</formula>
    </cfRule>
    <cfRule type="expression" dxfId="2045" priority="193">
      <formula>AND(X$9&gt;=14/24,X$9&lt;20/24)</formula>
    </cfRule>
    <cfRule type="expression" dxfId="2044" priority="194">
      <formula>AND(X$9&gt;=8/24,X$9&lt;14/24)</formula>
    </cfRule>
    <cfRule type="expression" dxfId="2043" priority="195">
      <formula>X$9&lt;8/24</formula>
    </cfRule>
  </conditionalFormatting>
  <conditionalFormatting sqref="C61:AF61 L43:R43 E52:L52 S63:AF65 X28:AF33 X35:AF39">
    <cfRule type="expression" dxfId="2042" priority="191">
      <formula>C28&gt;$AG28</formula>
    </cfRule>
  </conditionalFormatting>
  <conditionalFormatting sqref="X41:AF41">
    <cfRule type="expression" dxfId="2041" priority="187">
      <formula>X$9&gt;=20/24</formula>
    </cfRule>
    <cfRule type="expression" dxfId="2040" priority="188">
      <formula>AND(X$9&gt;=14/24,X$9&lt;20/24)</formula>
    </cfRule>
    <cfRule type="expression" dxfId="2039" priority="189">
      <formula>AND(X$9&gt;=8/24,X$9&lt;14/24)</formula>
    </cfRule>
    <cfRule type="expression" dxfId="2038" priority="190">
      <formula>X$9&lt;8/24</formula>
    </cfRule>
  </conditionalFormatting>
  <conditionalFormatting sqref="X16:AF16">
    <cfRule type="expression" dxfId="2037" priority="183">
      <formula>X$9&gt;=20/24</formula>
    </cfRule>
    <cfRule type="expression" dxfId="2036" priority="184">
      <formula>AND(X$9&gt;=14/24,X$9&lt;20/24)</formula>
    </cfRule>
    <cfRule type="expression" dxfId="2035" priority="185">
      <formula>AND(X$9&gt;=8/24,X$9&lt;14/24)</formula>
    </cfRule>
    <cfRule type="expression" dxfId="2034" priority="186">
      <formula>X$9&lt;8/24</formula>
    </cfRule>
  </conditionalFormatting>
  <conditionalFormatting sqref="X40:AF40">
    <cfRule type="expression" dxfId="2033" priority="179">
      <formula>X$9&gt;=20/24</formula>
    </cfRule>
    <cfRule type="expression" dxfId="2032" priority="180">
      <formula>AND(X$9&gt;=14/24,X$9&lt;20/24)</formula>
    </cfRule>
    <cfRule type="expression" dxfId="2031" priority="181">
      <formula>AND(X$9&gt;=8/24,X$9&lt;14/24)</formula>
    </cfRule>
    <cfRule type="expression" dxfId="2030" priority="182">
      <formula>X$9&lt;8/24</formula>
    </cfRule>
  </conditionalFormatting>
  <conditionalFormatting sqref="X40:AF40">
    <cfRule type="expression" dxfId="2029" priority="178">
      <formula>X40&gt;$AG40</formula>
    </cfRule>
  </conditionalFormatting>
  <conditionalFormatting sqref="V52:AF53">
    <cfRule type="expression" dxfId="2028" priority="174">
      <formula>V$9&gt;=20/24</formula>
    </cfRule>
    <cfRule type="expression" dxfId="2027" priority="175">
      <formula>AND(V$9&gt;=14/24,V$9&lt;20/24)</formula>
    </cfRule>
    <cfRule type="expression" dxfId="2026" priority="176">
      <formula>AND(V$9&gt;=8/24,V$9&lt;14/24)</formula>
    </cfRule>
    <cfRule type="expression" dxfId="2025" priority="177">
      <formula>V$9&lt;8/24</formula>
    </cfRule>
  </conditionalFormatting>
  <conditionalFormatting sqref="V52:AF53">
    <cfRule type="expression" dxfId="2024" priority="173">
      <formula>V52&gt;$AG52</formula>
    </cfRule>
  </conditionalFormatting>
  <conditionalFormatting sqref="R54 M49:N49 O49:R53 S50:S54 T52:U54 V54:W54 X54:AF55">
    <cfRule type="expression" dxfId="2023" priority="169">
      <formula>M$9&gt;=20/24</formula>
    </cfRule>
    <cfRule type="expression" dxfId="2022" priority="170">
      <formula>AND(M$9&gt;=14/24,M$9&lt;20/24)</formula>
    </cfRule>
    <cfRule type="expression" dxfId="2021" priority="171">
      <formula>AND(M$9&gt;=8/24,M$9&lt;14/24)</formula>
    </cfRule>
    <cfRule type="expression" dxfId="2020" priority="172">
      <formula>M$9&lt;8/24</formula>
    </cfRule>
  </conditionalFormatting>
  <conditionalFormatting sqref="R54 M49:N49 O49:R53 S50:S54 T52:U54 V54:W54 X54:AF55">
    <cfRule type="expression" dxfId="2019" priority="168">
      <formula>M49&gt;$AG49</formula>
    </cfRule>
  </conditionalFormatting>
  <conditionalFormatting sqref="X32:AF32">
    <cfRule type="expression" dxfId="2018" priority="164">
      <formula>X$9&gt;=20/24</formula>
    </cfRule>
    <cfRule type="expression" dxfId="2017" priority="165">
      <formula>AND(X$9&gt;=14/24,X$9&lt;20/24)</formula>
    </cfRule>
    <cfRule type="expression" dxfId="2016" priority="166">
      <formula>AND(X$9&gt;=8/24,X$9&lt;14/24)</formula>
    </cfRule>
    <cfRule type="expression" dxfId="2015" priority="167">
      <formula>X$9&lt;8/24</formula>
    </cfRule>
  </conditionalFormatting>
  <conditionalFormatting sqref="X21:AF21 X27:AF27">
    <cfRule type="expression" dxfId="2014" priority="160">
      <formula>X$9&gt;=20/24</formula>
    </cfRule>
    <cfRule type="expression" dxfId="2013" priority="161">
      <formula>AND(X$9&gt;=14/24,X$9&lt;20/24)</formula>
    </cfRule>
    <cfRule type="expression" dxfId="2012" priority="162">
      <formula>AND(X$9&gt;=8/24,X$9&lt;14/24)</formula>
    </cfRule>
    <cfRule type="expression" dxfId="2011" priority="163">
      <formula>X$9&lt;8/24</formula>
    </cfRule>
  </conditionalFormatting>
  <conditionalFormatting sqref="X21:AF21 X27:AF27">
    <cfRule type="expression" dxfId="2010" priority="159">
      <formula>X21&gt;$AG21</formula>
    </cfRule>
  </conditionalFormatting>
  <conditionalFormatting sqref="X50:Z51">
    <cfRule type="expression" dxfId="2009" priority="150">
      <formula>X$9&gt;=20/24</formula>
    </cfRule>
    <cfRule type="expression" dxfId="2008" priority="151">
      <formula>AND(X$9&gt;=14/24,X$9&lt;20/24)</formula>
    </cfRule>
    <cfRule type="expression" dxfId="2007" priority="152">
      <formula>AND(X$9&gt;=8/24,X$9&lt;14/24)</formula>
    </cfRule>
    <cfRule type="expression" dxfId="2006" priority="153">
      <formula>X$9&lt;8/24</formula>
    </cfRule>
  </conditionalFormatting>
  <conditionalFormatting sqref="X49:Z49">
    <cfRule type="expression" dxfId="2005" priority="146">
      <formula>X$9&gt;=20/24</formula>
    </cfRule>
    <cfRule type="expression" dxfId="2004" priority="147">
      <formula>AND(X$9&gt;=14/24,X$9&lt;20/24)</formula>
    </cfRule>
    <cfRule type="expression" dxfId="2003" priority="148">
      <formula>AND(X$9&gt;=8/24,X$9&lt;14/24)</formula>
    </cfRule>
    <cfRule type="expression" dxfId="2002" priority="149">
      <formula>X$9&lt;8/24</formula>
    </cfRule>
  </conditionalFormatting>
  <conditionalFormatting sqref="X49:Z51">
    <cfRule type="expression" dxfId="2001" priority="145">
      <formula>X49&gt;$AG49</formula>
    </cfRule>
  </conditionalFormatting>
  <conditionalFormatting sqref="B105 B84:AF84 B107:B112 B11:W11 B93:AF93">
    <cfRule type="expression" dxfId="2000" priority="141">
      <formula>B$9&gt;=20/24</formula>
    </cfRule>
    <cfRule type="expression" dxfId="1999" priority="142">
      <formula>AND(B$9&gt;=14/24,B$9&lt;20/24)</formula>
    </cfRule>
    <cfRule type="expression" dxfId="1998" priority="143">
      <formula>AND(B$9&gt;=8/24,B$9&lt;14/24)</formula>
    </cfRule>
    <cfRule type="expression" dxfId="1997" priority="144">
      <formula>B$9&lt;8/24</formula>
    </cfRule>
  </conditionalFormatting>
  <conditionalFormatting sqref="B43:K43">
    <cfRule type="expression" dxfId="1996" priority="137">
      <formula>B$9&gt;=20/24</formula>
    </cfRule>
    <cfRule type="expression" dxfId="1995" priority="138">
      <formula>AND(B$9&gt;=14/24,B$9&lt;20/24)</formula>
    </cfRule>
    <cfRule type="expression" dxfId="1994" priority="139">
      <formula>AND(B$9&gt;=8/24,B$9&lt;14/24)</formula>
    </cfRule>
    <cfRule type="expression" dxfId="1993" priority="140">
      <formula>B$9&lt;8/24</formula>
    </cfRule>
  </conditionalFormatting>
  <conditionalFormatting sqref="B43:K43 B11:W11">
    <cfRule type="expression" dxfId="1992" priority="136">
      <formula>B11&gt;$AG11</formula>
    </cfRule>
  </conditionalFormatting>
  <conditionalFormatting sqref="B95">
    <cfRule type="expression" dxfId="1991" priority="132">
      <formula>B$9&gt;=20/24</formula>
    </cfRule>
    <cfRule type="expression" dxfId="1990" priority="133">
      <formula>AND(B$9&gt;=14/24,B$9&lt;20/24)</formula>
    </cfRule>
    <cfRule type="expression" dxfId="1989" priority="134">
      <formula>AND(B$9&gt;=8/24,B$9&lt;14/24)</formula>
    </cfRule>
    <cfRule type="expression" dxfId="1988" priority="135">
      <formula>B$9&lt;8/24</formula>
    </cfRule>
  </conditionalFormatting>
  <conditionalFormatting sqref="B50:D51 B67:D67 B42:AF42">
    <cfRule type="expression" dxfId="1987" priority="128">
      <formula>B$9&gt;=20/24</formula>
    </cfRule>
    <cfRule type="expression" dxfId="1986" priority="129">
      <formula>AND(B$9&gt;=14/24,B$9&lt;20/24)</formula>
    </cfRule>
    <cfRule type="expression" dxfId="1985" priority="130">
      <formula>AND(B$9&gt;=8/24,B$9&lt;14/24)</formula>
    </cfRule>
    <cfRule type="expression" dxfId="1984" priority="131">
      <formula>B$9&lt;8/24</formula>
    </cfRule>
  </conditionalFormatting>
  <conditionalFormatting sqref="B49:D49">
    <cfRule type="expression" dxfId="1983" priority="124">
      <formula>B$9&gt;=20/24</formula>
    </cfRule>
    <cfRule type="expression" dxfId="1982" priority="125">
      <formula>AND(B$9&gt;=14/24,B$9&lt;20/24)</formula>
    </cfRule>
    <cfRule type="expression" dxfId="1981" priority="126">
      <formula>AND(B$9&gt;=8/24,B$9&lt;14/24)</formula>
    </cfRule>
    <cfRule type="expression" dxfId="1980" priority="127">
      <formula>B$9&lt;8/24</formula>
    </cfRule>
  </conditionalFormatting>
  <conditionalFormatting sqref="B49:D51 B42:AF42">
    <cfRule type="expression" dxfId="1979" priority="123">
      <formula>B42&gt;$AG42</formula>
    </cfRule>
  </conditionalFormatting>
  <conditionalFormatting sqref="B63:B66 B79:B83 B92 C66:AG66 B96:C102 B68:D77 C63:R65 E70:T77 B12:W14 B20:W20 B28:W31 B33:W33 B35:W38 U71:W77 C83:AG83 B85:AF85 B94:AF94">
    <cfRule type="expression" dxfId="1978" priority="119">
      <formula>B$9&gt;=20/24</formula>
    </cfRule>
    <cfRule type="expression" dxfId="1977" priority="120">
      <formula>AND(B$9&gt;=14/24,B$9&lt;20/24)</formula>
    </cfRule>
    <cfRule type="expression" dxfId="1976" priority="121">
      <formula>AND(B$9&gt;=8/24,B$9&lt;14/24)</formula>
    </cfRule>
    <cfRule type="expression" dxfId="1975" priority="122">
      <formula>B$9&lt;8/24</formula>
    </cfRule>
  </conditionalFormatting>
  <conditionalFormatting sqref="B39:W39">
    <cfRule type="expression" dxfId="1974" priority="115">
      <formula>B$9&gt;=20/24</formula>
    </cfRule>
    <cfRule type="expression" dxfId="1973" priority="116">
      <formula>AND(B$9&gt;=14/24,B$9&lt;20/24)</formula>
    </cfRule>
    <cfRule type="expression" dxfId="1972" priority="117">
      <formula>AND(B$9&gt;=8/24,B$9&lt;14/24)</formula>
    </cfRule>
    <cfRule type="expression" dxfId="1971" priority="118">
      <formula>B$9&lt;8/24</formula>
    </cfRule>
  </conditionalFormatting>
  <conditionalFormatting sqref="B61:B66 B44:AG44 C66:AG66 B52:D53 C63:R65 E53:L53 B28:W33 B35:W39 C62:AG62">
    <cfRule type="expression" dxfId="1970" priority="114">
      <formula>B28&gt;$AG28</formula>
    </cfRule>
  </conditionalFormatting>
  <conditionalFormatting sqref="B41:W41">
    <cfRule type="expression" dxfId="1969" priority="110">
      <formula>B$9&gt;=20/24</formula>
    </cfRule>
    <cfRule type="expression" dxfId="1968" priority="111">
      <formula>AND(B$9&gt;=14/24,B$9&lt;20/24)</formula>
    </cfRule>
    <cfRule type="expression" dxfId="1967" priority="112">
      <formula>AND(B$9&gt;=8/24,B$9&lt;14/24)</formula>
    </cfRule>
    <cfRule type="expression" dxfId="1966" priority="113">
      <formula>B$9&lt;8/24</formula>
    </cfRule>
  </conditionalFormatting>
  <conditionalFormatting sqref="B16:W16">
    <cfRule type="expression" dxfId="1965" priority="106">
      <formula>B$9&gt;=20/24</formula>
    </cfRule>
    <cfRule type="expression" dxfId="1964" priority="107">
      <formula>AND(B$9&gt;=14/24,B$9&lt;20/24)</formula>
    </cfRule>
    <cfRule type="expression" dxfId="1963" priority="108">
      <formula>AND(B$9&gt;=8/24,B$9&lt;14/24)</formula>
    </cfRule>
    <cfRule type="expression" dxfId="1962" priority="109">
      <formula>B$9&lt;8/24</formula>
    </cfRule>
  </conditionalFormatting>
  <conditionalFormatting sqref="B40:W40">
    <cfRule type="expression" dxfId="1961" priority="102">
      <formula>B$9&gt;=20/24</formula>
    </cfRule>
    <cfRule type="expression" dxfId="1960" priority="103">
      <formula>AND(B$9&gt;=14/24,B$9&lt;20/24)</formula>
    </cfRule>
    <cfRule type="expression" dxfId="1959" priority="104">
      <formula>AND(B$9&gt;=8/24,B$9&lt;14/24)</formula>
    </cfRule>
    <cfRule type="expression" dxfId="1958" priority="105">
      <formula>B$9&lt;8/24</formula>
    </cfRule>
  </conditionalFormatting>
  <conditionalFormatting sqref="B40:W40">
    <cfRule type="expression" dxfId="1957" priority="101">
      <formula>B40&gt;$AG40</formula>
    </cfRule>
  </conditionalFormatting>
  <conditionalFormatting sqref="B54:Q60 R55:W60">
    <cfRule type="expression" dxfId="1956" priority="97">
      <formula>B$9&gt;=20/24</formula>
    </cfRule>
    <cfRule type="expression" dxfId="1955" priority="98">
      <formula>AND(B$9&gt;=14/24,B$9&lt;20/24)</formula>
    </cfRule>
    <cfRule type="expression" dxfId="1954" priority="99">
      <formula>AND(B$9&gt;=8/24,B$9&lt;14/24)</formula>
    </cfRule>
    <cfRule type="expression" dxfId="1953" priority="100">
      <formula>B$9&lt;8/24</formula>
    </cfRule>
  </conditionalFormatting>
  <conditionalFormatting sqref="B54:Q60 R55:W60">
    <cfRule type="expression" dxfId="1952" priority="96">
      <formula>B54&gt;$AG54</formula>
    </cfRule>
  </conditionalFormatting>
  <conditionalFormatting sqref="B32:W32">
    <cfRule type="expression" dxfId="1951" priority="92">
      <formula>B$9&gt;=20/24</formula>
    </cfRule>
    <cfRule type="expression" dxfId="1950" priority="93">
      <formula>AND(B$9&gt;=14/24,B$9&lt;20/24)</formula>
    </cfRule>
    <cfRule type="expression" dxfId="1949" priority="94">
      <formula>AND(B$9&gt;=8/24,B$9&lt;14/24)</formula>
    </cfRule>
    <cfRule type="expression" dxfId="1948" priority="95">
      <formula>B$9&lt;8/24</formula>
    </cfRule>
  </conditionalFormatting>
  <conditionalFormatting sqref="B21:W21 B27:W27">
    <cfRule type="expression" dxfId="1947" priority="88">
      <formula>B$9&gt;=20/24</formula>
    </cfRule>
    <cfRule type="expression" dxfId="1946" priority="89">
      <formula>AND(B$9&gt;=14/24,B$9&lt;20/24)</formula>
    </cfRule>
    <cfRule type="expression" dxfId="1945" priority="90">
      <formula>AND(B$9&gt;=8/24,B$9&lt;14/24)</formula>
    </cfRule>
    <cfRule type="expression" dxfId="1944" priority="91">
      <formula>B$9&lt;8/24</formula>
    </cfRule>
  </conditionalFormatting>
  <conditionalFormatting sqref="B21:W21 B27:W27">
    <cfRule type="expression" dxfId="1943" priority="87">
      <formula>B21&gt;$AG21</formula>
    </cfRule>
  </conditionalFormatting>
  <conditionalFormatting sqref="A40">
    <cfRule type="expression" dxfId="1942" priority="86">
      <formula>$AH40=0</formula>
    </cfRule>
  </conditionalFormatting>
  <conditionalFormatting sqref="B78:AF78">
    <cfRule type="expression" dxfId="1941" priority="82">
      <formula>B$9&gt;=20/24</formula>
    </cfRule>
    <cfRule type="expression" dxfId="1940" priority="83">
      <formula>AND(B$9&gt;=14/24,B$9&lt;20/24)</formula>
    </cfRule>
    <cfRule type="expression" dxfId="1939" priority="84">
      <formula>AND(B$9&gt;=8/24,B$9&lt;14/24)</formula>
    </cfRule>
    <cfRule type="expression" dxfId="1938" priority="85">
      <formula>B$9&lt;8/24</formula>
    </cfRule>
  </conditionalFormatting>
  <conditionalFormatting sqref="B87:AF91">
    <cfRule type="expression" dxfId="1937" priority="78">
      <formula>B$9&gt;=20/24</formula>
    </cfRule>
    <cfRule type="expression" dxfId="1936" priority="79">
      <formula>AND(B$9&gt;=14/24,B$9&lt;20/24)</formula>
    </cfRule>
    <cfRule type="expression" dxfId="1935" priority="80">
      <formula>AND(B$9&gt;=8/24,B$9&lt;14/24)</formula>
    </cfRule>
    <cfRule type="expression" dxfId="1934" priority="81">
      <formula>B$9&lt;8/24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1933" priority="74">
      <formula>C$9&gt;=20/24</formula>
    </cfRule>
    <cfRule type="expression" dxfId="1932" priority="75">
      <formula>AND(C$9&gt;=14/24,C$9&lt;20/24)</formula>
    </cfRule>
    <cfRule type="expression" dxfId="1931" priority="76">
      <formula>AND(C$9&gt;=8/24,C$9&lt;14/24)</formula>
    </cfRule>
    <cfRule type="expression" dxfId="1930" priority="77">
      <formula>C$9&lt;8/24</formula>
    </cfRule>
  </conditionalFormatting>
  <conditionalFormatting sqref="C45:AF47">
    <cfRule type="expression" dxfId="1929" priority="73">
      <formula>C45&gt;$AG45</formula>
    </cfRule>
  </conditionalFormatting>
  <conditionalFormatting sqref="B45:B48 C48:AG48">
    <cfRule type="expression" dxfId="1928" priority="69">
      <formula>B$9&gt;=20/24</formula>
    </cfRule>
    <cfRule type="expression" dxfId="1927" priority="70">
      <formula>AND(B$9&gt;=14/24,B$9&lt;20/24)</formula>
    </cfRule>
    <cfRule type="expression" dxfId="1926" priority="71">
      <formula>AND(B$9&gt;=8/24,B$9&lt;14/24)</formula>
    </cfRule>
    <cfRule type="expression" dxfId="1925" priority="72">
      <formula>B$9&lt;8/24</formula>
    </cfRule>
  </conditionalFormatting>
  <conditionalFormatting sqref="B45:B48 C48:AG48">
    <cfRule type="expression" dxfId="1924" priority="68">
      <formula>B45&gt;$AG45</formula>
    </cfRule>
  </conditionalFormatting>
  <conditionalFormatting sqref="C103:AF103">
    <cfRule type="expression" dxfId="1923" priority="64">
      <formula>C$9&gt;=20/24</formula>
    </cfRule>
    <cfRule type="expression" dxfId="1922" priority="65">
      <formula>AND(C$9&gt;=14/24,C$9&lt;20/24)</formula>
    </cfRule>
    <cfRule type="expression" dxfId="1921" priority="66">
      <formula>AND(C$9&gt;=8/24,C$9&lt;14/24)</formula>
    </cfRule>
    <cfRule type="expression" dxfId="1920" priority="67">
      <formula>C$9&lt;8/24</formula>
    </cfRule>
  </conditionalFormatting>
  <conditionalFormatting sqref="B103">
    <cfRule type="expression" dxfId="1919" priority="60">
      <formula>B$9&gt;=20/24</formula>
    </cfRule>
    <cfRule type="expression" dxfId="1918" priority="61">
      <formula>AND(B$9&gt;=14/24,B$9&lt;20/24)</formula>
    </cfRule>
    <cfRule type="expression" dxfId="1917" priority="62">
      <formula>AND(B$9&gt;=8/24,B$9&lt;14/24)</formula>
    </cfRule>
    <cfRule type="expression" dxfId="1916" priority="63">
      <formula>B$9&lt;8/24</formula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915" priority="54">
      <formula>$AH37=0</formula>
    </cfRule>
  </conditionalFormatting>
  <conditionalFormatting sqref="A86">
    <cfRule type="expression" dxfId="1914" priority="52">
      <formula>$AH86=0</formula>
    </cfRule>
  </conditionalFormatting>
  <conditionalFormatting sqref="A83">
    <cfRule type="expression" dxfId="1913" priority="53">
      <formula>$AH83=0</formula>
    </cfRule>
  </conditionalFormatting>
  <conditionalFormatting sqref="A113">
    <cfRule type="expression" dxfId="1912" priority="43">
      <formula>$AH113=0</formula>
    </cfRule>
  </conditionalFormatting>
  <conditionalFormatting sqref="C106:AF106">
    <cfRule type="expression" dxfId="1911" priority="39">
      <formula>C$9&gt;=20/24</formula>
    </cfRule>
    <cfRule type="expression" dxfId="1910" priority="40">
      <formula>AND(C$9&gt;=14/24,C$9&lt;20/24)</formula>
    </cfRule>
    <cfRule type="expression" dxfId="1909" priority="41">
      <formula>AND(C$9&gt;=8/24,C$9&lt;14/24)</formula>
    </cfRule>
    <cfRule type="expression" dxfId="1908" priority="42">
      <formula>C$9&lt;8/24</formula>
    </cfRule>
  </conditionalFormatting>
  <conditionalFormatting sqref="A106">
    <cfRule type="expression" dxfId="1907" priority="38">
      <formula>$AH106=0</formula>
    </cfRule>
  </conditionalFormatting>
  <conditionalFormatting sqref="B106">
    <cfRule type="expression" dxfId="1906" priority="34">
      <formula>B$9&gt;=20/24</formula>
    </cfRule>
    <cfRule type="expression" dxfId="1905" priority="35">
      <formula>AND(B$9&gt;=14/24,B$9&lt;20/24)</formula>
    </cfRule>
    <cfRule type="expression" dxfId="1904" priority="36">
      <formula>AND(B$9&gt;=8/24,B$9&lt;14/24)</formula>
    </cfRule>
    <cfRule type="expression" dxfId="1903" priority="37">
      <formula>B$9&lt;8/24</formula>
    </cfRule>
  </conditionalFormatting>
  <conditionalFormatting sqref="X56:AF60">
    <cfRule type="expression" dxfId="1902" priority="30">
      <formula>X$9&gt;=20/24</formula>
    </cfRule>
    <cfRule type="expression" dxfId="1901" priority="31">
      <formula>AND(X$9&gt;=14/24,X$9&lt;20/24)</formula>
    </cfRule>
    <cfRule type="expression" dxfId="1900" priority="32">
      <formula>AND(X$9&gt;=8/24,X$9&lt;14/24)</formula>
    </cfRule>
    <cfRule type="expression" dxfId="1899" priority="33">
      <formula>X$9&lt;8/24</formula>
    </cfRule>
  </conditionalFormatting>
  <conditionalFormatting sqref="X56:AF60">
    <cfRule type="expression" dxfId="1898" priority="29">
      <formula>X56&gt;$AG56</formula>
    </cfRule>
  </conditionalFormatting>
  <conditionalFormatting sqref="B19:AF19">
    <cfRule type="expression" dxfId="1897" priority="27">
      <formula>B19&gt;$AG19</formula>
    </cfRule>
  </conditionalFormatting>
  <conditionalFormatting sqref="A19">
    <cfRule type="expression" dxfId="1896" priority="26">
      <formula>$AH19=0</formula>
    </cfRule>
  </conditionalFormatting>
  <conditionalFormatting sqref="X19:AF19">
    <cfRule type="expression" dxfId="1895" priority="22">
      <formula>X$9&gt;=20/24</formula>
    </cfRule>
    <cfRule type="expression" dxfId="1894" priority="23">
      <formula>AND(X$9&gt;=14/24,X$9&lt;20/24)</formula>
    </cfRule>
    <cfRule type="expression" dxfId="1893" priority="24">
      <formula>AND(X$9&gt;=8/24,X$9&lt;14/24)</formula>
    </cfRule>
    <cfRule type="expression" dxfId="1892" priority="25">
      <formula>X$9&lt;8/24</formula>
    </cfRule>
  </conditionalFormatting>
  <conditionalFormatting sqref="B19:W19">
    <cfRule type="expression" dxfId="1891" priority="18">
      <formula>B$9&gt;=20/24</formula>
    </cfRule>
    <cfRule type="expression" dxfId="1890" priority="19">
      <formula>AND(B$9&gt;=14/24,B$9&lt;20/24)</formula>
    </cfRule>
    <cfRule type="expression" dxfId="1889" priority="20">
      <formula>AND(B$9&gt;=8/24,B$9&lt;14/24)</formula>
    </cfRule>
    <cfRule type="expression" dxfId="1888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887" priority="16">
      <formula>$AH34=0</formula>
    </cfRule>
  </conditionalFormatting>
  <conditionalFormatting sqref="X34:AF34">
    <cfRule type="expression" dxfId="1886" priority="12">
      <formula>X$9&gt;=20/24</formula>
    </cfRule>
    <cfRule type="expression" dxfId="1885" priority="13">
      <formula>AND(X$9&gt;=14/24,X$9&lt;20/24)</formula>
    </cfRule>
    <cfRule type="expression" dxfId="1884" priority="14">
      <formula>AND(X$9&gt;=8/24,X$9&lt;14/24)</formula>
    </cfRule>
    <cfRule type="expression" dxfId="1883" priority="15">
      <formula>X$9&lt;8/24</formula>
    </cfRule>
  </conditionalFormatting>
  <conditionalFormatting sqref="X34:AF34">
    <cfRule type="expression" dxfId="1882" priority="11">
      <formula>X34&gt;$AG34</formula>
    </cfRule>
  </conditionalFormatting>
  <conditionalFormatting sqref="B34:W34">
    <cfRule type="expression" dxfId="1881" priority="2">
      <formula>B$9&gt;=20/24</formula>
    </cfRule>
    <cfRule type="expression" dxfId="1880" priority="3">
      <formula>AND(B$9&gt;=14/24,B$9&lt;20/24)</formula>
    </cfRule>
    <cfRule type="expression" dxfId="1879" priority="4">
      <formula>AND(B$9&gt;=8/24,B$9&lt;14/24)</formula>
    </cfRule>
    <cfRule type="expression" dxfId="1878" priority="5">
      <formula>B$9&lt;8/24</formula>
    </cfRule>
  </conditionalFormatting>
  <conditionalFormatting sqref="B34:W34">
    <cfRule type="expression" dxfId="1877" priority="1">
      <formula>B34&gt;$AG34</formula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F305EBD1-346F-41D6-93A2-0DB5C679929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CA4F11AF-B5E2-478C-9695-508BF34C580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B2FA676D-73BB-4C42-8E81-DFDFABB07AF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6BDC1A33-6AB2-4100-B4FA-5F44E1F2EC4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8" id="{4AB068D8-F639-4459-ACEE-0B5B36DCABE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DCBDFA70-E242-460E-ABF4-65AED1FC836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D370B02E-DA4D-49D3-A85D-5DF7E8998BF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F9534F1A-B8EE-4DF1-93A5-2DF891B196A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44" id="{AF8CCCAB-A1B6-444A-8203-13513144646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3E56AB4D-E9F1-4558-8A1E-D2DD3F148C8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0D82C9F7-F2F4-4FAA-B31A-73D87F2CCD9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31FA79C7-457E-47A3-BA32-E2EEFAFFE7E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274"/>
  <sheetViews>
    <sheetView tabSelected="1" zoomScale="90" zoomScaleNormal="90" workbookViewId="0">
      <pane xSplit="1" ySplit="10" topLeftCell="B49" activePane="bottomRight" state="frozen"/>
      <selection activeCell="AF88" sqref="AF88"/>
      <selection pane="topRight" activeCell="AF88" sqref="AF88"/>
      <selection pane="bottomLeft" activeCell="AF88" sqref="AF88"/>
      <selection pane="bottomRight" activeCell="AF68" sqref="AF6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str">
        <f ca="1">"2079/"&amp;"08/"&amp;INT(MID(CELL("filename",D6),FIND("]",CELL("filename",D6))+1,200))</f>
        <v>2079/08/29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157</v>
      </c>
      <c r="C5" s="30">
        <f t="shared" si="0"/>
        <v>176</v>
      </c>
      <c r="D5" s="30">
        <f t="shared" si="0"/>
        <v>170</v>
      </c>
      <c r="E5" s="30">
        <f t="shared" si="0"/>
        <v>177</v>
      </c>
      <c r="F5" s="30">
        <f t="shared" si="0"/>
        <v>167</v>
      </c>
      <c r="G5" s="30">
        <f t="shared" si="0"/>
        <v>0</v>
      </c>
      <c r="H5" s="30">
        <f t="shared" si="0"/>
        <v>117</v>
      </c>
      <c r="I5" s="30">
        <f t="shared" si="0"/>
        <v>70.900000000000006</v>
      </c>
      <c r="J5" s="30">
        <f t="shared" si="0"/>
        <v>43</v>
      </c>
      <c r="K5" s="30">
        <f t="shared" si="0"/>
        <v>42</v>
      </c>
      <c r="L5" s="30">
        <f t="shared" si="0"/>
        <v>45.8</v>
      </c>
      <c r="M5" s="30">
        <f t="shared" si="0"/>
        <v>55.5</v>
      </c>
      <c r="N5" s="30">
        <f t="shared" si="0"/>
        <v>68.099999999999994</v>
      </c>
      <c r="O5" s="30">
        <f t="shared" si="0"/>
        <v>180</v>
      </c>
      <c r="P5" s="30">
        <f t="shared" si="0"/>
        <v>146.19999999999999</v>
      </c>
      <c r="Q5" s="30">
        <f t="shared" si="0"/>
        <v>233.2</v>
      </c>
      <c r="R5" s="30">
        <f t="shared" si="0"/>
        <v>221.7</v>
      </c>
      <c r="S5" s="30">
        <f t="shared" si="0"/>
        <v>228.6</v>
      </c>
      <c r="T5" s="30">
        <f t="shared" si="0"/>
        <v>223</v>
      </c>
      <c r="U5" s="30">
        <f t="shared" si="0"/>
        <v>74.5</v>
      </c>
      <c r="V5" s="30">
        <f t="shared" si="0"/>
        <v>53.6</v>
      </c>
      <c r="W5" s="30">
        <f t="shared" si="0"/>
        <v>61.9</v>
      </c>
      <c r="X5" s="30">
        <f t="shared" si="0"/>
        <v>55.6</v>
      </c>
      <c r="Y5" s="30">
        <f t="shared" si="0"/>
        <v>38</v>
      </c>
      <c r="Z5" s="30">
        <f t="shared" si="0"/>
        <v>40</v>
      </c>
      <c r="AA5" s="30">
        <f t="shared" si="0"/>
        <v>52</v>
      </c>
      <c r="AB5" s="30">
        <f t="shared" si="0"/>
        <v>53</v>
      </c>
      <c r="AC5" s="30">
        <f t="shared" si="0"/>
        <v>51</v>
      </c>
      <c r="AD5" s="30">
        <f t="shared" si="0"/>
        <v>56</v>
      </c>
      <c r="AE5" s="30">
        <f t="shared" si="0"/>
        <v>52</v>
      </c>
      <c r="AF5" s="30">
        <f>B78</f>
        <v>104.6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1653MW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Load=894</v>
      </c>
      <c r="B7" s="35">
        <f t="shared" ref="B7:AF7" si="1">B85</f>
        <v>1005.54</v>
      </c>
      <c r="C7" s="35">
        <f t="shared" si="1"/>
        <v>967.63999999999987</v>
      </c>
      <c r="D7" s="35">
        <f t="shared" si="1"/>
        <v>1000.04</v>
      </c>
      <c r="E7" s="35">
        <f t="shared" si="1"/>
        <v>982.54</v>
      </c>
      <c r="F7" s="35">
        <f t="shared" si="1"/>
        <v>973.43999999999994</v>
      </c>
      <c r="G7" s="35">
        <f t="shared" si="1"/>
        <v>1030.3399999999999</v>
      </c>
      <c r="H7" s="35">
        <f t="shared" si="1"/>
        <v>894.13999999999987</v>
      </c>
      <c r="I7" s="35">
        <f t="shared" si="1"/>
        <v>1206.8399999999999</v>
      </c>
      <c r="J7" s="35">
        <f t="shared" si="1"/>
        <v>1284.3400000000001</v>
      </c>
      <c r="K7" s="35">
        <f t="shared" si="1"/>
        <v>1493.14</v>
      </c>
      <c r="L7" s="35">
        <f t="shared" si="1"/>
        <v>1616.24</v>
      </c>
      <c r="M7" s="35">
        <f t="shared" si="1"/>
        <v>1653.3400000000001</v>
      </c>
      <c r="N7" s="35">
        <f t="shared" si="1"/>
        <v>1556.2400000000002</v>
      </c>
      <c r="O7" s="35">
        <f t="shared" si="1"/>
        <v>1478.04</v>
      </c>
      <c r="P7" s="35">
        <f t="shared" si="1"/>
        <v>1296.8400000000001</v>
      </c>
      <c r="Q7" s="35">
        <f t="shared" si="1"/>
        <v>1187.3400000000001</v>
      </c>
      <c r="R7" s="35">
        <f t="shared" si="1"/>
        <v>1170.5400000000002</v>
      </c>
      <c r="S7" s="35">
        <f t="shared" si="1"/>
        <v>1242.0400000000002</v>
      </c>
      <c r="T7" s="35">
        <f t="shared" si="1"/>
        <v>1252.7399999999998</v>
      </c>
      <c r="U7" s="35">
        <f t="shared" si="1"/>
        <v>1327.1399999999999</v>
      </c>
      <c r="V7" s="35">
        <f t="shared" si="1"/>
        <v>1396.6399999999999</v>
      </c>
      <c r="W7" s="35">
        <f t="shared" si="1"/>
        <v>1499.64</v>
      </c>
      <c r="X7" s="35">
        <f t="shared" si="1"/>
        <v>1673.0400000000004</v>
      </c>
      <c r="Y7" s="35">
        <f t="shared" si="1"/>
        <v>1540.7399999999998</v>
      </c>
      <c r="Z7" s="35">
        <f t="shared" si="1"/>
        <v>1443.14</v>
      </c>
      <c r="AA7" s="35">
        <f t="shared" si="1"/>
        <v>1365.14</v>
      </c>
      <c r="AB7" s="35">
        <f t="shared" si="1"/>
        <v>1467.2400000000002</v>
      </c>
      <c r="AC7" s="35">
        <f t="shared" si="1"/>
        <v>1338.2400000000002</v>
      </c>
      <c r="AD7" s="35">
        <f t="shared" si="1"/>
        <v>1155.0400000000002</v>
      </c>
      <c r="AE7" s="35">
        <f t="shared" si="1"/>
        <v>1060.7400000000002</v>
      </c>
      <c r="AF7" s="35">
        <f t="shared" si="1"/>
        <v>970.84000000000015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6">
        <v>27</v>
      </c>
      <c r="C11" s="46">
        <v>27</v>
      </c>
      <c r="D11" s="46">
        <v>27</v>
      </c>
      <c r="E11" s="46">
        <v>27</v>
      </c>
      <c r="F11" s="45">
        <v>27.7</v>
      </c>
      <c r="G11" s="45">
        <v>27.1</v>
      </c>
      <c r="H11" s="45">
        <v>27.1</v>
      </c>
      <c r="I11" s="45">
        <v>27.1</v>
      </c>
      <c r="J11" s="45">
        <v>27.1</v>
      </c>
      <c r="K11" s="45">
        <v>27</v>
      </c>
      <c r="L11" s="45">
        <v>27</v>
      </c>
      <c r="M11" s="45">
        <v>27</v>
      </c>
      <c r="N11" s="45">
        <v>27</v>
      </c>
      <c r="O11" s="45">
        <v>27</v>
      </c>
      <c r="P11" s="45">
        <v>27</v>
      </c>
      <c r="Q11" s="45">
        <v>27</v>
      </c>
      <c r="R11" s="45">
        <v>27</v>
      </c>
      <c r="S11" s="45">
        <v>27</v>
      </c>
      <c r="T11" s="46">
        <v>27</v>
      </c>
      <c r="U11" s="46">
        <v>27</v>
      </c>
      <c r="V11" s="46">
        <v>27</v>
      </c>
      <c r="W11" s="46">
        <v>27</v>
      </c>
      <c r="X11" s="46">
        <v>27</v>
      </c>
      <c r="Y11" s="46">
        <v>27</v>
      </c>
      <c r="Z11" s="46">
        <v>27</v>
      </c>
      <c r="AA11" s="46">
        <v>27</v>
      </c>
      <c r="AB11" s="46">
        <v>27.1</v>
      </c>
      <c r="AC11" s="46">
        <v>27.1</v>
      </c>
      <c r="AD11" s="46">
        <v>27.1</v>
      </c>
      <c r="AE11" s="46">
        <v>27.1</v>
      </c>
      <c r="AF11" s="46">
        <v>27.1</v>
      </c>
      <c r="AG11" s="47">
        <v>52.4</v>
      </c>
      <c r="AH11" s="48">
        <f>MAX(B11:AF11)</f>
        <v>27.7</v>
      </c>
      <c r="AI11" s="49">
        <f>MIN(B11:AF11)</f>
        <v>27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50.6</v>
      </c>
      <c r="C12" s="45">
        <v>50.6</v>
      </c>
      <c r="D12" s="45">
        <v>50.6</v>
      </c>
      <c r="E12" s="45">
        <v>50.6</v>
      </c>
      <c r="F12" s="45">
        <v>50.2</v>
      </c>
      <c r="G12" s="45">
        <v>50.3</v>
      </c>
      <c r="H12" s="45">
        <v>50.3</v>
      </c>
      <c r="I12" s="45">
        <v>50.3</v>
      </c>
      <c r="J12" s="45">
        <v>50.3</v>
      </c>
      <c r="K12" s="45">
        <v>50.3</v>
      </c>
      <c r="L12" s="45">
        <v>50.3</v>
      </c>
      <c r="M12" s="45">
        <v>50.6</v>
      </c>
      <c r="N12" s="45">
        <v>50.5</v>
      </c>
      <c r="O12" s="45">
        <v>50.5</v>
      </c>
      <c r="P12" s="45">
        <v>50.5</v>
      </c>
      <c r="Q12" s="45">
        <v>50.7</v>
      </c>
      <c r="R12" s="45">
        <v>50.2</v>
      </c>
      <c r="S12" s="45">
        <v>50.2</v>
      </c>
      <c r="T12" s="45">
        <v>50.3</v>
      </c>
      <c r="U12" s="45">
        <v>50.3</v>
      </c>
      <c r="V12" s="45">
        <v>50.3</v>
      </c>
      <c r="W12" s="45">
        <v>50.3</v>
      </c>
      <c r="X12" s="45">
        <v>50.3</v>
      </c>
      <c r="Y12" s="45">
        <v>50.3</v>
      </c>
      <c r="Z12" s="45">
        <v>50.3</v>
      </c>
      <c r="AA12" s="45">
        <v>50.3</v>
      </c>
      <c r="AB12" s="45">
        <v>50.3</v>
      </c>
      <c r="AC12" s="45">
        <v>50.3</v>
      </c>
      <c r="AD12" s="45">
        <v>50.3</v>
      </c>
      <c r="AE12" s="45">
        <v>50.3</v>
      </c>
      <c r="AF12" s="45">
        <v>50.3</v>
      </c>
      <c r="AG12" s="51">
        <v>50</v>
      </c>
      <c r="AH12" s="48">
        <f t="shared" ref="AH12:AH79" si="2">MAX(B12:AF12)</f>
        <v>50.7</v>
      </c>
      <c r="AI12" s="49">
        <f t="shared" ref="AI12:AI79" si="3">MIN(B12:AF12)</f>
        <v>50.2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27.2</v>
      </c>
      <c r="C13" s="45">
        <v>27.2</v>
      </c>
      <c r="D13" s="45">
        <v>27.2</v>
      </c>
      <c r="E13" s="45">
        <v>27.2</v>
      </c>
      <c r="F13" s="45">
        <v>24.6</v>
      </c>
      <c r="G13" s="45">
        <v>24.8</v>
      </c>
      <c r="H13" s="45">
        <v>24.8</v>
      </c>
      <c r="I13" s="45">
        <v>24.8</v>
      </c>
      <c r="J13" s="45">
        <v>24.8</v>
      </c>
      <c r="K13" s="45">
        <v>24.8</v>
      </c>
      <c r="L13" s="45">
        <v>25</v>
      </c>
      <c r="M13" s="45">
        <v>24.7</v>
      </c>
      <c r="N13" s="45">
        <v>24.6</v>
      </c>
      <c r="O13" s="45">
        <v>24.6</v>
      </c>
      <c r="P13" s="45">
        <v>24.6</v>
      </c>
      <c r="Q13" s="45">
        <v>23.7</v>
      </c>
      <c r="R13" s="45">
        <v>23.6</v>
      </c>
      <c r="S13" s="45">
        <v>23.6</v>
      </c>
      <c r="T13" s="45">
        <v>23.7</v>
      </c>
      <c r="U13" s="45">
        <v>23.7</v>
      </c>
      <c r="V13" s="45">
        <v>23.7</v>
      </c>
      <c r="W13" s="45">
        <v>23.7</v>
      </c>
      <c r="X13" s="45">
        <v>23.7</v>
      </c>
      <c r="Y13" s="45">
        <v>23.7</v>
      </c>
      <c r="Z13" s="45">
        <v>23.7</v>
      </c>
      <c r="AA13" s="45">
        <v>23.7</v>
      </c>
      <c r="AB13" s="45">
        <v>23.7</v>
      </c>
      <c r="AC13" s="45">
        <v>23.7</v>
      </c>
      <c r="AD13" s="45">
        <v>23.7</v>
      </c>
      <c r="AE13" s="45">
        <v>23.7</v>
      </c>
      <c r="AF13" s="45">
        <v>23.7</v>
      </c>
      <c r="AG13" s="51">
        <v>45</v>
      </c>
      <c r="AH13" s="48">
        <f t="shared" si="2"/>
        <v>27.2</v>
      </c>
      <c r="AI13" s="49">
        <f t="shared" si="3"/>
        <v>23.6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>
        <v>16</v>
      </c>
      <c r="O14" s="45">
        <v>16</v>
      </c>
      <c r="P14" s="45">
        <v>16</v>
      </c>
      <c r="Q14" s="45">
        <v>16</v>
      </c>
      <c r="R14" s="45">
        <v>16</v>
      </c>
      <c r="S14" s="45">
        <v>16</v>
      </c>
      <c r="T14" s="45">
        <v>16</v>
      </c>
      <c r="U14" s="45">
        <v>16</v>
      </c>
      <c r="V14" s="45">
        <v>16</v>
      </c>
      <c r="W14" s="45">
        <v>16</v>
      </c>
      <c r="X14" s="45">
        <v>16</v>
      </c>
      <c r="Y14" s="45">
        <v>16</v>
      </c>
      <c r="Z14" s="45">
        <v>16</v>
      </c>
      <c r="AA14" s="45">
        <v>16</v>
      </c>
      <c r="AB14" s="45">
        <v>16</v>
      </c>
      <c r="AC14" s="45">
        <v>16</v>
      </c>
      <c r="AD14" s="45">
        <v>16</v>
      </c>
      <c r="AE14" s="45">
        <v>16</v>
      </c>
      <c r="AF14" s="45">
        <v>16</v>
      </c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>
        <v>21</v>
      </c>
      <c r="O15" s="45">
        <v>21</v>
      </c>
      <c r="P15" s="45">
        <v>21</v>
      </c>
      <c r="Q15" s="45">
        <v>21</v>
      </c>
      <c r="R15" s="45">
        <v>21</v>
      </c>
      <c r="S15" s="45">
        <v>21</v>
      </c>
      <c r="T15" s="45">
        <v>21</v>
      </c>
      <c r="U15" s="45">
        <v>21</v>
      </c>
      <c r="V15" s="45">
        <v>21</v>
      </c>
      <c r="W15" s="45">
        <v>21</v>
      </c>
      <c r="X15" s="45">
        <v>21</v>
      </c>
      <c r="Y15" s="45">
        <v>21</v>
      </c>
      <c r="Z15" s="45">
        <v>21</v>
      </c>
      <c r="AA15" s="45">
        <v>21</v>
      </c>
      <c r="AB15" s="45">
        <v>21</v>
      </c>
      <c r="AC15" s="45">
        <v>21</v>
      </c>
      <c r="AD15" s="45">
        <v>21</v>
      </c>
      <c r="AE15" s="45">
        <v>21</v>
      </c>
      <c r="AF15" s="45">
        <v>21</v>
      </c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13.6</v>
      </c>
      <c r="C16" s="45">
        <v>13.6</v>
      </c>
      <c r="D16" s="45">
        <v>13.6</v>
      </c>
      <c r="E16" s="45">
        <v>13.6</v>
      </c>
      <c r="F16" s="45">
        <v>13.6</v>
      </c>
      <c r="G16" s="45">
        <v>13.6</v>
      </c>
      <c r="H16" s="45">
        <v>13.6</v>
      </c>
      <c r="I16" s="45">
        <v>13.6</v>
      </c>
      <c r="J16" s="45">
        <v>13.6</v>
      </c>
      <c r="K16" s="45">
        <v>13.6</v>
      </c>
      <c r="L16" s="45">
        <v>13.9</v>
      </c>
      <c r="M16" s="45">
        <v>14.3</v>
      </c>
      <c r="N16" s="45">
        <v>13.3</v>
      </c>
      <c r="O16" s="45">
        <v>13.3</v>
      </c>
      <c r="P16" s="45">
        <v>13.3</v>
      </c>
      <c r="Q16" s="45">
        <v>13.1</v>
      </c>
      <c r="R16" s="45">
        <v>13.2</v>
      </c>
      <c r="S16" s="45">
        <v>13.2</v>
      </c>
      <c r="T16" s="45">
        <v>13.3</v>
      </c>
      <c r="U16" s="45">
        <v>13.3</v>
      </c>
      <c r="V16" s="45">
        <v>13.3</v>
      </c>
      <c r="W16" s="45">
        <v>13.3</v>
      </c>
      <c r="X16" s="45">
        <v>13.3</v>
      </c>
      <c r="Y16" s="45">
        <v>13.3</v>
      </c>
      <c r="Z16" s="45">
        <v>13.3</v>
      </c>
      <c r="AA16" s="45">
        <v>13.3</v>
      </c>
      <c r="AB16" s="45">
        <v>13.3</v>
      </c>
      <c r="AC16" s="45">
        <v>13.3</v>
      </c>
      <c r="AD16" s="45">
        <v>13.3</v>
      </c>
      <c r="AE16" s="45">
        <v>13.3</v>
      </c>
      <c r="AF16" s="45">
        <v>13.3</v>
      </c>
      <c r="AG16" s="52">
        <v>30</v>
      </c>
      <c r="AH16" s="48">
        <f t="shared" si="2"/>
        <v>14.3</v>
      </c>
      <c r="AI16" s="49">
        <f t="shared" si="3"/>
        <v>13.1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12.1</v>
      </c>
      <c r="C17" s="45">
        <v>12.1</v>
      </c>
      <c r="D17" s="45">
        <v>12.1</v>
      </c>
      <c r="E17" s="45">
        <v>12.1</v>
      </c>
      <c r="F17" s="45">
        <v>12.1</v>
      </c>
      <c r="G17" s="45">
        <v>12.3</v>
      </c>
      <c r="H17" s="45">
        <v>12.3</v>
      </c>
      <c r="I17" s="45">
        <v>12.3</v>
      </c>
      <c r="J17" s="45">
        <v>12.3</v>
      </c>
      <c r="K17" s="45">
        <v>12.3</v>
      </c>
      <c r="L17" s="45">
        <v>12.3</v>
      </c>
      <c r="M17" s="45">
        <v>12.3</v>
      </c>
      <c r="N17" s="45">
        <v>12.3</v>
      </c>
      <c r="O17" s="45">
        <v>12.3</v>
      </c>
      <c r="P17" s="45">
        <v>12.3</v>
      </c>
      <c r="Q17" s="45">
        <v>12</v>
      </c>
      <c r="R17" s="45">
        <v>12</v>
      </c>
      <c r="S17" s="45">
        <v>12</v>
      </c>
      <c r="T17" s="45">
        <v>11.6</v>
      </c>
      <c r="U17" s="45">
        <v>11.6</v>
      </c>
      <c r="V17" s="45">
        <v>11.6</v>
      </c>
      <c r="W17" s="45">
        <v>11.6</v>
      </c>
      <c r="X17" s="45">
        <v>11.6</v>
      </c>
      <c r="Y17" s="45">
        <v>11.6</v>
      </c>
      <c r="Z17" s="45">
        <v>11.6</v>
      </c>
      <c r="AA17" s="45">
        <v>11.6</v>
      </c>
      <c r="AB17" s="45">
        <v>11.6</v>
      </c>
      <c r="AC17" s="45">
        <v>11.6</v>
      </c>
      <c r="AD17" s="45">
        <v>11.6</v>
      </c>
      <c r="AE17" s="45">
        <v>11.6</v>
      </c>
      <c r="AF17" s="45">
        <v>11.6</v>
      </c>
      <c r="AG17" s="51">
        <v>24.2</v>
      </c>
      <c r="AH17" s="48">
        <f t="shared" si="2"/>
        <v>12.3</v>
      </c>
      <c r="AI17" s="49">
        <f t="shared" si="3"/>
        <v>11.6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>
        <v>13.2</v>
      </c>
      <c r="O18" s="45">
        <v>13.2</v>
      </c>
      <c r="P18" s="45">
        <v>13.2</v>
      </c>
      <c r="Q18" s="45">
        <v>13.2</v>
      </c>
      <c r="R18" s="45">
        <v>13.2</v>
      </c>
      <c r="S18" s="45">
        <v>13.2</v>
      </c>
      <c r="T18" s="45">
        <v>13.2</v>
      </c>
      <c r="U18" s="45">
        <v>13.2</v>
      </c>
      <c r="V18" s="45">
        <v>13.2</v>
      </c>
      <c r="W18" s="45">
        <v>13.2</v>
      </c>
      <c r="X18" s="45">
        <v>13.2</v>
      </c>
      <c r="Y18" s="45">
        <v>13.2</v>
      </c>
      <c r="Z18" s="45">
        <v>13.2</v>
      </c>
      <c r="AA18" s="45">
        <v>13.2</v>
      </c>
      <c r="AB18" s="45">
        <v>13.2</v>
      </c>
      <c r="AC18" s="45">
        <v>13.2</v>
      </c>
      <c r="AD18" s="45">
        <v>13.2</v>
      </c>
      <c r="AE18" s="45">
        <v>13.2</v>
      </c>
      <c r="AF18" s="45">
        <v>13.2</v>
      </c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</v>
      </c>
      <c r="C19" s="45">
        <v>14</v>
      </c>
      <c r="D19" s="45">
        <v>14</v>
      </c>
      <c r="E19" s="45">
        <v>14</v>
      </c>
      <c r="F19" s="45">
        <v>10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>
        <v>14</v>
      </c>
      <c r="O19" s="45">
        <v>14</v>
      </c>
      <c r="P19" s="45">
        <v>14</v>
      </c>
      <c r="Q19" s="45">
        <v>14</v>
      </c>
      <c r="R19" s="45">
        <v>14</v>
      </c>
      <c r="S19" s="45">
        <v>14</v>
      </c>
      <c r="T19" s="45">
        <v>14</v>
      </c>
      <c r="U19" s="45">
        <v>14</v>
      </c>
      <c r="V19" s="45">
        <v>14</v>
      </c>
      <c r="W19" s="45">
        <v>14</v>
      </c>
      <c r="X19" s="45">
        <v>14</v>
      </c>
      <c r="Y19" s="45">
        <v>14</v>
      </c>
      <c r="Z19" s="45">
        <v>14</v>
      </c>
      <c r="AA19" s="45">
        <v>14</v>
      </c>
      <c r="AB19" s="45">
        <v>14</v>
      </c>
      <c r="AC19" s="45">
        <v>14</v>
      </c>
      <c r="AD19" s="45">
        <v>14</v>
      </c>
      <c r="AE19" s="45">
        <v>14</v>
      </c>
      <c r="AF19" s="45">
        <v>14</v>
      </c>
      <c r="AG19" s="52">
        <v>30</v>
      </c>
      <c r="AH19" s="48">
        <f t="shared" si="2"/>
        <v>14</v>
      </c>
      <c r="AI19" s="49">
        <f t="shared" si="3"/>
        <v>10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13.2</v>
      </c>
      <c r="C20" s="45">
        <v>13.2</v>
      </c>
      <c r="D20" s="45">
        <v>13.2</v>
      </c>
      <c r="E20" s="45">
        <v>13.2</v>
      </c>
      <c r="F20" s="45">
        <v>10</v>
      </c>
      <c r="G20" s="45">
        <v>13.6</v>
      </c>
      <c r="H20" s="45">
        <v>13.6</v>
      </c>
      <c r="I20" s="45">
        <v>13.6</v>
      </c>
      <c r="J20" s="45">
        <v>13.6</v>
      </c>
      <c r="K20" s="45">
        <v>13.6</v>
      </c>
      <c r="L20" s="45">
        <v>13.6</v>
      </c>
      <c r="M20" s="45">
        <v>13.6</v>
      </c>
      <c r="N20" s="45">
        <v>13.6</v>
      </c>
      <c r="O20" s="45">
        <v>13.6</v>
      </c>
      <c r="P20" s="45">
        <v>13.6</v>
      </c>
      <c r="Q20" s="45">
        <v>13.6</v>
      </c>
      <c r="R20" s="45">
        <v>13.6</v>
      </c>
      <c r="S20" s="45">
        <v>13.6</v>
      </c>
      <c r="T20" s="45">
        <v>13.4</v>
      </c>
      <c r="U20" s="45">
        <v>13.4</v>
      </c>
      <c r="V20" s="45">
        <v>13.4</v>
      </c>
      <c r="W20" s="45">
        <v>13.4</v>
      </c>
      <c r="X20" s="45">
        <v>13.4</v>
      </c>
      <c r="Y20" s="45">
        <v>13.4</v>
      </c>
      <c r="Z20" s="45">
        <v>13.4</v>
      </c>
      <c r="AA20" s="45">
        <v>13.4</v>
      </c>
      <c r="AB20" s="45">
        <v>13.4</v>
      </c>
      <c r="AC20" s="45">
        <v>13.4</v>
      </c>
      <c r="AD20" s="45">
        <v>13.4</v>
      </c>
      <c r="AE20" s="45">
        <v>13.4</v>
      </c>
      <c r="AF20" s="45">
        <v>13.4</v>
      </c>
      <c r="AG20" s="51">
        <v>25</v>
      </c>
      <c r="AH20" s="48">
        <f t="shared" si="2"/>
        <v>13.6</v>
      </c>
      <c r="AI20" s="49">
        <f t="shared" si="3"/>
        <v>10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14</v>
      </c>
      <c r="C21" s="45">
        <v>14</v>
      </c>
      <c r="D21" s="45">
        <v>14</v>
      </c>
      <c r="E21" s="45">
        <v>14</v>
      </c>
      <c r="F21" s="45">
        <v>14</v>
      </c>
      <c r="G21" s="45">
        <v>14</v>
      </c>
      <c r="H21" s="45">
        <v>14</v>
      </c>
      <c r="I21" s="45">
        <v>14</v>
      </c>
      <c r="J21" s="45">
        <v>14</v>
      </c>
      <c r="K21" s="45">
        <v>14</v>
      </c>
      <c r="L21" s="45">
        <v>11</v>
      </c>
      <c r="M21" s="45">
        <v>11</v>
      </c>
      <c r="N21" s="45">
        <v>11</v>
      </c>
      <c r="O21" s="45">
        <v>11</v>
      </c>
      <c r="P21" s="45">
        <v>11</v>
      </c>
      <c r="Q21" s="45">
        <v>11</v>
      </c>
      <c r="R21" s="45">
        <v>11</v>
      </c>
      <c r="S21" s="45">
        <v>11</v>
      </c>
      <c r="T21" s="45">
        <v>11</v>
      </c>
      <c r="U21" s="45">
        <v>11</v>
      </c>
      <c r="V21" s="45">
        <v>11</v>
      </c>
      <c r="W21" s="45">
        <v>11</v>
      </c>
      <c r="X21" s="45">
        <v>11</v>
      </c>
      <c r="Y21" s="45">
        <v>11</v>
      </c>
      <c r="Z21" s="45">
        <v>11</v>
      </c>
      <c r="AA21" s="45">
        <v>11</v>
      </c>
      <c r="AB21" s="45">
        <v>11</v>
      </c>
      <c r="AC21" s="45">
        <v>11</v>
      </c>
      <c r="AD21" s="45">
        <v>11</v>
      </c>
      <c r="AE21" s="45">
        <v>11</v>
      </c>
      <c r="AF21" s="45">
        <v>11</v>
      </c>
      <c r="AG21" s="51">
        <v>25</v>
      </c>
      <c r="AH21" s="48">
        <f t="shared" si="2"/>
        <v>14</v>
      </c>
      <c r="AI21" s="49">
        <f t="shared" si="3"/>
        <v>11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15</v>
      </c>
      <c r="C23" s="45">
        <v>15</v>
      </c>
      <c r="D23" s="45">
        <v>15</v>
      </c>
      <c r="E23" s="45">
        <v>15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>
        <v>10</v>
      </c>
      <c r="O23" s="45">
        <v>10</v>
      </c>
      <c r="P23" s="45">
        <v>10</v>
      </c>
      <c r="Q23" s="45">
        <v>10</v>
      </c>
      <c r="R23" s="45">
        <v>10</v>
      </c>
      <c r="S23" s="45">
        <v>10</v>
      </c>
      <c r="T23" s="45">
        <v>10</v>
      </c>
      <c r="U23" s="45">
        <v>10</v>
      </c>
      <c r="V23" s="45">
        <v>10</v>
      </c>
      <c r="W23" s="45">
        <v>10</v>
      </c>
      <c r="X23" s="45">
        <v>10</v>
      </c>
      <c r="Y23" s="45">
        <v>10</v>
      </c>
      <c r="Z23" s="45">
        <v>10</v>
      </c>
      <c r="AA23" s="45">
        <v>10</v>
      </c>
      <c r="AB23" s="45">
        <v>10</v>
      </c>
      <c r="AC23" s="45">
        <v>10</v>
      </c>
      <c r="AD23" s="45">
        <v>10</v>
      </c>
      <c r="AE23" s="45">
        <v>10</v>
      </c>
      <c r="AF23" s="45">
        <v>10</v>
      </c>
      <c r="AG23" s="51">
        <v>25</v>
      </c>
      <c r="AH23" s="48">
        <f t="shared" si="2"/>
        <v>15</v>
      </c>
      <c r="AI23" s="49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12.4</v>
      </c>
      <c r="C24" s="45">
        <v>12.4</v>
      </c>
      <c r="D24" s="45">
        <v>12.4</v>
      </c>
      <c r="E24" s="45">
        <v>12.4</v>
      </c>
      <c r="F24" s="45">
        <v>12.4</v>
      </c>
      <c r="G24" s="45">
        <v>12.4</v>
      </c>
      <c r="H24" s="45">
        <v>12.4</v>
      </c>
      <c r="I24" s="45">
        <v>12.4</v>
      </c>
      <c r="J24" s="45">
        <v>12.4</v>
      </c>
      <c r="K24" s="45">
        <v>12.4</v>
      </c>
      <c r="L24" s="45">
        <v>12.4</v>
      </c>
      <c r="M24" s="45">
        <v>12.4</v>
      </c>
      <c r="N24" s="45">
        <v>11.9</v>
      </c>
      <c r="O24" s="45">
        <v>11.9</v>
      </c>
      <c r="P24" s="45">
        <v>11.9</v>
      </c>
      <c r="Q24" s="45">
        <v>11.9</v>
      </c>
      <c r="R24" s="45">
        <v>12.6</v>
      </c>
      <c r="S24" s="45">
        <v>12.6</v>
      </c>
      <c r="T24" s="45">
        <v>12.5</v>
      </c>
      <c r="U24" s="45">
        <v>12.5</v>
      </c>
      <c r="V24" s="45">
        <v>12.5</v>
      </c>
      <c r="W24" s="45">
        <v>12.5</v>
      </c>
      <c r="X24" s="45">
        <v>12.5</v>
      </c>
      <c r="Y24" s="45">
        <v>12.5</v>
      </c>
      <c r="Z24" s="45">
        <v>12.5</v>
      </c>
      <c r="AA24" s="45">
        <v>12.5</v>
      </c>
      <c r="AB24" s="45">
        <v>12.5</v>
      </c>
      <c r="AC24" s="45">
        <v>12.5</v>
      </c>
      <c r="AD24" s="45">
        <v>12.5</v>
      </c>
      <c r="AE24" s="45">
        <v>12.5</v>
      </c>
      <c r="AF24" s="45">
        <v>12.5</v>
      </c>
      <c r="AG24" s="51">
        <v>23.5</v>
      </c>
      <c r="AH24" s="48">
        <f t="shared" si="2"/>
        <v>12.6</v>
      </c>
      <c r="AI24" s="49">
        <f t="shared" si="3"/>
        <v>11.9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>
        <v>7.5</v>
      </c>
      <c r="O25" s="45">
        <v>7.5</v>
      </c>
      <c r="P25" s="45">
        <v>7.5</v>
      </c>
      <c r="Q25" s="45">
        <v>7.5</v>
      </c>
      <c r="R25" s="45">
        <v>7.5</v>
      </c>
      <c r="S25" s="45">
        <v>7.5</v>
      </c>
      <c r="T25" s="45">
        <v>7.5</v>
      </c>
      <c r="U25" s="45">
        <v>7.5</v>
      </c>
      <c r="V25" s="45">
        <v>7.5</v>
      </c>
      <c r="W25" s="45">
        <v>7.5</v>
      </c>
      <c r="X25" s="45">
        <v>7.5</v>
      </c>
      <c r="Y25" s="45">
        <v>7.5</v>
      </c>
      <c r="Z25" s="45">
        <v>7.5</v>
      </c>
      <c r="AA25" s="45">
        <v>7.5</v>
      </c>
      <c r="AB25" s="45">
        <v>7.5</v>
      </c>
      <c r="AC25" s="45">
        <v>7.5</v>
      </c>
      <c r="AD25" s="45">
        <v>7.5</v>
      </c>
      <c r="AE25" s="45">
        <v>7.5</v>
      </c>
      <c r="AF25" s="45">
        <v>7.5</v>
      </c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>
        <v>10.6</v>
      </c>
      <c r="O26" s="45">
        <v>10.6</v>
      </c>
      <c r="P26" s="45">
        <v>10.6</v>
      </c>
      <c r="Q26" s="45">
        <v>10.6</v>
      </c>
      <c r="R26" s="45">
        <v>10.6</v>
      </c>
      <c r="S26" s="45">
        <v>10.6</v>
      </c>
      <c r="T26" s="45">
        <v>10.6</v>
      </c>
      <c r="U26" s="45">
        <v>10.6</v>
      </c>
      <c r="V26" s="45">
        <v>10.6</v>
      </c>
      <c r="W26" s="45">
        <v>10.6</v>
      </c>
      <c r="X26" s="45">
        <v>10.6</v>
      </c>
      <c r="Y26" s="45">
        <v>10.6</v>
      </c>
      <c r="Z26" s="45">
        <v>10.6</v>
      </c>
      <c r="AA26" s="45">
        <v>10.6</v>
      </c>
      <c r="AB26" s="45">
        <v>10.6</v>
      </c>
      <c r="AC26" s="45">
        <v>10.6</v>
      </c>
      <c r="AD26" s="45">
        <v>10.6</v>
      </c>
      <c r="AE26" s="45">
        <v>10.6</v>
      </c>
      <c r="AF26" s="45">
        <v>10.6</v>
      </c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10</v>
      </c>
      <c r="C29" s="45">
        <v>10</v>
      </c>
      <c r="D29" s="45">
        <v>10</v>
      </c>
      <c r="E29" s="45">
        <v>10</v>
      </c>
      <c r="F29" s="45">
        <v>10</v>
      </c>
      <c r="G29" s="45">
        <v>10</v>
      </c>
      <c r="H29" s="45">
        <v>10</v>
      </c>
      <c r="I29" s="45">
        <v>5</v>
      </c>
      <c r="J29" s="45">
        <v>5</v>
      </c>
      <c r="K29" s="45">
        <v>5</v>
      </c>
      <c r="L29" s="45">
        <v>5</v>
      </c>
      <c r="M29" s="45">
        <v>5</v>
      </c>
      <c r="N29" s="45">
        <v>5</v>
      </c>
      <c r="O29" s="45">
        <v>5</v>
      </c>
      <c r="P29" s="45">
        <v>5</v>
      </c>
      <c r="Q29" s="45">
        <v>5</v>
      </c>
      <c r="R29" s="45">
        <v>5</v>
      </c>
      <c r="S29" s="45">
        <v>5</v>
      </c>
      <c r="T29" s="45">
        <v>5</v>
      </c>
      <c r="U29" s="45">
        <v>5</v>
      </c>
      <c r="V29" s="45">
        <v>5</v>
      </c>
      <c r="W29" s="45">
        <v>5</v>
      </c>
      <c r="X29" s="45">
        <v>5</v>
      </c>
      <c r="Y29" s="45">
        <v>5</v>
      </c>
      <c r="Z29" s="45">
        <v>5</v>
      </c>
      <c r="AA29" s="45">
        <v>5</v>
      </c>
      <c r="AB29" s="45">
        <v>5</v>
      </c>
      <c r="AC29" s="45">
        <v>5</v>
      </c>
      <c r="AD29" s="45">
        <v>5</v>
      </c>
      <c r="AE29" s="45">
        <v>5</v>
      </c>
      <c r="AF29" s="45">
        <v>5</v>
      </c>
      <c r="AG29" s="51">
        <v>20</v>
      </c>
      <c r="AH29" s="48">
        <f t="shared" si="2"/>
        <v>10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>
        <v>3.6</v>
      </c>
      <c r="O32" s="45">
        <v>3.6</v>
      </c>
      <c r="P32" s="45">
        <v>3.6</v>
      </c>
      <c r="Q32" s="45">
        <v>3.6</v>
      </c>
      <c r="R32" s="45">
        <v>3.6</v>
      </c>
      <c r="S32" s="45">
        <v>3.6</v>
      </c>
      <c r="T32" s="45">
        <v>3.6</v>
      </c>
      <c r="U32" s="45">
        <v>3.6</v>
      </c>
      <c r="V32" s="45">
        <v>3.6</v>
      </c>
      <c r="W32" s="45">
        <v>3.6</v>
      </c>
      <c r="X32" s="45">
        <v>3.6</v>
      </c>
      <c r="Y32" s="45">
        <v>3.6</v>
      </c>
      <c r="Z32" s="45">
        <v>3.6</v>
      </c>
      <c r="AA32" s="45">
        <v>3.6</v>
      </c>
      <c r="AB32" s="45">
        <v>3.6</v>
      </c>
      <c r="AC32" s="45">
        <v>3.6</v>
      </c>
      <c r="AD32" s="45">
        <v>3.6</v>
      </c>
      <c r="AE32" s="45">
        <v>3.6</v>
      </c>
      <c r="AF32" s="45">
        <v>3.6</v>
      </c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>
        <v>6</v>
      </c>
      <c r="O40" s="45">
        <v>6</v>
      </c>
      <c r="P40" s="45">
        <v>6</v>
      </c>
      <c r="Q40" s="45">
        <v>6</v>
      </c>
      <c r="R40" s="45">
        <v>6</v>
      </c>
      <c r="S40" s="45">
        <v>6</v>
      </c>
      <c r="T40" s="45">
        <v>6</v>
      </c>
      <c r="U40" s="45">
        <v>6</v>
      </c>
      <c r="V40" s="45">
        <v>6</v>
      </c>
      <c r="W40" s="45">
        <v>6</v>
      </c>
      <c r="X40" s="45">
        <v>6</v>
      </c>
      <c r="Y40" s="45">
        <v>6</v>
      </c>
      <c r="Z40" s="45">
        <v>6</v>
      </c>
      <c r="AA40" s="45">
        <v>6</v>
      </c>
      <c r="AB40" s="45">
        <v>6</v>
      </c>
      <c r="AC40" s="45">
        <v>6</v>
      </c>
      <c r="AD40" s="45">
        <v>6</v>
      </c>
      <c r="AE40" s="45">
        <v>6</v>
      </c>
      <c r="AF40" s="45">
        <v>6</v>
      </c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5">
        <v>10</v>
      </c>
      <c r="AH41" s="48">
        <f t="shared" si="2"/>
        <v>1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47</v>
      </c>
      <c r="B43" s="59">
        <v>70.5</v>
      </c>
      <c r="C43" s="59">
        <v>70.900000000000006</v>
      </c>
      <c r="D43" s="59">
        <v>68.5</v>
      </c>
      <c r="E43" s="59">
        <v>71.400000000000006</v>
      </c>
      <c r="F43" s="59">
        <v>71.2</v>
      </c>
      <c r="G43" s="59">
        <v>70</v>
      </c>
      <c r="H43" s="59">
        <v>70</v>
      </c>
      <c r="I43" s="59">
        <v>68</v>
      </c>
      <c r="J43" s="59">
        <v>67.099999999999994</v>
      </c>
      <c r="K43" s="59">
        <v>66.7</v>
      </c>
      <c r="L43" s="57">
        <v>51.2</v>
      </c>
      <c r="M43" s="57">
        <f>14.9+36.5</f>
        <v>51.4</v>
      </c>
      <c r="N43" s="57">
        <f>14.8+38</f>
        <v>52.8</v>
      </c>
      <c r="O43" s="57">
        <f>15.6+40.7</f>
        <v>56.300000000000004</v>
      </c>
      <c r="P43" s="57">
        <f>15.9+40.4</f>
        <v>56.3</v>
      </c>
      <c r="Q43" s="57">
        <f>16.4+38.8</f>
        <v>55.199999999999996</v>
      </c>
      <c r="R43" s="57">
        <f>16.2+38.9</f>
        <v>55.099999999999994</v>
      </c>
      <c r="S43" s="59">
        <f>14.6+39.3</f>
        <v>53.9</v>
      </c>
      <c r="T43" s="59">
        <f>10.2+39.6</f>
        <v>49.8</v>
      </c>
      <c r="U43" s="59">
        <f>14.5+36</f>
        <v>50.5</v>
      </c>
      <c r="V43" s="59">
        <f>14.1+37.6</f>
        <v>51.7</v>
      </c>
      <c r="W43" s="59">
        <f>14.5+36.3</f>
        <v>50.8</v>
      </c>
      <c r="X43" s="59">
        <v>49</v>
      </c>
      <c r="Y43" s="59">
        <f>13.1+35.8</f>
        <v>48.9</v>
      </c>
      <c r="Z43" s="59">
        <f>13.4+35.9</f>
        <v>49.3</v>
      </c>
      <c r="AA43" s="59">
        <f>13.1+36.1</f>
        <v>49.2</v>
      </c>
      <c r="AB43" s="59">
        <f>14+35.8</f>
        <v>49.8</v>
      </c>
      <c r="AC43" s="59">
        <f t="shared" ref="AC43" si="4">14+35.8</f>
        <v>49.8</v>
      </c>
      <c r="AD43" s="59">
        <v>54</v>
      </c>
      <c r="AE43" s="59">
        <v>54</v>
      </c>
      <c r="AF43" s="59">
        <v>54</v>
      </c>
      <c r="AG43" s="55">
        <v>240</v>
      </c>
      <c r="AH43" s="48">
        <f t="shared" si="2"/>
        <v>71.400000000000006</v>
      </c>
      <c r="AI43" s="49">
        <f t="shared" si="3"/>
        <v>48.9</v>
      </c>
      <c r="AK43" s="50"/>
    </row>
    <row r="44" spans="1:88" ht="15.75" thickBot="1" x14ac:dyDescent="0.3">
      <c r="A44" s="60" t="s">
        <v>48</v>
      </c>
      <c r="B44" s="61">
        <f>SUM(B11:B42)</f>
        <v>582.59999999999991</v>
      </c>
      <c r="C44" s="61">
        <f t="shared" ref="C44:AG44" si="5">SUM(C11:C42)</f>
        <v>582.59999999999991</v>
      </c>
      <c r="D44" s="61">
        <f t="shared" si="5"/>
        <v>582.59999999999991</v>
      </c>
      <c r="E44" s="61">
        <f t="shared" si="5"/>
        <v>582.59999999999991</v>
      </c>
      <c r="F44" s="61">
        <f t="shared" si="5"/>
        <v>568.09999999999991</v>
      </c>
      <c r="G44" s="61">
        <f t="shared" si="5"/>
        <v>575.59999999999991</v>
      </c>
      <c r="H44" s="61">
        <f t="shared" si="5"/>
        <v>575.59999999999991</v>
      </c>
      <c r="I44" s="61">
        <f t="shared" si="5"/>
        <v>570.59999999999991</v>
      </c>
      <c r="J44" s="61">
        <f t="shared" si="5"/>
        <v>570.59999999999991</v>
      </c>
      <c r="K44" s="61">
        <f t="shared" si="5"/>
        <v>570.5</v>
      </c>
      <c r="L44" s="61">
        <f t="shared" si="5"/>
        <v>568</v>
      </c>
      <c r="M44" s="61">
        <f t="shared" si="5"/>
        <v>569.40000000000009</v>
      </c>
      <c r="N44" s="61">
        <f t="shared" si="5"/>
        <v>567.70000000000005</v>
      </c>
      <c r="O44" s="61">
        <f t="shared" si="5"/>
        <v>567.70000000000005</v>
      </c>
      <c r="P44" s="61">
        <f t="shared" si="5"/>
        <v>567.70000000000005</v>
      </c>
      <c r="Q44" s="61">
        <f t="shared" si="5"/>
        <v>566.5</v>
      </c>
      <c r="R44" s="61">
        <f t="shared" si="5"/>
        <v>566.70000000000005</v>
      </c>
      <c r="S44" s="61">
        <f t="shared" si="5"/>
        <v>566.70000000000005</v>
      </c>
      <c r="T44" s="61">
        <f t="shared" si="5"/>
        <v>566.29999999999995</v>
      </c>
      <c r="U44" s="61">
        <f t="shared" si="5"/>
        <v>566.29999999999995</v>
      </c>
      <c r="V44" s="61">
        <f t="shared" si="5"/>
        <v>565.29999999999995</v>
      </c>
      <c r="W44" s="61">
        <f t="shared" si="5"/>
        <v>565.29999999999995</v>
      </c>
      <c r="X44" s="61">
        <f t="shared" si="5"/>
        <v>565.29999999999995</v>
      </c>
      <c r="Y44" s="61">
        <f t="shared" si="5"/>
        <v>565.29999999999995</v>
      </c>
      <c r="Z44" s="61">
        <f t="shared" si="5"/>
        <v>565.29999999999995</v>
      </c>
      <c r="AA44" s="61">
        <f t="shared" si="5"/>
        <v>565.29999999999995</v>
      </c>
      <c r="AB44" s="61">
        <f t="shared" si="5"/>
        <v>565.40000000000009</v>
      </c>
      <c r="AC44" s="61">
        <f t="shared" si="5"/>
        <v>565.40000000000009</v>
      </c>
      <c r="AD44" s="61">
        <f t="shared" si="5"/>
        <v>565.40000000000009</v>
      </c>
      <c r="AE44" s="61">
        <f t="shared" si="5"/>
        <v>565.40000000000009</v>
      </c>
      <c r="AF44" s="61">
        <f t="shared" si="5"/>
        <v>565.40000000000009</v>
      </c>
      <c r="AG44" s="62">
        <f t="shared" si="5"/>
        <v>814.78000000000009</v>
      </c>
      <c r="AH44" s="48">
        <f t="shared" si="2"/>
        <v>582.59999999999991</v>
      </c>
      <c r="AI44" s="49">
        <f t="shared" si="3"/>
        <v>565.29999999999995</v>
      </c>
      <c r="AK44" s="50"/>
    </row>
    <row r="45" spans="1:88" x14ac:dyDescent="0.25">
      <c r="A45" s="63" t="s">
        <v>49</v>
      </c>
      <c r="B45" s="45">
        <v>15</v>
      </c>
      <c r="C45" s="45">
        <v>15</v>
      </c>
      <c r="D45" s="45">
        <v>15</v>
      </c>
      <c r="E45" s="45">
        <v>15</v>
      </c>
      <c r="F45" s="45">
        <v>15</v>
      </c>
      <c r="G45" s="45">
        <v>15</v>
      </c>
      <c r="H45" s="45">
        <v>45</v>
      </c>
      <c r="I45" s="45">
        <v>125</v>
      </c>
      <c r="J45" s="45">
        <v>215</v>
      </c>
      <c r="K45" s="45">
        <v>400</v>
      </c>
      <c r="L45" s="45">
        <v>440</v>
      </c>
      <c r="M45" s="45">
        <v>456</v>
      </c>
      <c r="N45" s="45">
        <v>390</v>
      </c>
      <c r="O45" s="45">
        <v>330</v>
      </c>
      <c r="P45" s="45">
        <v>50</v>
      </c>
      <c r="Q45" s="45">
        <v>25</v>
      </c>
      <c r="R45" s="45">
        <v>0</v>
      </c>
      <c r="S45" s="45">
        <v>35</v>
      </c>
      <c r="T45" s="45">
        <v>40</v>
      </c>
      <c r="U45" s="45">
        <v>76</v>
      </c>
      <c r="V45" s="45">
        <v>280</v>
      </c>
      <c r="W45" s="45">
        <v>300</v>
      </c>
      <c r="X45" s="45">
        <v>456</v>
      </c>
      <c r="Y45" s="45">
        <v>330</v>
      </c>
      <c r="Z45" s="45">
        <v>250</v>
      </c>
      <c r="AA45" s="45">
        <v>170</v>
      </c>
      <c r="AB45" s="45">
        <v>170</v>
      </c>
      <c r="AC45" s="45">
        <v>130</v>
      </c>
      <c r="AD45" s="45">
        <v>90</v>
      </c>
      <c r="AE45" s="45">
        <v>80</v>
      </c>
      <c r="AF45" s="45">
        <v>15</v>
      </c>
      <c r="AG45" s="52">
        <v>456</v>
      </c>
      <c r="AH45" s="48">
        <f t="shared" si="2"/>
        <v>456</v>
      </c>
      <c r="AI45" s="49">
        <f t="shared" si="3"/>
        <v>0</v>
      </c>
      <c r="AK45" s="50"/>
    </row>
    <row r="46" spans="1:88" x14ac:dyDescent="0.25">
      <c r="A46" s="64" t="s">
        <v>50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48</v>
      </c>
      <c r="N46" s="65">
        <v>48</v>
      </c>
      <c r="O46" s="65">
        <v>48</v>
      </c>
      <c r="P46" s="65">
        <v>48</v>
      </c>
      <c r="Q46" s="65">
        <v>48</v>
      </c>
      <c r="R46" s="65">
        <v>0</v>
      </c>
      <c r="S46" s="65">
        <v>48</v>
      </c>
      <c r="T46" s="65">
        <v>48</v>
      </c>
      <c r="U46" s="65">
        <v>48</v>
      </c>
      <c r="V46" s="65">
        <v>48</v>
      </c>
      <c r="W46" s="65">
        <v>48</v>
      </c>
      <c r="X46" s="65">
        <v>48</v>
      </c>
      <c r="Y46" s="65">
        <v>48</v>
      </c>
      <c r="Z46" s="65">
        <v>48</v>
      </c>
      <c r="AA46" s="65">
        <v>48</v>
      </c>
      <c r="AB46" s="65">
        <v>48</v>
      </c>
      <c r="AC46" s="65">
        <v>48</v>
      </c>
      <c r="AD46" s="65">
        <v>48</v>
      </c>
      <c r="AE46" s="65">
        <v>48</v>
      </c>
      <c r="AF46" s="65">
        <v>48</v>
      </c>
      <c r="AG46" s="55">
        <v>60</v>
      </c>
      <c r="AH46" s="48">
        <f t="shared" si="2"/>
        <v>48</v>
      </c>
      <c r="AI46" s="49">
        <f t="shared" si="3"/>
        <v>0</v>
      </c>
      <c r="AK46" s="50"/>
    </row>
    <row r="47" spans="1:88" ht="15.75" thickBot="1" x14ac:dyDescent="0.3">
      <c r="A47" s="66" t="s">
        <v>51</v>
      </c>
      <c r="B47" s="67">
        <v>20.100000000000001</v>
      </c>
      <c r="C47" s="67">
        <v>20.100000000000001</v>
      </c>
      <c r="D47" s="67">
        <v>20.100000000000001</v>
      </c>
      <c r="E47" s="67">
        <v>20.100000000000001</v>
      </c>
      <c r="F47" s="67">
        <v>18.100000000000001</v>
      </c>
      <c r="G47" s="67">
        <v>19.2</v>
      </c>
      <c r="H47" s="67">
        <v>20</v>
      </c>
      <c r="I47" s="67">
        <v>20</v>
      </c>
      <c r="J47" s="67">
        <v>20.100000000000001</v>
      </c>
      <c r="K47" s="67">
        <v>20.3</v>
      </c>
      <c r="L47" s="67">
        <v>20.3</v>
      </c>
      <c r="M47" s="67">
        <v>19.100000000000001</v>
      </c>
      <c r="N47" s="67">
        <v>0</v>
      </c>
      <c r="O47" s="67">
        <v>0</v>
      </c>
      <c r="P47" s="67">
        <v>0</v>
      </c>
      <c r="Q47" s="67">
        <v>0</v>
      </c>
      <c r="R47" s="67">
        <v>0</v>
      </c>
      <c r="S47" s="67">
        <v>0</v>
      </c>
      <c r="T47" s="67">
        <v>21.8</v>
      </c>
      <c r="U47" s="67">
        <v>21.8</v>
      </c>
      <c r="V47" s="67">
        <v>21.8</v>
      </c>
      <c r="W47" s="67">
        <v>18</v>
      </c>
      <c r="X47" s="67">
        <v>22.1</v>
      </c>
      <c r="Y47" s="67">
        <v>22.1</v>
      </c>
      <c r="Z47" s="67">
        <v>22.1</v>
      </c>
      <c r="AA47" s="67">
        <v>22.1</v>
      </c>
      <c r="AB47" s="67">
        <v>22.1</v>
      </c>
      <c r="AC47" s="67">
        <v>22.1</v>
      </c>
      <c r="AD47" s="67">
        <v>22.1</v>
      </c>
      <c r="AE47" s="67">
        <v>22.1</v>
      </c>
      <c r="AF47" s="67">
        <v>22.1</v>
      </c>
      <c r="AG47" s="68">
        <v>22.1</v>
      </c>
      <c r="AH47" s="48">
        <f t="shared" si="2"/>
        <v>22.1</v>
      </c>
      <c r="AI47" s="49">
        <f t="shared" si="3"/>
        <v>0</v>
      </c>
      <c r="AK47" s="50"/>
    </row>
    <row r="48" spans="1:88" ht="15.75" thickBot="1" x14ac:dyDescent="0.3">
      <c r="A48" s="69" t="s">
        <v>52</v>
      </c>
      <c r="B48" s="61">
        <f t="shared" ref="B48" si="6">SUM(B45:B47)</f>
        <v>83.1</v>
      </c>
      <c r="C48" s="61">
        <f t="shared" ref="C48:AG48" si="7">SUM(C45:C47)</f>
        <v>83.1</v>
      </c>
      <c r="D48" s="61">
        <f t="shared" si="7"/>
        <v>83.1</v>
      </c>
      <c r="E48" s="61">
        <f t="shared" si="7"/>
        <v>83.1</v>
      </c>
      <c r="F48" s="61">
        <f t="shared" si="7"/>
        <v>81.099999999999994</v>
      </c>
      <c r="G48" s="61">
        <f t="shared" si="7"/>
        <v>82.2</v>
      </c>
      <c r="H48" s="61">
        <f t="shared" si="7"/>
        <v>113</v>
      </c>
      <c r="I48" s="61">
        <f t="shared" si="7"/>
        <v>193</v>
      </c>
      <c r="J48" s="61">
        <f t="shared" si="7"/>
        <v>283.10000000000002</v>
      </c>
      <c r="K48" s="61">
        <f t="shared" si="7"/>
        <v>468.3</v>
      </c>
      <c r="L48" s="61">
        <f t="shared" si="7"/>
        <v>508.3</v>
      </c>
      <c r="M48" s="61">
        <f t="shared" si="7"/>
        <v>523.1</v>
      </c>
      <c r="N48" s="61">
        <f t="shared" si="7"/>
        <v>438</v>
      </c>
      <c r="O48" s="61">
        <f t="shared" si="7"/>
        <v>378</v>
      </c>
      <c r="P48" s="61">
        <f t="shared" si="7"/>
        <v>98</v>
      </c>
      <c r="Q48" s="61">
        <f t="shared" si="7"/>
        <v>73</v>
      </c>
      <c r="R48" s="61">
        <f t="shared" si="7"/>
        <v>0</v>
      </c>
      <c r="S48" s="61">
        <f t="shared" si="7"/>
        <v>83</v>
      </c>
      <c r="T48" s="61">
        <f t="shared" si="7"/>
        <v>109.8</v>
      </c>
      <c r="U48" s="61">
        <f t="shared" si="7"/>
        <v>145.80000000000001</v>
      </c>
      <c r="V48" s="61">
        <f t="shared" si="7"/>
        <v>349.8</v>
      </c>
      <c r="W48" s="61">
        <f t="shared" si="7"/>
        <v>366</v>
      </c>
      <c r="X48" s="61">
        <f t="shared" si="7"/>
        <v>526.1</v>
      </c>
      <c r="Y48" s="61">
        <f t="shared" si="7"/>
        <v>400.1</v>
      </c>
      <c r="Z48" s="61">
        <f t="shared" si="7"/>
        <v>320.10000000000002</v>
      </c>
      <c r="AA48" s="61">
        <f t="shared" si="7"/>
        <v>240.1</v>
      </c>
      <c r="AB48" s="61">
        <f t="shared" si="7"/>
        <v>240.1</v>
      </c>
      <c r="AC48" s="61">
        <f t="shared" si="7"/>
        <v>200.1</v>
      </c>
      <c r="AD48" s="61">
        <f t="shared" si="7"/>
        <v>160.1</v>
      </c>
      <c r="AE48" s="61">
        <f t="shared" si="7"/>
        <v>150.1</v>
      </c>
      <c r="AF48" s="61">
        <f t="shared" si="7"/>
        <v>85.1</v>
      </c>
      <c r="AG48" s="62">
        <f t="shared" si="7"/>
        <v>538.1</v>
      </c>
      <c r="AH48" s="48">
        <f t="shared" si="2"/>
        <v>526.1</v>
      </c>
      <c r="AI48" s="49">
        <f t="shared" si="3"/>
        <v>0</v>
      </c>
      <c r="AK48" s="50"/>
    </row>
    <row r="49" spans="1:41" x14ac:dyDescent="0.25">
      <c r="A49" s="44" t="s">
        <v>53</v>
      </c>
      <c r="B49" s="45">
        <v>47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80</v>
      </c>
      <c r="J49" s="45">
        <v>114</v>
      </c>
      <c r="K49" s="45">
        <v>143</v>
      </c>
      <c r="L49" s="45">
        <v>143</v>
      </c>
      <c r="M49" s="45">
        <v>141.4</v>
      </c>
      <c r="N49" s="45">
        <v>141.30000000000001</v>
      </c>
      <c r="O49" s="45">
        <v>141.30000000000001</v>
      </c>
      <c r="P49" s="45">
        <v>141.30000000000001</v>
      </c>
      <c r="Q49" s="45">
        <v>143.19999999999999</v>
      </c>
      <c r="R49" s="45">
        <v>133</v>
      </c>
      <c r="S49" s="45">
        <v>133</v>
      </c>
      <c r="T49" s="45">
        <v>127.4</v>
      </c>
      <c r="U49" s="45">
        <v>140</v>
      </c>
      <c r="V49" s="45">
        <v>140</v>
      </c>
      <c r="W49" s="45">
        <v>140</v>
      </c>
      <c r="X49" s="45">
        <v>140</v>
      </c>
      <c r="Y49" s="45">
        <v>140</v>
      </c>
      <c r="Z49" s="45">
        <v>140</v>
      </c>
      <c r="AA49" s="45">
        <v>140</v>
      </c>
      <c r="AB49" s="45">
        <v>140</v>
      </c>
      <c r="AC49" s="45">
        <v>140</v>
      </c>
      <c r="AD49" s="45">
        <v>138.30000000000001</v>
      </c>
      <c r="AE49" s="45">
        <v>90</v>
      </c>
      <c r="AF49" s="45">
        <v>70</v>
      </c>
      <c r="AG49" s="52">
        <v>144</v>
      </c>
      <c r="AH49" s="48">
        <f t="shared" si="2"/>
        <v>143.19999999999999</v>
      </c>
      <c r="AI49" s="49">
        <f t="shared" si="3"/>
        <v>0</v>
      </c>
      <c r="AK49" s="50"/>
    </row>
    <row r="50" spans="1:41" x14ac:dyDescent="0.25">
      <c r="A50" s="54" t="s">
        <v>54</v>
      </c>
      <c r="B50" s="65">
        <v>25.4</v>
      </c>
      <c r="C50" s="65">
        <v>0</v>
      </c>
      <c r="D50" s="65">
        <v>0</v>
      </c>
      <c r="E50" s="65">
        <v>0</v>
      </c>
      <c r="F50" s="65">
        <v>0</v>
      </c>
      <c r="G50" s="65">
        <v>44.3</v>
      </c>
      <c r="H50" s="65">
        <v>44.3</v>
      </c>
      <c r="I50" s="65">
        <v>72</v>
      </c>
      <c r="J50" s="65">
        <v>72.7</v>
      </c>
      <c r="K50" s="65">
        <v>72</v>
      </c>
      <c r="L50" s="65">
        <v>72</v>
      </c>
      <c r="M50" s="65">
        <v>69</v>
      </c>
      <c r="N50" s="45">
        <v>71.2</v>
      </c>
      <c r="O50" s="45">
        <v>70</v>
      </c>
      <c r="P50" s="45">
        <v>70</v>
      </c>
      <c r="Q50" s="45">
        <v>70.5</v>
      </c>
      <c r="R50" s="45">
        <v>70.599999999999994</v>
      </c>
      <c r="S50" s="45">
        <v>70.599999999999994</v>
      </c>
      <c r="T50" s="45">
        <v>53.3</v>
      </c>
      <c r="U50" s="65">
        <v>71.7</v>
      </c>
      <c r="V50" s="65">
        <v>71.7</v>
      </c>
      <c r="W50" s="65">
        <v>71.7</v>
      </c>
      <c r="X50" s="65">
        <v>71.7</v>
      </c>
      <c r="Y50" s="65">
        <v>71.7</v>
      </c>
      <c r="Z50" s="65">
        <v>71.7</v>
      </c>
      <c r="AA50" s="65">
        <v>71.7</v>
      </c>
      <c r="AB50" s="65">
        <v>71.7</v>
      </c>
      <c r="AC50" s="65">
        <v>71.7</v>
      </c>
      <c r="AD50" s="65">
        <v>35.9</v>
      </c>
      <c r="AE50" s="65">
        <v>35.9</v>
      </c>
      <c r="AF50" s="65">
        <v>35</v>
      </c>
      <c r="AG50" s="55">
        <v>70</v>
      </c>
      <c r="AH50" s="48">
        <f t="shared" si="2"/>
        <v>72.7</v>
      </c>
      <c r="AI50" s="49">
        <f t="shared" si="3"/>
        <v>0</v>
      </c>
      <c r="AK50" s="50"/>
    </row>
    <row r="51" spans="1:41" x14ac:dyDescent="0.25">
      <c r="A51" s="54" t="s">
        <v>55</v>
      </c>
      <c r="B51" s="65">
        <v>49.9</v>
      </c>
      <c r="C51" s="65">
        <v>32</v>
      </c>
      <c r="D51" s="65">
        <v>45.4</v>
      </c>
      <c r="E51" s="65">
        <v>33.9</v>
      </c>
      <c r="F51" s="65">
        <v>33.200000000000003</v>
      </c>
      <c r="G51" s="65">
        <v>33</v>
      </c>
      <c r="H51" s="65">
        <v>33</v>
      </c>
      <c r="I51" s="65">
        <v>46.2</v>
      </c>
      <c r="J51" s="65">
        <v>46.6</v>
      </c>
      <c r="K51" s="65">
        <v>69.900000000000006</v>
      </c>
      <c r="L51" s="65">
        <v>69.900000000000006</v>
      </c>
      <c r="M51" s="65">
        <v>68.5</v>
      </c>
      <c r="N51" s="45">
        <v>68.8</v>
      </c>
      <c r="O51" s="45">
        <v>68.2</v>
      </c>
      <c r="P51" s="45">
        <v>68.2</v>
      </c>
      <c r="Q51" s="45">
        <v>60</v>
      </c>
      <c r="R51" s="45">
        <v>46</v>
      </c>
      <c r="S51" s="45">
        <v>46</v>
      </c>
      <c r="T51" s="45">
        <v>46</v>
      </c>
      <c r="U51" s="65">
        <v>59</v>
      </c>
      <c r="V51" s="65">
        <v>68</v>
      </c>
      <c r="W51" s="65">
        <v>68</v>
      </c>
      <c r="X51" s="65">
        <v>68</v>
      </c>
      <c r="Y51" s="65">
        <v>68</v>
      </c>
      <c r="Z51" s="65">
        <v>68</v>
      </c>
      <c r="AA51" s="65">
        <v>68</v>
      </c>
      <c r="AB51" s="65">
        <v>68</v>
      </c>
      <c r="AC51" s="65">
        <v>68</v>
      </c>
      <c r="AD51" s="65">
        <v>69</v>
      </c>
      <c r="AE51" s="65">
        <v>50</v>
      </c>
      <c r="AF51" s="65">
        <v>50</v>
      </c>
      <c r="AG51" s="55">
        <v>69</v>
      </c>
      <c r="AH51" s="48">
        <f t="shared" si="2"/>
        <v>69.900000000000006</v>
      </c>
      <c r="AI51" s="49">
        <f t="shared" si="3"/>
        <v>32</v>
      </c>
      <c r="AK51" s="50"/>
    </row>
    <row r="52" spans="1:41" x14ac:dyDescent="0.25">
      <c r="A52" s="54" t="s">
        <v>56</v>
      </c>
      <c r="B52" s="65">
        <v>60.4</v>
      </c>
      <c r="C52" s="65">
        <v>60.4</v>
      </c>
      <c r="D52" s="65">
        <v>60.4</v>
      </c>
      <c r="E52" s="65">
        <v>60.4</v>
      </c>
      <c r="F52" s="57">
        <v>60.4</v>
      </c>
      <c r="G52" s="57">
        <v>60.2</v>
      </c>
      <c r="H52" s="57">
        <v>60.2</v>
      </c>
      <c r="I52" s="57">
        <v>60</v>
      </c>
      <c r="J52" s="57">
        <v>60</v>
      </c>
      <c r="K52" s="57">
        <v>60</v>
      </c>
      <c r="L52" s="57">
        <v>60</v>
      </c>
      <c r="M52" s="65">
        <v>61.2</v>
      </c>
      <c r="N52" s="45">
        <v>61.2</v>
      </c>
      <c r="O52" s="45">
        <v>61</v>
      </c>
      <c r="P52" s="45">
        <v>61</v>
      </c>
      <c r="Q52" s="45">
        <v>60.7</v>
      </c>
      <c r="R52" s="45">
        <v>60.7</v>
      </c>
      <c r="S52" s="45">
        <v>60.7</v>
      </c>
      <c r="T52" s="45">
        <v>61</v>
      </c>
      <c r="U52" s="45">
        <v>61</v>
      </c>
      <c r="V52" s="45">
        <v>61</v>
      </c>
      <c r="W52" s="45">
        <v>61</v>
      </c>
      <c r="X52" s="65">
        <v>61</v>
      </c>
      <c r="Y52" s="65">
        <v>61</v>
      </c>
      <c r="Z52" s="65">
        <v>61</v>
      </c>
      <c r="AA52" s="65">
        <v>61</v>
      </c>
      <c r="AB52" s="65">
        <v>61</v>
      </c>
      <c r="AC52" s="65">
        <v>61</v>
      </c>
      <c r="AD52" s="65">
        <v>61</v>
      </c>
      <c r="AE52" s="65">
        <v>61</v>
      </c>
      <c r="AF52" s="65">
        <v>61</v>
      </c>
      <c r="AG52" s="55">
        <v>60</v>
      </c>
      <c r="AH52" s="48">
        <f t="shared" si="2"/>
        <v>61.2</v>
      </c>
      <c r="AI52" s="49">
        <f t="shared" si="3"/>
        <v>60</v>
      </c>
      <c r="AK52" s="50"/>
    </row>
    <row r="53" spans="1:41" x14ac:dyDescent="0.25">
      <c r="A53" s="54" t="s">
        <v>57</v>
      </c>
      <c r="B53" s="65">
        <v>0</v>
      </c>
      <c r="C53" s="65">
        <v>0</v>
      </c>
      <c r="D53" s="65">
        <v>0</v>
      </c>
      <c r="E53" s="65">
        <v>0</v>
      </c>
      <c r="F53" s="57">
        <v>0</v>
      </c>
      <c r="G53" s="57">
        <v>13.2</v>
      </c>
      <c r="H53" s="57">
        <v>13.2</v>
      </c>
      <c r="I53" s="57">
        <v>13.2</v>
      </c>
      <c r="J53" s="57">
        <v>13.6</v>
      </c>
      <c r="K53" s="57">
        <v>13.6</v>
      </c>
      <c r="L53" s="57">
        <v>26.6</v>
      </c>
      <c r="M53" s="65">
        <v>29.3</v>
      </c>
      <c r="N53" s="45">
        <v>28.8</v>
      </c>
      <c r="O53" s="45">
        <v>13.3</v>
      </c>
      <c r="P53" s="45">
        <v>13.3</v>
      </c>
      <c r="Q53" s="45">
        <v>0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26.3</v>
      </c>
      <c r="X53" s="65">
        <v>29.5</v>
      </c>
      <c r="Y53" s="65">
        <v>29.5</v>
      </c>
      <c r="Z53" s="65">
        <v>29.5</v>
      </c>
      <c r="AA53" s="65">
        <v>29.5</v>
      </c>
      <c r="AB53" s="65">
        <v>29.5</v>
      </c>
      <c r="AC53" s="65">
        <v>29.5</v>
      </c>
      <c r="AD53" s="65">
        <v>15</v>
      </c>
      <c r="AE53" s="65">
        <v>0</v>
      </c>
      <c r="AF53" s="65">
        <v>0</v>
      </c>
      <c r="AG53" s="55">
        <v>30</v>
      </c>
      <c r="AH53" s="48">
        <f t="shared" si="2"/>
        <v>29.5</v>
      </c>
      <c r="AI53" s="49">
        <f t="shared" si="3"/>
        <v>0</v>
      </c>
      <c r="AK53" s="50"/>
    </row>
    <row r="54" spans="1:41" x14ac:dyDescent="0.25">
      <c r="A54" s="54" t="s">
        <v>58</v>
      </c>
      <c r="B54" s="45">
        <v>0</v>
      </c>
      <c r="C54" s="45">
        <v>0</v>
      </c>
      <c r="D54" s="45">
        <v>0</v>
      </c>
      <c r="E54" s="4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2</v>
      </c>
      <c r="N54" s="65">
        <v>4</v>
      </c>
      <c r="O54" s="65">
        <v>6</v>
      </c>
      <c r="P54" s="65">
        <v>6</v>
      </c>
      <c r="Q54" s="65">
        <v>8</v>
      </c>
      <c r="R54" s="45">
        <v>8</v>
      </c>
      <c r="S54" s="45">
        <v>8</v>
      </c>
      <c r="T54" s="45">
        <v>8</v>
      </c>
      <c r="U54" s="45">
        <v>8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5">
        <v>25</v>
      </c>
      <c r="AH54" s="48">
        <f t="shared" si="2"/>
        <v>8</v>
      </c>
      <c r="AI54" s="49">
        <f t="shared" si="3"/>
        <v>0</v>
      </c>
      <c r="AK54" s="50"/>
    </row>
    <row r="55" spans="1:41" x14ac:dyDescent="0.25">
      <c r="A55" s="54" t="s">
        <v>59</v>
      </c>
      <c r="B55" s="45">
        <v>17.3</v>
      </c>
      <c r="C55" s="45">
        <v>17.3</v>
      </c>
      <c r="D55" s="45">
        <v>17.3</v>
      </c>
      <c r="E55" s="45">
        <v>17.3</v>
      </c>
      <c r="F55" s="65">
        <v>18.100000000000001</v>
      </c>
      <c r="G55" s="65">
        <v>18</v>
      </c>
      <c r="H55" s="65">
        <v>18</v>
      </c>
      <c r="I55" s="65">
        <v>18</v>
      </c>
      <c r="J55" s="65">
        <v>18.100000000000001</v>
      </c>
      <c r="K55" s="65">
        <v>18.100000000000001</v>
      </c>
      <c r="L55" s="65">
        <v>18.100000000000001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45">
        <v>17.100000000000001</v>
      </c>
      <c r="S55" s="45">
        <v>17.100000000000001</v>
      </c>
      <c r="T55" s="45">
        <v>17.100000000000001</v>
      </c>
      <c r="U55" s="45">
        <v>17.100000000000001</v>
      </c>
      <c r="V55" s="45">
        <v>17.100000000000001</v>
      </c>
      <c r="W55" s="45">
        <v>17.100000000000001</v>
      </c>
      <c r="X55" s="45">
        <v>17.100000000000001</v>
      </c>
      <c r="Y55" s="45">
        <v>17.100000000000001</v>
      </c>
      <c r="Z55" s="45">
        <v>17.100000000000001</v>
      </c>
      <c r="AA55" s="45">
        <v>17.100000000000001</v>
      </c>
      <c r="AB55" s="45">
        <v>17.100000000000001</v>
      </c>
      <c r="AC55" s="45">
        <v>17.100000000000001</v>
      </c>
      <c r="AD55" s="45">
        <v>17.100000000000001</v>
      </c>
      <c r="AE55" s="45">
        <v>17.100000000000001</v>
      </c>
      <c r="AF55" s="45">
        <v>17.100000000000001</v>
      </c>
      <c r="AG55" s="55">
        <v>24</v>
      </c>
      <c r="AH55" s="48">
        <f t="shared" si="2"/>
        <v>18.100000000000001</v>
      </c>
      <c r="AI55" s="49">
        <f t="shared" si="3"/>
        <v>17.100000000000001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15.4</v>
      </c>
      <c r="C57" s="65">
        <v>15.4</v>
      </c>
      <c r="D57" s="65">
        <v>15.4</v>
      </c>
      <c r="E57" s="65">
        <v>15.4</v>
      </c>
      <c r="F57" s="65">
        <v>15.7</v>
      </c>
      <c r="G57" s="65">
        <v>15.5</v>
      </c>
      <c r="H57" s="65">
        <v>15.5</v>
      </c>
      <c r="I57" s="65">
        <v>15.5</v>
      </c>
      <c r="J57" s="65">
        <v>14.3</v>
      </c>
      <c r="K57" s="65">
        <v>14.3</v>
      </c>
      <c r="L57" s="65">
        <v>14.3</v>
      </c>
      <c r="M57" s="65">
        <v>14.1</v>
      </c>
      <c r="N57" s="65">
        <v>14.1</v>
      </c>
      <c r="O57" s="65">
        <v>14.1</v>
      </c>
      <c r="P57" s="65">
        <v>14.1</v>
      </c>
      <c r="Q57" s="65">
        <v>14.1</v>
      </c>
      <c r="R57" s="65">
        <v>14.6</v>
      </c>
      <c r="S57" s="65">
        <v>14.6</v>
      </c>
      <c r="T57" s="65">
        <v>14.6</v>
      </c>
      <c r="U57" s="65">
        <v>14.6</v>
      </c>
      <c r="V57" s="65">
        <v>14.6</v>
      </c>
      <c r="W57" s="65">
        <v>14.6</v>
      </c>
      <c r="X57" s="65">
        <v>14.6</v>
      </c>
      <c r="Y57" s="65">
        <v>14.6</v>
      </c>
      <c r="Z57" s="65">
        <v>14.6</v>
      </c>
      <c r="AA57" s="65">
        <v>14.6</v>
      </c>
      <c r="AB57" s="65">
        <v>14.6</v>
      </c>
      <c r="AC57" s="65">
        <v>14.6</v>
      </c>
      <c r="AD57" s="65">
        <v>14.6</v>
      </c>
      <c r="AE57" s="65">
        <v>14.6</v>
      </c>
      <c r="AF57" s="65">
        <v>14.6</v>
      </c>
      <c r="AG57" s="55">
        <v>14.1</v>
      </c>
      <c r="AH57" s="48">
        <f t="shared" si="2"/>
        <v>15.7</v>
      </c>
      <c r="AI57" s="49">
        <f t="shared" si="3"/>
        <v>14.1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7.3</v>
      </c>
      <c r="C58" s="65">
        <v>7.3</v>
      </c>
      <c r="D58" s="65">
        <v>7.3</v>
      </c>
      <c r="E58" s="65">
        <v>7.3</v>
      </c>
      <c r="F58" s="65">
        <v>7.3</v>
      </c>
      <c r="G58" s="65">
        <v>9</v>
      </c>
      <c r="H58" s="65">
        <v>9</v>
      </c>
      <c r="I58" s="65">
        <v>9</v>
      </c>
      <c r="J58" s="65">
        <v>8.1</v>
      </c>
      <c r="K58" s="65">
        <v>8.1</v>
      </c>
      <c r="L58" s="65">
        <v>8.1</v>
      </c>
      <c r="M58" s="65">
        <v>5.7</v>
      </c>
      <c r="N58" s="65">
        <v>5.7</v>
      </c>
      <c r="O58" s="65">
        <v>5.7</v>
      </c>
      <c r="P58" s="65">
        <v>5.7</v>
      </c>
      <c r="Q58" s="65">
        <v>5.7</v>
      </c>
      <c r="R58" s="65">
        <v>7</v>
      </c>
      <c r="S58" s="65">
        <v>7</v>
      </c>
      <c r="T58" s="65">
        <v>7</v>
      </c>
      <c r="U58" s="65">
        <v>7</v>
      </c>
      <c r="V58" s="65">
        <v>7</v>
      </c>
      <c r="W58" s="65">
        <v>7</v>
      </c>
      <c r="X58" s="65">
        <v>7</v>
      </c>
      <c r="Y58" s="65">
        <v>7</v>
      </c>
      <c r="Z58" s="65">
        <v>7</v>
      </c>
      <c r="AA58" s="65">
        <v>7</v>
      </c>
      <c r="AB58" s="65">
        <v>7</v>
      </c>
      <c r="AC58" s="65">
        <v>7</v>
      </c>
      <c r="AD58" s="65">
        <v>7</v>
      </c>
      <c r="AE58" s="65">
        <v>7</v>
      </c>
      <c r="AF58" s="65">
        <v>7</v>
      </c>
      <c r="AG58" s="55">
        <v>14</v>
      </c>
      <c r="AH58" s="48">
        <f t="shared" si="2"/>
        <v>9</v>
      </c>
      <c r="AI58" s="49">
        <f t="shared" si="3"/>
        <v>5.7</v>
      </c>
      <c r="AK58" s="50"/>
    </row>
    <row r="59" spans="1:41" x14ac:dyDescent="0.25">
      <c r="A59" s="54" t="s">
        <v>63</v>
      </c>
      <c r="B59" s="65">
        <v>5.4</v>
      </c>
      <c r="C59" s="65">
        <v>5.4</v>
      </c>
      <c r="D59" s="65">
        <v>5.4</v>
      </c>
      <c r="E59" s="65">
        <v>5.4</v>
      </c>
      <c r="F59" s="65">
        <v>5.4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6.5</v>
      </c>
      <c r="S59" s="65">
        <v>6.5</v>
      </c>
      <c r="T59" s="65">
        <v>6.5</v>
      </c>
      <c r="U59" s="65">
        <v>6.5</v>
      </c>
      <c r="V59" s="65">
        <v>6.5</v>
      </c>
      <c r="W59" s="65">
        <v>6.5</v>
      </c>
      <c r="X59" s="65">
        <v>6.5</v>
      </c>
      <c r="Y59" s="65">
        <v>6.5</v>
      </c>
      <c r="Z59" s="65">
        <v>6.5</v>
      </c>
      <c r="AA59" s="65">
        <v>6.5</v>
      </c>
      <c r="AB59" s="65">
        <v>6.5</v>
      </c>
      <c r="AC59" s="65">
        <v>6.5</v>
      </c>
      <c r="AD59" s="65">
        <v>6.5</v>
      </c>
      <c r="AE59" s="65">
        <v>6.5</v>
      </c>
      <c r="AF59" s="65">
        <v>6.5</v>
      </c>
      <c r="AG59" s="55">
        <v>10.050000000000001</v>
      </c>
      <c r="AH59" s="48">
        <f t="shared" si="2"/>
        <v>6.5</v>
      </c>
      <c r="AI59" s="49">
        <f t="shared" si="3"/>
        <v>5.2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>
        <v>3.6</v>
      </c>
      <c r="O60" s="65">
        <v>3.6</v>
      </c>
      <c r="P60" s="65">
        <v>3.6</v>
      </c>
      <c r="Q60" s="65">
        <v>3.6</v>
      </c>
      <c r="R60" s="65">
        <v>3.6</v>
      </c>
      <c r="S60" s="65">
        <v>3.6</v>
      </c>
      <c r="T60" s="65">
        <v>3.6</v>
      </c>
      <c r="U60" s="65">
        <v>3.6</v>
      </c>
      <c r="V60" s="65">
        <v>3.6</v>
      </c>
      <c r="W60" s="65">
        <v>3.6</v>
      </c>
      <c r="X60" s="65">
        <v>3.6</v>
      </c>
      <c r="Y60" s="65">
        <v>3.6</v>
      </c>
      <c r="Z60" s="65">
        <v>3.6</v>
      </c>
      <c r="AA60" s="65">
        <v>3.6</v>
      </c>
      <c r="AB60" s="65">
        <v>3.6</v>
      </c>
      <c r="AC60" s="65">
        <v>3.6</v>
      </c>
      <c r="AD60" s="65">
        <v>3.6</v>
      </c>
      <c r="AE60" s="65">
        <v>3.6</v>
      </c>
      <c r="AF60" s="65">
        <v>3.6</v>
      </c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" si="8">SUM(B49:B61)</f>
        <v>235.24000000000004</v>
      </c>
      <c r="C62" s="61">
        <f t="shared" ref="C62:AG62" si="9">SUM(C49:C61)</f>
        <v>144.94</v>
      </c>
      <c r="D62" s="61">
        <f t="shared" si="9"/>
        <v>158.34</v>
      </c>
      <c r="E62" s="61">
        <f t="shared" si="9"/>
        <v>146.84</v>
      </c>
      <c r="F62" s="61">
        <f t="shared" si="9"/>
        <v>147.23999999999998</v>
      </c>
      <c r="G62" s="61">
        <f t="shared" si="9"/>
        <v>205.53999999999996</v>
      </c>
      <c r="H62" s="61">
        <f t="shared" si="9"/>
        <v>205.53999999999996</v>
      </c>
      <c r="I62" s="61">
        <f t="shared" si="9"/>
        <v>326.24</v>
      </c>
      <c r="J62" s="61">
        <f t="shared" si="9"/>
        <v>359.74000000000007</v>
      </c>
      <c r="K62" s="61">
        <f t="shared" si="9"/>
        <v>411.34000000000009</v>
      </c>
      <c r="L62" s="61">
        <f t="shared" si="9"/>
        <v>424.34000000000009</v>
      </c>
      <c r="M62" s="61">
        <f t="shared" si="9"/>
        <v>420.64000000000004</v>
      </c>
      <c r="N62" s="61">
        <f t="shared" si="9"/>
        <v>424.54000000000008</v>
      </c>
      <c r="O62" s="61">
        <f t="shared" si="9"/>
        <v>409.04000000000008</v>
      </c>
      <c r="P62" s="61">
        <f t="shared" si="9"/>
        <v>409.04000000000008</v>
      </c>
      <c r="Q62" s="61">
        <f t="shared" si="9"/>
        <v>391.64000000000004</v>
      </c>
      <c r="R62" s="61">
        <f t="shared" si="9"/>
        <v>370.6400000000001</v>
      </c>
      <c r="S62" s="61">
        <f t="shared" si="9"/>
        <v>370.6400000000001</v>
      </c>
      <c r="T62" s="61">
        <f t="shared" si="9"/>
        <v>348.04000000000008</v>
      </c>
      <c r="U62" s="61">
        <f t="shared" si="9"/>
        <v>392.04000000000008</v>
      </c>
      <c r="V62" s="61">
        <f t="shared" si="9"/>
        <v>393.04000000000008</v>
      </c>
      <c r="W62" s="61">
        <f t="shared" si="9"/>
        <v>419.34000000000009</v>
      </c>
      <c r="X62" s="61">
        <f t="shared" si="9"/>
        <v>422.54000000000008</v>
      </c>
      <c r="Y62" s="61">
        <f t="shared" si="9"/>
        <v>422.54000000000008</v>
      </c>
      <c r="Z62" s="61">
        <f t="shared" si="9"/>
        <v>422.54000000000008</v>
      </c>
      <c r="AA62" s="61">
        <f t="shared" si="9"/>
        <v>422.54000000000008</v>
      </c>
      <c r="AB62" s="61">
        <f t="shared" si="9"/>
        <v>422.54000000000008</v>
      </c>
      <c r="AC62" s="61">
        <f t="shared" si="9"/>
        <v>422.54000000000008</v>
      </c>
      <c r="AD62" s="61">
        <f t="shared" si="9"/>
        <v>371.54000000000013</v>
      </c>
      <c r="AE62" s="61">
        <f t="shared" si="9"/>
        <v>289.24000000000007</v>
      </c>
      <c r="AF62" s="61">
        <f t="shared" si="9"/>
        <v>268.34000000000003</v>
      </c>
      <c r="AG62" s="62">
        <f t="shared" si="9"/>
        <v>489.91</v>
      </c>
      <c r="AH62" s="48">
        <f t="shared" si="2"/>
        <v>424.54000000000008</v>
      </c>
      <c r="AI62" s="49">
        <f t="shared" si="3"/>
        <v>144.94</v>
      </c>
      <c r="AK62" s="50"/>
    </row>
    <row r="63" spans="1:41" x14ac:dyDescent="0.25">
      <c r="A63" s="44" t="s">
        <v>67</v>
      </c>
      <c r="B63" s="45"/>
      <c r="C63" s="45"/>
      <c r="D63" s="45"/>
      <c r="E63" s="45"/>
      <c r="F63" s="45"/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50</v>
      </c>
      <c r="M63" s="45">
        <v>59.8</v>
      </c>
      <c r="N63" s="45">
        <v>39.4</v>
      </c>
      <c r="O63" s="45">
        <v>35</v>
      </c>
      <c r="P63" s="45">
        <v>20.5</v>
      </c>
      <c r="Q63" s="45">
        <v>10</v>
      </c>
      <c r="R63" s="45">
        <v>0</v>
      </c>
      <c r="S63" s="45">
        <v>0</v>
      </c>
      <c r="T63" s="45">
        <v>0</v>
      </c>
      <c r="U63" s="45">
        <v>0</v>
      </c>
      <c r="V63" s="45">
        <v>14</v>
      </c>
      <c r="W63" s="45">
        <v>60.7</v>
      </c>
      <c r="X63" s="45">
        <v>58.4</v>
      </c>
      <c r="Y63" s="45">
        <v>58.4</v>
      </c>
      <c r="Z63" s="45">
        <v>58.4</v>
      </c>
      <c r="AA63" s="45">
        <v>58.4</v>
      </c>
      <c r="AB63" s="45">
        <v>58.4</v>
      </c>
      <c r="AC63" s="45">
        <v>58.4</v>
      </c>
      <c r="AD63" s="45">
        <v>0</v>
      </c>
      <c r="AE63" s="45">
        <v>0</v>
      </c>
      <c r="AF63" s="45">
        <v>0</v>
      </c>
      <c r="AG63" s="52">
        <v>60</v>
      </c>
      <c r="AH63" s="48">
        <f t="shared" si="2"/>
        <v>60.7</v>
      </c>
      <c r="AI63" s="49">
        <f t="shared" si="3"/>
        <v>0</v>
      </c>
      <c r="AK63" s="50"/>
    </row>
    <row r="64" spans="1:41" x14ac:dyDescent="0.25">
      <c r="A64" s="54" t="s">
        <v>68</v>
      </c>
      <c r="B64" s="65"/>
      <c r="C64" s="65"/>
      <c r="D64" s="65"/>
      <c r="E64" s="65"/>
      <c r="F64" s="65"/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17.3</v>
      </c>
      <c r="M64" s="65">
        <v>25.3</v>
      </c>
      <c r="N64" s="65">
        <v>22.8</v>
      </c>
      <c r="O64" s="65">
        <v>14.8</v>
      </c>
      <c r="P64" s="65">
        <v>15.8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25.4</v>
      </c>
      <c r="X64" s="65">
        <v>28.4</v>
      </c>
      <c r="Y64" s="65">
        <v>28.4</v>
      </c>
      <c r="Z64" s="65">
        <v>28.4</v>
      </c>
      <c r="AA64" s="65">
        <v>28.4</v>
      </c>
      <c r="AB64" s="65">
        <v>28.4</v>
      </c>
      <c r="AC64" s="65">
        <v>28.4</v>
      </c>
      <c r="AD64" s="65">
        <v>5</v>
      </c>
      <c r="AE64" s="65">
        <v>0</v>
      </c>
      <c r="AF64" s="65">
        <v>0</v>
      </c>
      <c r="AG64" s="55">
        <v>32</v>
      </c>
      <c r="AH64" s="48">
        <f t="shared" si="2"/>
        <v>28.4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/>
      <c r="C65" s="67"/>
      <c r="D65" s="67"/>
      <c r="E65" s="67"/>
      <c r="F65" s="67"/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6.3</v>
      </c>
      <c r="M65" s="67">
        <v>9.3000000000000007</v>
      </c>
      <c r="N65" s="67">
        <v>8.3000000000000007</v>
      </c>
      <c r="O65" s="67">
        <v>5.4</v>
      </c>
      <c r="P65" s="67">
        <v>5.8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9.3000000000000007</v>
      </c>
      <c r="X65" s="67">
        <v>10.4</v>
      </c>
      <c r="Y65" s="67">
        <v>10.4</v>
      </c>
      <c r="Z65" s="67">
        <v>10.4</v>
      </c>
      <c r="AA65" s="67">
        <v>10.4</v>
      </c>
      <c r="AB65" s="67">
        <v>10.4</v>
      </c>
      <c r="AC65" s="67">
        <v>10.4</v>
      </c>
      <c r="AD65" s="67">
        <v>2</v>
      </c>
      <c r="AE65" s="67">
        <v>0</v>
      </c>
      <c r="AF65" s="67">
        <v>0</v>
      </c>
      <c r="AG65" s="68">
        <v>14</v>
      </c>
      <c r="AH65" s="48">
        <f t="shared" si="2"/>
        <v>10.4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" si="10">SUM(B63:B65)</f>
        <v>0</v>
      </c>
      <c r="C66" s="61">
        <f t="shared" ref="C66:AG66" si="11">SUM(C63:C65)</f>
        <v>0</v>
      </c>
      <c r="D66" s="61">
        <f t="shared" si="11"/>
        <v>0</v>
      </c>
      <c r="E66" s="61">
        <f t="shared" si="11"/>
        <v>0</v>
      </c>
      <c r="F66" s="61">
        <f t="shared" si="11"/>
        <v>0</v>
      </c>
      <c r="G66" s="61">
        <f t="shared" si="11"/>
        <v>0</v>
      </c>
      <c r="H66" s="61">
        <f t="shared" si="11"/>
        <v>0</v>
      </c>
      <c r="I66" s="61">
        <f t="shared" si="11"/>
        <v>0</v>
      </c>
      <c r="J66" s="61">
        <f t="shared" si="11"/>
        <v>0</v>
      </c>
      <c r="K66" s="61">
        <f t="shared" si="11"/>
        <v>0</v>
      </c>
      <c r="L66" s="61">
        <f t="shared" si="11"/>
        <v>73.599999999999994</v>
      </c>
      <c r="M66" s="61">
        <f t="shared" si="11"/>
        <v>94.399999999999991</v>
      </c>
      <c r="N66" s="61">
        <f t="shared" si="11"/>
        <v>70.5</v>
      </c>
      <c r="O66" s="61">
        <f t="shared" si="11"/>
        <v>55.199999999999996</v>
      </c>
      <c r="P66" s="61">
        <f t="shared" si="11"/>
        <v>42.099999999999994</v>
      </c>
      <c r="Q66" s="61">
        <f t="shared" si="11"/>
        <v>10</v>
      </c>
      <c r="R66" s="61">
        <f t="shared" si="11"/>
        <v>0</v>
      </c>
      <c r="S66" s="61">
        <f t="shared" si="11"/>
        <v>0</v>
      </c>
      <c r="T66" s="61">
        <f t="shared" si="11"/>
        <v>0</v>
      </c>
      <c r="U66" s="61">
        <f t="shared" si="11"/>
        <v>0</v>
      </c>
      <c r="V66" s="61">
        <f t="shared" si="11"/>
        <v>14</v>
      </c>
      <c r="W66" s="61">
        <f t="shared" si="11"/>
        <v>95.399999999999991</v>
      </c>
      <c r="X66" s="61">
        <f t="shared" si="11"/>
        <v>97.2</v>
      </c>
      <c r="Y66" s="61">
        <f t="shared" si="11"/>
        <v>97.2</v>
      </c>
      <c r="Z66" s="61">
        <f t="shared" si="11"/>
        <v>97.2</v>
      </c>
      <c r="AA66" s="61">
        <f t="shared" si="11"/>
        <v>97.2</v>
      </c>
      <c r="AB66" s="61">
        <f t="shared" si="11"/>
        <v>97.2</v>
      </c>
      <c r="AC66" s="61">
        <f t="shared" si="11"/>
        <v>97.2</v>
      </c>
      <c r="AD66" s="61">
        <f t="shared" si="11"/>
        <v>7</v>
      </c>
      <c r="AE66" s="61">
        <f t="shared" si="11"/>
        <v>0</v>
      </c>
      <c r="AF66" s="61">
        <f t="shared" si="11"/>
        <v>0</v>
      </c>
      <c r="AG66" s="62">
        <f t="shared" si="11"/>
        <v>106</v>
      </c>
      <c r="AH66" s="48">
        <f t="shared" si="2"/>
        <v>97.2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57.4</v>
      </c>
      <c r="C67" s="45">
        <v>55</v>
      </c>
      <c r="D67" s="45">
        <v>63</v>
      </c>
      <c r="E67" s="45">
        <v>63</v>
      </c>
      <c r="F67" s="45">
        <v>64</v>
      </c>
      <c r="G67" s="45">
        <v>60</v>
      </c>
      <c r="H67" s="45"/>
      <c r="I67" s="45">
        <v>65</v>
      </c>
      <c r="J67" s="45">
        <v>63.9</v>
      </c>
      <c r="K67" s="45">
        <v>43</v>
      </c>
      <c r="L67" s="45">
        <v>42</v>
      </c>
      <c r="M67" s="45">
        <v>45.8</v>
      </c>
      <c r="N67" s="45">
        <v>55.5</v>
      </c>
      <c r="O67" s="45">
        <v>68.099999999999994</v>
      </c>
      <c r="P67" s="45">
        <v>78</v>
      </c>
      <c r="Q67" s="45">
        <v>0</v>
      </c>
      <c r="R67" s="45">
        <v>65.2</v>
      </c>
      <c r="S67" s="45">
        <v>71.7</v>
      </c>
      <c r="T67" s="45">
        <v>56.6</v>
      </c>
      <c r="U67" s="45">
        <v>77</v>
      </c>
      <c r="V67" s="45">
        <v>74.5</v>
      </c>
      <c r="W67" s="45">
        <v>53.6</v>
      </c>
      <c r="X67" s="45">
        <v>61.9</v>
      </c>
      <c r="Y67" s="45">
        <v>55.6</v>
      </c>
      <c r="Z67" s="45">
        <v>38</v>
      </c>
      <c r="AA67" s="45">
        <v>40</v>
      </c>
      <c r="AB67" s="45">
        <v>52</v>
      </c>
      <c r="AC67" s="45">
        <v>53</v>
      </c>
      <c r="AD67" s="45">
        <v>51</v>
      </c>
      <c r="AE67" s="45">
        <v>56</v>
      </c>
      <c r="AF67" s="45">
        <v>52</v>
      </c>
      <c r="AG67" s="52"/>
      <c r="AH67" s="48">
        <f t="shared" si="2"/>
        <v>78</v>
      </c>
      <c r="AI67" s="49">
        <f t="shared" si="3"/>
        <v>0</v>
      </c>
      <c r="AK67" s="50"/>
    </row>
    <row r="68" spans="1:37" x14ac:dyDescent="0.25">
      <c r="A68" s="54" t="s">
        <v>72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47.2</v>
      </c>
      <c r="C69" s="65">
        <v>102</v>
      </c>
      <c r="D69" s="65">
        <v>113</v>
      </c>
      <c r="E69" s="65">
        <v>107</v>
      </c>
      <c r="F69" s="65">
        <v>113</v>
      </c>
      <c r="G69" s="65">
        <v>107</v>
      </c>
      <c r="H69" s="65"/>
      <c r="I69" s="65">
        <v>52</v>
      </c>
      <c r="J69" s="65">
        <v>7</v>
      </c>
      <c r="K69" s="65">
        <v>-85</v>
      </c>
      <c r="L69" s="65">
        <v>-86</v>
      </c>
      <c r="M69" s="65">
        <v>-104.1</v>
      </c>
      <c r="N69" s="65">
        <v>-84.2</v>
      </c>
      <c r="O69" s="65">
        <v>-70.900000000000006</v>
      </c>
      <c r="P69" s="65">
        <v>102</v>
      </c>
      <c r="Q69" s="65">
        <v>146.19999999999999</v>
      </c>
      <c r="R69" s="65">
        <v>168</v>
      </c>
      <c r="S69" s="65">
        <v>150</v>
      </c>
      <c r="T69" s="65">
        <v>172</v>
      </c>
      <c r="U69" s="65">
        <v>146</v>
      </c>
      <c r="V69" s="65">
        <v>-3.9</v>
      </c>
      <c r="W69" s="65">
        <v>-25</v>
      </c>
      <c r="X69" s="65">
        <v>-61</v>
      </c>
      <c r="Y69" s="65">
        <v>-66.3</v>
      </c>
      <c r="Z69" s="65">
        <v>-63.4</v>
      </c>
      <c r="AA69" s="65">
        <v>-41</v>
      </c>
      <c r="AB69" s="65">
        <v>-68</v>
      </c>
      <c r="AC69" s="65">
        <v>-85</v>
      </c>
      <c r="AD69" s="65">
        <v>0</v>
      </c>
      <c r="AE69" s="65">
        <v>0</v>
      </c>
      <c r="AF69" s="65">
        <v>0</v>
      </c>
      <c r="AG69" s="75"/>
      <c r="AH69" s="48">
        <f t="shared" si="2"/>
        <v>172</v>
      </c>
      <c r="AI69" s="49">
        <f t="shared" si="3"/>
        <v>-104.1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  <c r="Z70" s="76">
        <v>0</v>
      </c>
      <c r="AA70" s="76">
        <v>0</v>
      </c>
      <c r="AB70" s="76">
        <v>0</v>
      </c>
      <c r="AC70" s="76">
        <v>0</v>
      </c>
      <c r="AD70" s="76">
        <v>0</v>
      </c>
      <c r="AE70" s="76">
        <v>0</v>
      </c>
      <c r="AF70" s="76">
        <v>0</v>
      </c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/>
      <c r="C71" s="45"/>
      <c r="D71" s="45"/>
      <c r="E71" s="45"/>
      <c r="F71" s="45"/>
      <c r="G71" s="45"/>
      <c r="H71" s="45"/>
      <c r="I71" s="45"/>
      <c r="J71" s="45"/>
      <c r="K71" s="45">
        <v>0</v>
      </c>
      <c r="L71" s="45">
        <v>0</v>
      </c>
      <c r="M71" s="45">
        <v>0</v>
      </c>
      <c r="N71" s="76">
        <v>0</v>
      </c>
      <c r="O71" s="45">
        <v>0</v>
      </c>
      <c r="P71" s="76">
        <v>0</v>
      </c>
      <c r="Q71" s="45">
        <v>0</v>
      </c>
      <c r="R71" s="76">
        <v>0</v>
      </c>
      <c r="S71" s="76">
        <v>0</v>
      </c>
      <c r="T71" s="45">
        <v>0</v>
      </c>
      <c r="U71" s="45">
        <v>0</v>
      </c>
      <c r="V71" s="45">
        <v>0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/>
      <c r="C72" s="77"/>
      <c r="D72" s="77"/>
      <c r="E72" s="77"/>
      <c r="F72" s="77"/>
      <c r="G72" s="77"/>
      <c r="H72" s="77"/>
      <c r="I72" s="77"/>
      <c r="J72" s="77"/>
      <c r="K72" s="77">
        <v>0</v>
      </c>
      <c r="L72" s="77">
        <v>0</v>
      </c>
      <c r="M72" s="45">
        <v>0</v>
      </c>
      <c r="N72" s="76">
        <v>0</v>
      </c>
      <c r="O72" s="77">
        <v>0</v>
      </c>
      <c r="P72" s="76">
        <v>0</v>
      </c>
      <c r="Q72" s="45">
        <v>0</v>
      </c>
      <c r="R72" s="76">
        <v>0</v>
      </c>
      <c r="S72" s="76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>
        <v>0</v>
      </c>
      <c r="M73" s="45">
        <v>0</v>
      </c>
      <c r="N73" s="76">
        <v>0</v>
      </c>
      <c r="O73" s="77">
        <v>0</v>
      </c>
      <c r="P73" s="76">
        <v>0</v>
      </c>
      <c r="Q73" s="45">
        <v>0</v>
      </c>
      <c r="R73" s="76">
        <v>0</v>
      </c>
      <c r="S73" s="76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/>
      <c r="C74" s="76"/>
      <c r="D74" s="76"/>
      <c r="E74" s="76"/>
      <c r="F74" s="76"/>
      <c r="G74" s="76"/>
      <c r="H74" s="76"/>
      <c r="I74" s="76"/>
      <c r="J74" s="76"/>
      <c r="K74" s="76">
        <v>0</v>
      </c>
      <c r="L74" s="76">
        <v>0</v>
      </c>
      <c r="M74" s="45">
        <v>0</v>
      </c>
      <c r="N74" s="76">
        <v>0</v>
      </c>
      <c r="O74" s="76">
        <v>0</v>
      </c>
      <c r="P74" s="76">
        <v>0</v>
      </c>
      <c r="Q74" s="45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  <c r="Z74" s="76">
        <v>0</v>
      </c>
      <c r="AA74" s="76">
        <v>0</v>
      </c>
      <c r="AB74" s="76">
        <v>0</v>
      </c>
      <c r="AC74" s="76">
        <v>0</v>
      </c>
      <c r="AD74" s="76">
        <v>0</v>
      </c>
      <c r="AE74" s="76">
        <v>0</v>
      </c>
      <c r="AF74" s="76">
        <v>0</v>
      </c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/>
      <c r="C75" s="76"/>
      <c r="D75" s="76"/>
      <c r="E75" s="76"/>
      <c r="F75" s="76"/>
      <c r="G75" s="76"/>
      <c r="H75" s="76"/>
      <c r="I75" s="76"/>
      <c r="J75" s="76"/>
      <c r="K75" s="76">
        <v>0</v>
      </c>
      <c r="L75" s="76">
        <v>0</v>
      </c>
      <c r="M75" s="45">
        <v>0</v>
      </c>
      <c r="N75" s="76">
        <v>0</v>
      </c>
      <c r="O75" s="76">
        <v>0</v>
      </c>
      <c r="P75" s="76">
        <v>0</v>
      </c>
      <c r="Q75" s="45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6">
        <v>0</v>
      </c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/>
      <c r="C76" s="79"/>
      <c r="D76" s="79"/>
      <c r="E76" s="79"/>
      <c r="F76" s="79"/>
      <c r="G76" s="79"/>
      <c r="H76" s="79"/>
      <c r="I76" s="79"/>
      <c r="J76" s="79"/>
      <c r="K76" s="79">
        <v>0</v>
      </c>
      <c r="L76" s="79">
        <v>0</v>
      </c>
      <c r="M76" s="45">
        <v>0</v>
      </c>
      <c r="N76" s="76">
        <v>0</v>
      </c>
      <c r="O76" s="79">
        <v>0</v>
      </c>
      <c r="P76" s="76">
        <v>0</v>
      </c>
      <c r="Q76" s="45">
        <v>0</v>
      </c>
      <c r="R76" s="76">
        <v>0</v>
      </c>
      <c r="S76" s="76">
        <v>0</v>
      </c>
      <c r="T76" s="79">
        <v>0</v>
      </c>
      <c r="U76" s="79">
        <v>0</v>
      </c>
      <c r="V76" s="79">
        <v>0</v>
      </c>
      <c r="W76" s="79">
        <v>0</v>
      </c>
      <c r="X76" s="79">
        <v>0</v>
      </c>
      <c r="Y76" s="79">
        <v>0</v>
      </c>
      <c r="Z76" s="79">
        <v>0</v>
      </c>
      <c r="AA76" s="79">
        <v>0</v>
      </c>
      <c r="AB76" s="79">
        <v>0</v>
      </c>
      <c r="AC76" s="79">
        <v>0</v>
      </c>
      <c r="AD76" s="79">
        <v>0</v>
      </c>
      <c r="AE76" s="79">
        <v>0</v>
      </c>
      <c r="AF76" s="79">
        <v>0</v>
      </c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/>
      <c r="C77" s="79"/>
      <c r="D77" s="79"/>
      <c r="E77" s="79"/>
      <c r="F77" s="79"/>
      <c r="G77" s="79"/>
      <c r="H77" s="79"/>
      <c r="I77" s="79"/>
      <c r="J77" s="79"/>
      <c r="K77" s="79">
        <v>0</v>
      </c>
      <c r="L77" s="79">
        <v>0</v>
      </c>
      <c r="M77" s="45">
        <v>0</v>
      </c>
      <c r="N77" s="76">
        <v>0</v>
      </c>
      <c r="O77" s="79">
        <v>0</v>
      </c>
      <c r="P77" s="76">
        <v>0</v>
      </c>
      <c r="Q77" s="45">
        <v>0</v>
      </c>
      <c r="R77" s="76">
        <v>0</v>
      </c>
      <c r="S77" s="76">
        <v>0</v>
      </c>
      <c r="T77" s="79">
        <v>0</v>
      </c>
      <c r="U77" s="79">
        <v>0</v>
      </c>
      <c r="V77" s="79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79">
        <v>0</v>
      </c>
      <c r="AC77" s="79">
        <v>0</v>
      </c>
      <c r="AD77" s="79">
        <v>0</v>
      </c>
      <c r="AE77" s="79">
        <v>0</v>
      </c>
      <c r="AF77" s="79">
        <v>0</v>
      </c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" si="12">SUMIF(B67:B77,"&gt;0")</f>
        <v>104.6</v>
      </c>
      <c r="C78" s="61">
        <f t="shared" ref="C78:AF78" si="13">SUMIF(C67:C77,"&gt;0")</f>
        <v>157</v>
      </c>
      <c r="D78" s="61">
        <f t="shared" si="13"/>
        <v>176</v>
      </c>
      <c r="E78" s="61">
        <f t="shared" si="13"/>
        <v>170</v>
      </c>
      <c r="F78" s="61">
        <f t="shared" si="13"/>
        <v>177</v>
      </c>
      <c r="G78" s="61">
        <f t="shared" si="13"/>
        <v>167</v>
      </c>
      <c r="H78" s="61">
        <f t="shared" si="13"/>
        <v>0</v>
      </c>
      <c r="I78" s="61">
        <f t="shared" si="13"/>
        <v>117</v>
      </c>
      <c r="J78" s="61">
        <f t="shared" si="13"/>
        <v>70.900000000000006</v>
      </c>
      <c r="K78" s="61">
        <f t="shared" si="13"/>
        <v>43</v>
      </c>
      <c r="L78" s="61">
        <f t="shared" si="13"/>
        <v>42</v>
      </c>
      <c r="M78" s="61">
        <f t="shared" si="13"/>
        <v>45.8</v>
      </c>
      <c r="N78" s="61">
        <f t="shared" si="13"/>
        <v>55.5</v>
      </c>
      <c r="O78" s="61">
        <f t="shared" si="13"/>
        <v>68.099999999999994</v>
      </c>
      <c r="P78" s="61">
        <f t="shared" si="13"/>
        <v>180</v>
      </c>
      <c r="Q78" s="61">
        <f t="shared" si="13"/>
        <v>146.19999999999999</v>
      </c>
      <c r="R78" s="61">
        <f t="shared" si="13"/>
        <v>233.2</v>
      </c>
      <c r="S78" s="61">
        <f t="shared" si="13"/>
        <v>221.7</v>
      </c>
      <c r="T78" s="61">
        <f t="shared" si="13"/>
        <v>228.6</v>
      </c>
      <c r="U78" s="61">
        <f t="shared" si="13"/>
        <v>223</v>
      </c>
      <c r="V78" s="61">
        <f t="shared" si="13"/>
        <v>74.5</v>
      </c>
      <c r="W78" s="61">
        <f t="shared" si="13"/>
        <v>53.6</v>
      </c>
      <c r="X78" s="61">
        <f t="shared" si="13"/>
        <v>61.9</v>
      </c>
      <c r="Y78" s="61">
        <f t="shared" si="13"/>
        <v>55.6</v>
      </c>
      <c r="Z78" s="61">
        <f t="shared" si="13"/>
        <v>38</v>
      </c>
      <c r="AA78" s="61">
        <f t="shared" si="13"/>
        <v>40</v>
      </c>
      <c r="AB78" s="61">
        <f t="shared" si="13"/>
        <v>52</v>
      </c>
      <c r="AC78" s="61">
        <f t="shared" si="13"/>
        <v>53</v>
      </c>
      <c r="AD78" s="61">
        <f t="shared" si="13"/>
        <v>51</v>
      </c>
      <c r="AE78" s="61">
        <f t="shared" si="13"/>
        <v>56</v>
      </c>
      <c r="AF78" s="61">
        <f t="shared" si="13"/>
        <v>52</v>
      </c>
      <c r="AG78" s="81">
        <f>SUM(AG67:AG77)</f>
        <v>0</v>
      </c>
      <c r="AH78" s="48">
        <f t="shared" si="2"/>
        <v>233.2</v>
      </c>
      <c r="AI78" s="49">
        <f t="shared" si="3"/>
        <v>0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/>
      <c r="T80" s="77"/>
      <c r="U80" s="77"/>
      <c r="V80" s="77"/>
      <c r="W80" s="77">
        <v>6</v>
      </c>
      <c r="X80" s="77"/>
      <c r="Y80" s="77"/>
      <c r="Z80" s="77"/>
      <c r="AA80" s="77"/>
      <c r="AB80" s="77"/>
      <c r="AC80" s="77"/>
      <c r="AD80" s="77"/>
      <c r="AE80" s="77"/>
      <c r="AF80" s="77"/>
      <c r="AG80" s="75">
        <v>14.4</v>
      </c>
      <c r="AH80" s="48">
        <f t="shared" ref="AH80:AH113" si="14">MAX(B80:AF80)</f>
        <v>6</v>
      </c>
      <c r="AI80" s="49">
        <f t="shared" ref="AI80:AI113" si="15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80">
        <v>2</v>
      </c>
      <c r="AH81" s="48">
        <f t="shared" si="14"/>
        <v>0</v>
      </c>
      <c r="AI81" s="49">
        <f t="shared" si="15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4"/>
        <v>0</v>
      </c>
      <c r="AI82" s="49">
        <f t="shared" si="15"/>
        <v>0</v>
      </c>
    </row>
    <row r="83" spans="1:37" ht="15.75" thickBot="1" x14ac:dyDescent="0.3">
      <c r="A83" s="74" t="s">
        <v>87</v>
      </c>
      <c r="B83" s="83">
        <f t="shared" ref="B83" si="16">B44+B48+B66+B62+B78+B82</f>
        <v>1005.54</v>
      </c>
      <c r="C83" s="83">
        <f t="shared" ref="C83:AG83" si="17">C44+C48+C66+C62+C78+C82</f>
        <v>967.63999999999987</v>
      </c>
      <c r="D83" s="83">
        <f t="shared" si="17"/>
        <v>1000.04</v>
      </c>
      <c r="E83" s="83">
        <f t="shared" si="17"/>
        <v>982.54</v>
      </c>
      <c r="F83" s="83">
        <f t="shared" si="17"/>
        <v>973.43999999999994</v>
      </c>
      <c r="G83" s="83">
        <f t="shared" si="17"/>
        <v>1030.3399999999999</v>
      </c>
      <c r="H83" s="83">
        <f t="shared" si="17"/>
        <v>894.13999999999987</v>
      </c>
      <c r="I83" s="83">
        <f t="shared" si="17"/>
        <v>1206.8399999999999</v>
      </c>
      <c r="J83" s="83">
        <f t="shared" si="17"/>
        <v>1284.3400000000001</v>
      </c>
      <c r="K83" s="83">
        <f t="shared" si="17"/>
        <v>1493.14</v>
      </c>
      <c r="L83" s="83">
        <f t="shared" si="17"/>
        <v>1616.24</v>
      </c>
      <c r="M83" s="83">
        <f t="shared" si="17"/>
        <v>1653.3400000000001</v>
      </c>
      <c r="N83" s="83">
        <f t="shared" si="17"/>
        <v>1556.2400000000002</v>
      </c>
      <c r="O83" s="83">
        <f t="shared" si="17"/>
        <v>1478.04</v>
      </c>
      <c r="P83" s="83">
        <f t="shared" si="17"/>
        <v>1296.8400000000001</v>
      </c>
      <c r="Q83" s="83">
        <f t="shared" si="17"/>
        <v>1187.3400000000001</v>
      </c>
      <c r="R83" s="83">
        <f t="shared" si="17"/>
        <v>1170.5400000000002</v>
      </c>
      <c r="S83" s="83">
        <f t="shared" si="17"/>
        <v>1242.0400000000002</v>
      </c>
      <c r="T83" s="83">
        <f t="shared" si="17"/>
        <v>1252.7399999999998</v>
      </c>
      <c r="U83" s="83">
        <f t="shared" si="17"/>
        <v>1327.1399999999999</v>
      </c>
      <c r="V83" s="83">
        <f t="shared" si="17"/>
        <v>1396.6399999999999</v>
      </c>
      <c r="W83" s="83">
        <f t="shared" si="17"/>
        <v>1499.64</v>
      </c>
      <c r="X83" s="83">
        <f t="shared" si="17"/>
        <v>1673.0400000000004</v>
      </c>
      <c r="Y83" s="83">
        <f t="shared" si="17"/>
        <v>1540.7399999999998</v>
      </c>
      <c r="Z83" s="83">
        <f t="shared" si="17"/>
        <v>1443.14</v>
      </c>
      <c r="AA83" s="83">
        <f t="shared" si="17"/>
        <v>1365.14</v>
      </c>
      <c r="AB83" s="83">
        <f t="shared" si="17"/>
        <v>1377.2400000000002</v>
      </c>
      <c r="AC83" s="83">
        <f t="shared" si="17"/>
        <v>1338.2400000000002</v>
      </c>
      <c r="AD83" s="83">
        <f t="shared" si="17"/>
        <v>1155.0400000000002</v>
      </c>
      <c r="AE83" s="83">
        <f t="shared" si="17"/>
        <v>1060.7400000000002</v>
      </c>
      <c r="AF83" s="83">
        <f t="shared" si="17"/>
        <v>970.84000000000015</v>
      </c>
      <c r="AG83" s="62">
        <f t="shared" si="17"/>
        <v>2004.1900000000003</v>
      </c>
      <c r="AH83" s="48">
        <f t="shared" si="14"/>
        <v>1673.0400000000004</v>
      </c>
      <c r="AI83" s="49">
        <f t="shared" si="15"/>
        <v>894.13999999999987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>
        <v>90</v>
      </c>
      <c r="AC84" s="85"/>
      <c r="AD84" s="85"/>
      <c r="AE84" s="85"/>
      <c r="AF84" s="85"/>
      <c r="AG84" s="81"/>
      <c r="AH84" s="48">
        <f t="shared" si="14"/>
        <v>90</v>
      </c>
      <c r="AI84" s="49">
        <f t="shared" si="15"/>
        <v>90</v>
      </c>
    </row>
    <row r="85" spans="1:37" ht="15.75" thickBot="1" x14ac:dyDescent="0.3">
      <c r="A85" s="74" t="s">
        <v>89</v>
      </c>
      <c r="B85" s="83">
        <f t="shared" ref="B85" si="18">B83+B84</f>
        <v>1005.54</v>
      </c>
      <c r="C85" s="83">
        <f t="shared" ref="C85:AF85" si="19">C83+C84</f>
        <v>967.63999999999987</v>
      </c>
      <c r="D85" s="83">
        <f t="shared" si="19"/>
        <v>1000.04</v>
      </c>
      <c r="E85" s="83">
        <f t="shared" si="19"/>
        <v>982.54</v>
      </c>
      <c r="F85" s="83">
        <f t="shared" si="19"/>
        <v>973.43999999999994</v>
      </c>
      <c r="G85" s="83">
        <f t="shared" si="19"/>
        <v>1030.3399999999999</v>
      </c>
      <c r="H85" s="83">
        <f t="shared" si="19"/>
        <v>894.13999999999987</v>
      </c>
      <c r="I85" s="83">
        <f t="shared" si="19"/>
        <v>1206.8399999999999</v>
      </c>
      <c r="J85" s="83">
        <f t="shared" si="19"/>
        <v>1284.3400000000001</v>
      </c>
      <c r="K85" s="83">
        <f t="shared" si="19"/>
        <v>1493.14</v>
      </c>
      <c r="L85" s="83">
        <f t="shared" si="19"/>
        <v>1616.24</v>
      </c>
      <c r="M85" s="83">
        <f t="shared" si="19"/>
        <v>1653.3400000000001</v>
      </c>
      <c r="N85" s="83">
        <f t="shared" si="19"/>
        <v>1556.2400000000002</v>
      </c>
      <c r="O85" s="83">
        <f t="shared" si="19"/>
        <v>1478.04</v>
      </c>
      <c r="P85" s="83">
        <f t="shared" si="19"/>
        <v>1296.8400000000001</v>
      </c>
      <c r="Q85" s="83">
        <f t="shared" si="19"/>
        <v>1187.3400000000001</v>
      </c>
      <c r="R85" s="83">
        <f t="shared" si="19"/>
        <v>1170.5400000000002</v>
      </c>
      <c r="S85" s="83">
        <f t="shared" si="19"/>
        <v>1242.0400000000002</v>
      </c>
      <c r="T85" s="83">
        <f t="shared" si="19"/>
        <v>1252.7399999999998</v>
      </c>
      <c r="U85" s="83">
        <f t="shared" si="19"/>
        <v>1327.1399999999999</v>
      </c>
      <c r="V85" s="83">
        <f t="shared" si="19"/>
        <v>1396.6399999999999</v>
      </c>
      <c r="W85" s="83">
        <f t="shared" si="19"/>
        <v>1499.64</v>
      </c>
      <c r="X85" s="83">
        <f t="shared" si="19"/>
        <v>1673.0400000000004</v>
      </c>
      <c r="Y85" s="83">
        <f t="shared" si="19"/>
        <v>1540.7399999999998</v>
      </c>
      <c r="Z85" s="83">
        <f t="shared" si="19"/>
        <v>1443.14</v>
      </c>
      <c r="AA85" s="83">
        <f t="shared" si="19"/>
        <v>1365.14</v>
      </c>
      <c r="AB85" s="83">
        <f t="shared" si="19"/>
        <v>1467.2400000000002</v>
      </c>
      <c r="AC85" s="83">
        <f t="shared" si="19"/>
        <v>1338.2400000000002</v>
      </c>
      <c r="AD85" s="83">
        <f t="shared" si="19"/>
        <v>1155.0400000000002</v>
      </c>
      <c r="AE85" s="83">
        <f t="shared" si="19"/>
        <v>1060.7400000000002</v>
      </c>
      <c r="AF85" s="83">
        <f t="shared" si="19"/>
        <v>970.84000000000015</v>
      </c>
      <c r="AG85" s="81">
        <f>AG82+AG78+AG66+AG62+AG44+AG84</f>
        <v>1466.0900000000001</v>
      </c>
      <c r="AH85" s="48">
        <f t="shared" si="14"/>
        <v>1673.0400000000004</v>
      </c>
      <c r="AI85" s="49">
        <f t="shared" si="15"/>
        <v>894.13999999999987</v>
      </c>
    </row>
    <row r="86" spans="1:37" ht="15.75" thickBot="1" x14ac:dyDescent="0.3">
      <c r="A86" s="74" t="s">
        <v>90</v>
      </c>
      <c r="B86" s="83">
        <f t="shared" ref="B86" si="20">B85-B93</f>
        <v>1005.54</v>
      </c>
      <c r="C86" s="83">
        <f t="shared" ref="C86:AF86" si="21">C85-C93</f>
        <v>967.63999999999987</v>
      </c>
      <c r="D86" s="83">
        <f t="shared" si="21"/>
        <v>1000.04</v>
      </c>
      <c r="E86" s="83">
        <f t="shared" si="21"/>
        <v>982.54</v>
      </c>
      <c r="F86" s="83">
        <f t="shared" si="21"/>
        <v>973.43999999999994</v>
      </c>
      <c r="G86" s="83">
        <f t="shared" si="21"/>
        <v>1030.3399999999999</v>
      </c>
      <c r="H86" s="83">
        <f t="shared" si="21"/>
        <v>894.13999999999987</v>
      </c>
      <c r="I86" s="83">
        <f t="shared" si="21"/>
        <v>1206.8399999999999</v>
      </c>
      <c r="J86" s="83">
        <f t="shared" si="21"/>
        <v>1284.3400000000001</v>
      </c>
      <c r="K86" s="83">
        <f t="shared" si="21"/>
        <v>1408.14</v>
      </c>
      <c r="L86" s="83">
        <f t="shared" si="21"/>
        <v>1530.24</v>
      </c>
      <c r="M86" s="83">
        <f t="shared" si="21"/>
        <v>1549.2400000000002</v>
      </c>
      <c r="N86" s="83">
        <f t="shared" si="21"/>
        <v>1472.0400000000002</v>
      </c>
      <c r="O86" s="83">
        <f t="shared" si="21"/>
        <v>1407.1399999999999</v>
      </c>
      <c r="P86" s="83">
        <f t="shared" si="21"/>
        <v>1296.8400000000001</v>
      </c>
      <c r="Q86" s="83">
        <f t="shared" si="21"/>
        <v>1187.3400000000001</v>
      </c>
      <c r="R86" s="83">
        <f t="shared" si="21"/>
        <v>1170.5400000000002</v>
      </c>
      <c r="S86" s="83">
        <f t="shared" si="21"/>
        <v>1242.0400000000002</v>
      </c>
      <c r="T86" s="83">
        <f t="shared" si="21"/>
        <v>1252.7399999999998</v>
      </c>
      <c r="U86" s="83">
        <f t="shared" si="21"/>
        <v>1327.1399999999999</v>
      </c>
      <c r="V86" s="83">
        <f t="shared" si="21"/>
        <v>1392.7399999999998</v>
      </c>
      <c r="W86" s="83">
        <f t="shared" si="21"/>
        <v>1474.64</v>
      </c>
      <c r="X86" s="83">
        <f t="shared" si="21"/>
        <v>1612.0400000000004</v>
      </c>
      <c r="Y86" s="83">
        <f t="shared" si="21"/>
        <v>1474.4399999999998</v>
      </c>
      <c r="Z86" s="83">
        <f t="shared" si="21"/>
        <v>1379.74</v>
      </c>
      <c r="AA86" s="83">
        <f t="shared" si="21"/>
        <v>1324.14</v>
      </c>
      <c r="AB86" s="83">
        <f t="shared" si="21"/>
        <v>1399.2400000000002</v>
      </c>
      <c r="AC86" s="83">
        <f t="shared" si="21"/>
        <v>1253.2400000000002</v>
      </c>
      <c r="AD86" s="83">
        <f t="shared" si="21"/>
        <v>1155.0400000000002</v>
      </c>
      <c r="AE86" s="83">
        <f t="shared" si="21"/>
        <v>1060.7400000000002</v>
      </c>
      <c r="AF86" s="83">
        <f t="shared" si="21"/>
        <v>970.84000000000015</v>
      </c>
      <c r="AG86" s="81"/>
      <c r="AH86" s="48">
        <f t="shared" si="14"/>
        <v>1612.0400000000004</v>
      </c>
      <c r="AI86" s="49">
        <f t="shared" si="15"/>
        <v>894.13999999999987</v>
      </c>
    </row>
    <row r="87" spans="1:37" x14ac:dyDescent="0.25">
      <c r="A87" s="44" t="s">
        <v>74</v>
      </c>
      <c r="B87" s="76">
        <f t="shared" ref="B87" si="22">IF(B70&lt;0,B70*-1,0)</f>
        <v>0</v>
      </c>
      <c r="C87" s="76">
        <f t="shared" ref="C87:AF87" si="23">IF(C70&lt;0,C70*-1,0)</f>
        <v>0</v>
      </c>
      <c r="D87" s="76">
        <f t="shared" si="23"/>
        <v>0</v>
      </c>
      <c r="E87" s="76">
        <f t="shared" si="23"/>
        <v>0</v>
      </c>
      <c r="F87" s="76">
        <f t="shared" si="23"/>
        <v>0</v>
      </c>
      <c r="G87" s="76">
        <f t="shared" si="23"/>
        <v>0</v>
      </c>
      <c r="H87" s="76">
        <f t="shared" si="23"/>
        <v>0</v>
      </c>
      <c r="I87" s="76">
        <f t="shared" si="23"/>
        <v>0</v>
      </c>
      <c r="J87" s="76">
        <f t="shared" si="23"/>
        <v>0</v>
      </c>
      <c r="K87" s="76">
        <f t="shared" si="23"/>
        <v>0</v>
      </c>
      <c r="L87" s="76">
        <f t="shared" si="23"/>
        <v>0</v>
      </c>
      <c r="M87" s="76">
        <f t="shared" si="23"/>
        <v>0</v>
      </c>
      <c r="N87" s="76">
        <f t="shared" si="23"/>
        <v>0</v>
      </c>
      <c r="O87" s="76">
        <f t="shared" si="23"/>
        <v>0</v>
      </c>
      <c r="P87" s="76">
        <f t="shared" si="23"/>
        <v>0</v>
      </c>
      <c r="Q87" s="76">
        <f t="shared" si="23"/>
        <v>0</v>
      </c>
      <c r="R87" s="76">
        <f t="shared" si="23"/>
        <v>0</v>
      </c>
      <c r="S87" s="76">
        <f t="shared" si="23"/>
        <v>0</v>
      </c>
      <c r="T87" s="76">
        <f t="shared" si="23"/>
        <v>0</v>
      </c>
      <c r="U87" s="76">
        <f t="shared" si="23"/>
        <v>0</v>
      </c>
      <c r="V87" s="76">
        <f t="shared" si="23"/>
        <v>0</v>
      </c>
      <c r="W87" s="76">
        <f t="shared" si="23"/>
        <v>0</v>
      </c>
      <c r="X87" s="76">
        <f t="shared" si="23"/>
        <v>0</v>
      </c>
      <c r="Y87" s="76">
        <f t="shared" si="23"/>
        <v>0</v>
      </c>
      <c r="Z87" s="76">
        <f t="shared" si="23"/>
        <v>0</v>
      </c>
      <c r="AA87" s="76">
        <f t="shared" si="23"/>
        <v>0</v>
      </c>
      <c r="AB87" s="76">
        <f t="shared" si="23"/>
        <v>0</v>
      </c>
      <c r="AC87" s="76">
        <f t="shared" si="23"/>
        <v>0</v>
      </c>
      <c r="AD87" s="76">
        <f t="shared" si="23"/>
        <v>0</v>
      </c>
      <c r="AE87" s="76">
        <f t="shared" si="23"/>
        <v>0</v>
      </c>
      <c r="AF87" s="76">
        <f t="shared" si="23"/>
        <v>0</v>
      </c>
      <c r="AG87" s="52"/>
      <c r="AH87" s="48">
        <f t="shared" si="14"/>
        <v>0</v>
      </c>
      <c r="AI87" s="49">
        <f t="shared" si="15"/>
        <v>0</v>
      </c>
    </row>
    <row r="88" spans="1:37" x14ac:dyDescent="0.25">
      <c r="A88" s="54" t="s">
        <v>72</v>
      </c>
      <c r="B88" s="76">
        <f t="shared" ref="B88" si="24">IF(B68&lt;0,B68*-1,0)</f>
        <v>0</v>
      </c>
      <c r="C88" s="76">
        <f t="shared" ref="C88:AF88" si="25">IF(C68&lt;0,C68*-1,0)</f>
        <v>0</v>
      </c>
      <c r="D88" s="76">
        <f t="shared" si="25"/>
        <v>0</v>
      </c>
      <c r="E88" s="76">
        <f t="shared" si="25"/>
        <v>0</v>
      </c>
      <c r="F88" s="76">
        <f t="shared" si="25"/>
        <v>0</v>
      </c>
      <c r="G88" s="76">
        <f t="shared" si="25"/>
        <v>0</v>
      </c>
      <c r="H88" s="76">
        <f t="shared" si="25"/>
        <v>0</v>
      </c>
      <c r="I88" s="76">
        <f t="shared" si="25"/>
        <v>0</v>
      </c>
      <c r="J88" s="76">
        <f t="shared" si="25"/>
        <v>0</v>
      </c>
      <c r="K88" s="76">
        <f t="shared" si="25"/>
        <v>0</v>
      </c>
      <c r="L88" s="76">
        <f t="shared" si="25"/>
        <v>0</v>
      </c>
      <c r="M88" s="76">
        <f t="shared" si="25"/>
        <v>0</v>
      </c>
      <c r="N88" s="76">
        <f t="shared" si="25"/>
        <v>0</v>
      </c>
      <c r="O88" s="76">
        <f t="shared" si="25"/>
        <v>0</v>
      </c>
      <c r="P88" s="76">
        <f t="shared" si="25"/>
        <v>0</v>
      </c>
      <c r="Q88" s="76">
        <f t="shared" si="25"/>
        <v>0</v>
      </c>
      <c r="R88" s="76">
        <f t="shared" si="25"/>
        <v>0</v>
      </c>
      <c r="S88" s="76">
        <f t="shared" si="25"/>
        <v>0</v>
      </c>
      <c r="T88" s="76">
        <f t="shared" si="25"/>
        <v>0</v>
      </c>
      <c r="U88" s="76">
        <f t="shared" si="25"/>
        <v>0</v>
      </c>
      <c r="V88" s="76">
        <f t="shared" si="25"/>
        <v>0</v>
      </c>
      <c r="W88" s="76">
        <f t="shared" si="25"/>
        <v>0</v>
      </c>
      <c r="X88" s="76">
        <f t="shared" si="25"/>
        <v>0</v>
      </c>
      <c r="Y88" s="76">
        <f t="shared" si="25"/>
        <v>0</v>
      </c>
      <c r="Z88" s="76">
        <f t="shared" si="25"/>
        <v>0</v>
      </c>
      <c r="AA88" s="76">
        <f t="shared" si="25"/>
        <v>0</v>
      </c>
      <c r="AB88" s="76">
        <f t="shared" si="25"/>
        <v>0</v>
      </c>
      <c r="AC88" s="76">
        <f t="shared" si="25"/>
        <v>0</v>
      </c>
      <c r="AD88" s="76">
        <f t="shared" si="25"/>
        <v>0</v>
      </c>
      <c r="AE88" s="76">
        <f t="shared" si="25"/>
        <v>0</v>
      </c>
      <c r="AF88" s="76">
        <f t="shared" si="25"/>
        <v>0</v>
      </c>
      <c r="AG88" s="55"/>
      <c r="AH88" s="48">
        <f t="shared" si="14"/>
        <v>0</v>
      </c>
      <c r="AI88" s="49">
        <f t="shared" si="15"/>
        <v>0</v>
      </c>
    </row>
    <row r="89" spans="1:37" x14ac:dyDescent="0.25">
      <c r="A89" s="78" t="s">
        <v>91</v>
      </c>
      <c r="B89" s="76">
        <f t="shared" ref="B89" si="26">IF(B71&lt;0,B71*-1,0)</f>
        <v>0</v>
      </c>
      <c r="C89" s="76">
        <f t="shared" ref="C89:AF89" si="27">IF(C71&lt;0,C71*-1,0)</f>
        <v>0</v>
      </c>
      <c r="D89" s="76">
        <f t="shared" si="27"/>
        <v>0</v>
      </c>
      <c r="E89" s="76">
        <f t="shared" si="27"/>
        <v>0</v>
      </c>
      <c r="F89" s="76">
        <f t="shared" si="27"/>
        <v>0</v>
      </c>
      <c r="G89" s="76">
        <f t="shared" si="27"/>
        <v>0</v>
      </c>
      <c r="H89" s="76">
        <f t="shared" si="27"/>
        <v>0</v>
      </c>
      <c r="I89" s="76">
        <f t="shared" si="27"/>
        <v>0</v>
      </c>
      <c r="J89" s="76">
        <f t="shared" si="27"/>
        <v>0</v>
      </c>
      <c r="K89" s="76">
        <f t="shared" si="27"/>
        <v>0</v>
      </c>
      <c r="L89" s="76">
        <f t="shared" si="27"/>
        <v>0</v>
      </c>
      <c r="M89" s="76">
        <f t="shared" si="27"/>
        <v>0</v>
      </c>
      <c r="N89" s="76">
        <f t="shared" si="27"/>
        <v>0</v>
      </c>
      <c r="O89" s="76">
        <f t="shared" si="27"/>
        <v>0</v>
      </c>
      <c r="P89" s="76">
        <f t="shared" si="27"/>
        <v>0</v>
      </c>
      <c r="Q89" s="76">
        <f t="shared" si="27"/>
        <v>0</v>
      </c>
      <c r="R89" s="76">
        <f t="shared" si="27"/>
        <v>0</v>
      </c>
      <c r="S89" s="76">
        <f t="shared" si="27"/>
        <v>0</v>
      </c>
      <c r="T89" s="76">
        <f t="shared" si="27"/>
        <v>0</v>
      </c>
      <c r="U89" s="76">
        <f t="shared" si="27"/>
        <v>0</v>
      </c>
      <c r="V89" s="76">
        <f t="shared" si="27"/>
        <v>0</v>
      </c>
      <c r="W89" s="76">
        <f t="shared" si="27"/>
        <v>0</v>
      </c>
      <c r="X89" s="76">
        <f t="shared" si="27"/>
        <v>0</v>
      </c>
      <c r="Y89" s="76">
        <f t="shared" si="27"/>
        <v>0</v>
      </c>
      <c r="Z89" s="76">
        <f t="shared" si="27"/>
        <v>0</v>
      </c>
      <c r="AA89" s="76">
        <f t="shared" si="27"/>
        <v>0</v>
      </c>
      <c r="AB89" s="76">
        <f t="shared" si="27"/>
        <v>0</v>
      </c>
      <c r="AC89" s="76">
        <f t="shared" si="27"/>
        <v>0</v>
      </c>
      <c r="AD89" s="76">
        <f t="shared" si="27"/>
        <v>0</v>
      </c>
      <c r="AE89" s="76">
        <f t="shared" si="27"/>
        <v>0</v>
      </c>
      <c r="AF89" s="76">
        <f t="shared" si="27"/>
        <v>0</v>
      </c>
      <c r="AG89" s="86"/>
      <c r="AH89" s="48">
        <f t="shared" si="14"/>
        <v>0</v>
      </c>
      <c r="AI89" s="49">
        <f t="shared" si="15"/>
        <v>0</v>
      </c>
    </row>
    <row r="90" spans="1:37" x14ac:dyDescent="0.25">
      <c r="A90" s="78" t="s">
        <v>92</v>
      </c>
      <c r="B90" s="76">
        <f t="shared" ref="B90" si="28">IF(B69&lt;0,B69*-1,0)</f>
        <v>0</v>
      </c>
      <c r="C90" s="76">
        <f t="shared" ref="C90:AF90" si="29">IF(C69&lt;0,C69*-1,0)</f>
        <v>0</v>
      </c>
      <c r="D90" s="76">
        <f t="shared" si="29"/>
        <v>0</v>
      </c>
      <c r="E90" s="76">
        <f t="shared" si="29"/>
        <v>0</v>
      </c>
      <c r="F90" s="76">
        <f t="shared" si="29"/>
        <v>0</v>
      </c>
      <c r="G90" s="76">
        <f t="shared" si="29"/>
        <v>0</v>
      </c>
      <c r="H90" s="76">
        <f t="shared" si="29"/>
        <v>0</v>
      </c>
      <c r="I90" s="76">
        <f t="shared" si="29"/>
        <v>0</v>
      </c>
      <c r="J90" s="76">
        <f t="shared" si="29"/>
        <v>0</v>
      </c>
      <c r="K90" s="76">
        <f t="shared" si="29"/>
        <v>85</v>
      </c>
      <c r="L90" s="76">
        <f t="shared" si="29"/>
        <v>86</v>
      </c>
      <c r="M90" s="76">
        <f t="shared" si="29"/>
        <v>104.1</v>
      </c>
      <c r="N90" s="76">
        <f t="shared" si="29"/>
        <v>84.2</v>
      </c>
      <c r="O90" s="76">
        <f t="shared" si="29"/>
        <v>70.900000000000006</v>
      </c>
      <c r="P90" s="76">
        <f t="shared" si="29"/>
        <v>0</v>
      </c>
      <c r="Q90" s="76">
        <f t="shared" si="29"/>
        <v>0</v>
      </c>
      <c r="R90" s="76">
        <f t="shared" si="29"/>
        <v>0</v>
      </c>
      <c r="S90" s="76">
        <f t="shared" si="29"/>
        <v>0</v>
      </c>
      <c r="T90" s="76">
        <f t="shared" si="29"/>
        <v>0</v>
      </c>
      <c r="U90" s="76">
        <f t="shared" si="29"/>
        <v>0</v>
      </c>
      <c r="V90" s="76">
        <f t="shared" si="29"/>
        <v>3.9</v>
      </c>
      <c r="W90" s="76">
        <f t="shared" si="29"/>
        <v>25</v>
      </c>
      <c r="X90" s="76">
        <f t="shared" si="29"/>
        <v>61</v>
      </c>
      <c r="Y90" s="76">
        <f t="shared" si="29"/>
        <v>66.3</v>
      </c>
      <c r="Z90" s="76">
        <f t="shared" si="29"/>
        <v>63.4</v>
      </c>
      <c r="AA90" s="76">
        <f t="shared" si="29"/>
        <v>41</v>
      </c>
      <c r="AB90" s="76">
        <f t="shared" si="29"/>
        <v>68</v>
      </c>
      <c r="AC90" s="76">
        <f t="shared" si="29"/>
        <v>85</v>
      </c>
      <c r="AD90" s="76">
        <f t="shared" si="29"/>
        <v>0</v>
      </c>
      <c r="AE90" s="76">
        <f t="shared" si="29"/>
        <v>0</v>
      </c>
      <c r="AF90" s="76">
        <f t="shared" si="29"/>
        <v>0</v>
      </c>
      <c r="AG90" s="86"/>
      <c r="AH90" s="48">
        <f t="shared" si="14"/>
        <v>104.1</v>
      </c>
      <c r="AI90" s="49">
        <f t="shared" si="15"/>
        <v>0</v>
      </c>
    </row>
    <row r="91" spans="1:37" x14ac:dyDescent="0.25">
      <c r="A91" s="78" t="s">
        <v>71</v>
      </c>
      <c r="B91" s="76">
        <f t="shared" ref="B91" si="30">IF(B67&lt;0,B67*-1,0)</f>
        <v>0</v>
      </c>
      <c r="C91" s="76">
        <f t="shared" ref="C91:AF91" si="31">IF(C67&lt;0,C67*-1,0)</f>
        <v>0</v>
      </c>
      <c r="D91" s="76">
        <f t="shared" si="31"/>
        <v>0</v>
      </c>
      <c r="E91" s="76">
        <f t="shared" si="31"/>
        <v>0</v>
      </c>
      <c r="F91" s="76">
        <f t="shared" si="31"/>
        <v>0</v>
      </c>
      <c r="G91" s="76">
        <f t="shared" si="31"/>
        <v>0</v>
      </c>
      <c r="H91" s="76">
        <f t="shared" si="31"/>
        <v>0</v>
      </c>
      <c r="I91" s="76">
        <f t="shared" si="31"/>
        <v>0</v>
      </c>
      <c r="J91" s="76">
        <f t="shared" si="31"/>
        <v>0</v>
      </c>
      <c r="K91" s="76">
        <f t="shared" si="31"/>
        <v>0</v>
      </c>
      <c r="L91" s="76">
        <f t="shared" si="31"/>
        <v>0</v>
      </c>
      <c r="M91" s="76">
        <f t="shared" si="31"/>
        <v>0</v>
      </c>
      <c r="N91" s="76">
        <f t="shared" si="31"/>
        <v>0</v>
      </c>
      <c r="O91" s="76">
        <f t="shared" si="31"/>
        <v>0</v>
      </c>
      <c r="P91" s="76">
        <f t="shared" si="31"/>
        <v>0</v>
      </c>
      <c r="Q91" s="76">
        <f t="shared" si="31"/>
        <v>0</v>
      </c>
      <c r="R91" s="76">
        <f t="shared" si="31"/>
        <v>0</v>
      </c>
      <c r="S91" s="76">
        <f t="shared" si="31"/>
        <v>0</v>
      </c>
      <c r="T91" s="76">
        <f t="shared" si="31"/>
        <v>0</v>
      </c>
      <c r="U91" s="76">
        <f t="shared" si="31"/>
        <v>0</v>
      </c>
      <c r="V91" s="76">
        <f t="shared" si="31"/>
        <v>0</v>
      </c>
      <c r="W91" s="76">
        <f t="shared" si="31"/>
        <v>0</v>
      </c>
      <c r="X91" s="76">
        <f t="shared" si="31"/>
        <v>0</v>
      </c>
      <c r="Y91" s="76">
        <f t="shared" si="31"/>
        <v>0</v>
      </c>
      <c r="Z91" s="76">
        <f t="shared" si="31"/>
        <v>0</v>
      </c>
      <c r="AA91" s="76">
        <f t="shared" si="31"/>
        <v>0</v>
      </c>
      <c r="AB91" s="76">
        <f t="shared" si="31"/>
        <v>0</v>
      </c>
      <c r="AC91" s="76">
        <f t="shared" si="31"/>
        <v>0</v>
      </c>
      <c r="AD91" s="76">
        <f t="shared" si="31"/>
        <v>0</v>
      </c>
      <c r="AE91" s="76">
        <f t="shared" si="31"/>
        <v>0</v>
      </c>
      <c r="AF91" s="76">
        <f t="shared" si="31"/>
        <v>0</v>
      </c>
      <c r="AG91" s="86"/>
      <c r="AH91" s="48">
        <f t="shared" si="14"/>
        <v>0</v>
      </c>
      <c r="AI91" s="49">
        <f t="shared" si="15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4"/>
        <v>0</v>
      </c>
      <c r="AI92" s="49">
        <f t="shared" si="15"/>
        <v>0</v>
      </c>
    </row>
    <row r="93" spans="1:37" ht="15.75" thickBot="1" x14ac:dyDescent="0.3">
      <c r="A93" s="87" t="s">
        <v>94</v>
      </c>
      <c r="B93" s="61">
        <f t="shared" ref="B93" si="32">SUM(B87:B92)</f>
        <v>0</v>
      </c>
      <c r="C93" s="61">
        <f t="shared" ref="C93:AF93" si="33">SUM(C87:C92)</f>
        <v>0</v>
      </c>
      <c r="D93" s="61">
        <f t="shared" si="33"/>
        <v>0</v>
      </c>
      <c r="E93" s="61">
        <f t="shared" si="33"/>
        <v>0</v>
      </c>
      <c r="F93" s="61">
        <f t="shared" si="33"/>
        <v>0</v>
      </c>
      <c r="G93" s="61">
        <f t="shared" si="33"/>
        <v>0</v>
      </c>
      <c r="H93" s="61">
        <f t="shared" si="33"/>
        <v>0</v>
      </c>
      <c r="I93" s="61">
        <f t="shared" si="33"/>
        <v>0</v>
      </c>
      <c r="J93" s="61">
        <f t="shared" si="33"/>
        <v>0</v>
      </c>
      <c r="K93" s="61">
        <f t="shared" si="33"/>
        <v>85</v>
      </c>
      <c r="L93" s="61">
        <f t="shared" si="33"/>
        <v>86</v>
      </c>
      <c r="M93" s="61">
        <f t="shared" si="33"/>
        <v>104.1</v>
      </c>
      <c r="N93" s="61">
        <f t="shared" si="33"/>
        <v>84.2</v>
      </c>
      <c r="O93" s="61">
        <f t="shared" si="33"/>
        <v>70.900000000000006</v>
      </c>
      <c r="P93" s="61">
        <f t="shared" si="33"/>
        <v>0</v>
      </c>
      <c r="Q93" s="61">
        <f t="shared" si="33"/>
        <v>0</v>
      </c>
      <c r="R93" s="61">
        <f t="shared" si="33"/>
        <v>0</v>
      </c>
      <c r="S93" s="61">
        <f t="shared" si="33"/>
        <v>0</v>
      </c>
      <c r="T93" s="61">
        <f t="shared" si="33"/>
        <v>0</v>
      </c>
      <c r="U93" s="61">
        <f t="shared" si="33"/>
        <v>0</v>
      </c>
      <c r="V93" s="61">
        <f t="shared" si="33"/>
        <v>3.9</v>
      </c>
      <c r="W93" s="61">
        <f t="shared" si="33"/>
        <v>25</v>
      </c>
      <c r="X93" s="61">
        <f t="shared" si="33"/>
        <v>61</v>
      </c>
      <c r="Y93" s="61">
        <f t="shared" si="33"/>
        <v>66.3</v>
      </c>
      <c r="Z93" s="61">
        <f t="shared" si="33"/>
        <v>63.4</v>
      </c>
      <c r="AA93" s="61">
        <f t="shared" si="33"/>
        <v>41</v>
      </c>
      <c r="AB93" s="61">
        <f t="shared" si="33"/>
        <v>68</v>
      </c>
      <c r="AC93" s="61">
        <f t="shared" si="33"/>
        <v>85</v>
      </c>
      <c r="AD93" s="61">
        <f t="shared" si="33"/>
        <v>0</v>
      </c>
      <c r="AE93" s="61">
        <f t="shared" si="33"/>
        <v>0</v>
      </c>
      <c r="AF93" s="61">
        <f t="shared" si="33"/>
        <v>0</v>
      </c>
      <c r="AG93" s="81"/>
      <c r="AH93" s="48">
        <f t="shared" si="14"/>
        <v>104.1</v>
      </c>
      <c r="AI93" s="49">
        <f t="shared" si="15"/>
        <v>0</v>
      </c>
      <c r="AK93" s="50"/>
    </row>
    <row r="94" spans="1:37" ht="15.75" thickBot="1" x14ac:dyDescent="0.3">
      <c r="A94" s="74" t="s">
        <v>95</v>
      </c>
      <c r="B94" s="61">
        <f t="shared" ref="B94" si="34">B78-B93</f>
        <v>104.6</v>
      </c>
      <c r="C94" s="61">
        <f t="shared" ref="C94:AF94" si="35">C78-C93</f>
        <v>157</v>
      </c>
      <c r="D94" s="61">
        <f t="shared" si="35"/>
        <v>176</v>
      </c>
      <c r="E94" s="61">
        <f t="shared" si="35"/>
        <v>170</v>
      </c>
      <c r="F94" s="61">
        <f t="shared" si="35"/>
        <v>177</v>
      </c>
      <c r="G94" s="61">
        <f t="shared" si="35"/>
        <v>167</v>
      </c>
      <c r="H94" s="61">
        <f t="shared" si="35"/>
        <v>0</v>
      </c>
      <c r="I94" s="61">
        <f t="shared" si="35"/>
        <v>117</v>
      </c>
      <c r="J94" s="61">
        <f t="shared" si="35"/>
        <v>70.900000000000006</v>
      </c>
      <c r="K94" s="61">
        <f t="shared" si="35"/>
        <v>-42</v>
      </c>
      <c r="L94" s="61">
        <f t="shared" si="35"/>
        <v>-44</v>
      </c>
      <c r="M94" s="61">
        <f t="shared" si="35"/>
        <v>-58.3</v>
      </c>
      <c r="N94" s="61">
        <f t="shared" si="35"/>
        <v>-28.700000000000003</v>
      </c>
      <c r="O94" s="61">
        <f t="shared" si="35"/>
        <v>-2.8000000000000114</v>
      </c>
      <c r="P94" s="61">
        <f t="shared" si="35"/>
        <v>180</v>
      </c>
      <c r="Q94" s="61">
        <f t="shared" si="35"/>
        <v>146.19999999999999</v>
      </c>
      <c r="R94" s="61">
        <f t="shared" si="35"/>
        <v>233.2</v>
      </c>
      <c r="S94" s="61">
        <f t="shared" si="35"/>
        <v>221.7</v>
      </c>
      <c r="T94" s="61">
        <f t="shared" si="35"/>
        <v>228.6</v>
      </c>
      <c r="U94" s="61">
        <f t="shared" si="35"/>
        <v>223</v>
      </c>
      <c r="V94" s="61">
        <f t="shared" si="35"/>
        <v>70.599999999999994</v>
      </c>
      <c r="W94" s="61">
        <f t="shared" si="35"/>
        <v>28.6</v>
      </c>
      <c r="X94" s="61">
        <f t="shared" si="35"/>
        <v>0.89999999999999858</v>
      </c>
      <c r="Y94" s="61">
        <f t="shared" si="35"/>
        <v>-10.699999999999996</v>
      </c>
      <c r="Z94" s="61">
        <f t="shared" si="35"/>
        <v>-25.4</v>
      </c>
      <c r="AA94" s="61">
        <f t="shared" si="35"/>
        <v>-1</v>
      </c>
      <c r="AB94" s="61">
        <f t="shared" si="35"/>
        <v>-16</v>
      </c>
      <c r="AC94" s="61">
        <f t="shared" si="35"/>
        <v>-32</v>
      </c>
      <c r="AD94" s="61">
        <f t="shared" si="35"/>
        <v>51</v>
      </c>
      <c r="AE94" s="61">
        <f t="shared" si="35"/>
        <v>56</v>
      </c>
      <c r="AF94" s="61">
        <f t="shared" si="35"/>
        <v>52</v>
      </c>
      <c r="AG94" s="81"/>
      <c r="AH94" s="48">
        <f t="shared" si="14"/>
        <v>233.2</v>
      </c>
      <c r="AI94" s="49">
        <f t="shared" si="15"/>
        <v>-58.3</v>
      </c>
    </row>
    <row r="95" spans="1:37" x14ac:dyDescent="0.25">
      <c r="A95" s="88" t="s">
        <v>96</v>
      </c>
      <c r="B95" s="89">
        <v>50.02</v>
      </c>
      <c r="C95" s="89">
        <v>50.034999999999997</v>
      </c>
      <c r="D95" s="89">
        <v>50.031999999999996</v>
      </c>
      <c r="E95" s="89">
        <v>49.994999999999997</v>
      </c>
      <c r="F95" s="89">
        <v>50.081000000000003</v>
      </c>
      <c r="G95" s="89">
        <v>50</v>
      </c>
      <c r="H95" s="89"/>
      <c r="I95" s="89">
        <v>49.914000000000001</v>
      </c>
      <c r="J95" s="89">
        <v>50.003999999999998</v>
      </c>
      <c r="K95" s="89">
        <v>49.923000000000002</v>
      </c>
      <c r="L95" s="89">
        <v>49.835999999999999</v>
      </c>
      <c r="M95" s="89">
        <v>50.12</v>
      </c>
      <c r="N95" s="89">
        <v>50</v>
      </c>
      <c r="O95" s="89">
        <v>50.198999999999998</v>
      </c>
      <c r="P95" s="89">
        <v>50.07</v>
      </c>
      <c r="Q95" s="89">
        <v>50.06</v>
      </c>
      <c r="R95" s="89">
        <v>50.05</v>
      </c>
      <c r="S95" s="89">
        <v>50.204999999999998</v>
      </c>
      <c r="T95" s="89">
        <v>49.921999999999997</v>
      </c>
      <c r="U95" s="89">
        <v>50.1</v>
      </c>
      <c r="V95" s="89">
        <v>49.997</v>
      </c>
      <c r="W95" s="89">
        <v>49.838999999999999</v>
      </c>
      <c r="X95" s="89">
        <v>49.767000000000003</v>
      </c>
      <c r="Y95" s="89">
        <v>49.768999999999998</v>
      </c>
      <c r="Z95" s="89">
        <v>49.892000000000003</v>
      </c>
      <c r="AA95" s="89">
        <v>50.043999999999997</v>
      </c>
      <c r="AB95" s="89">
        <v>50.07</v>
      </c>
      <c r="AC95" s="89">
        <v>50</v>
      </c>
      <c r="AD95" s="89">
        <v>50</v>
      </c>
      <c r="AE95" s="89">
        <v>50.02</v>
      </c>
      <c r="AF95" s="89">
        <v>50.02</v>
      </c>
      <c r="AG95" s="90"/>
      <c r="AH95" s="48">
        <f t="shared" si="14"/>
        <v>50.204999999999998</v>
      </c>
      <c r="AI95" s="49">
        <f t="shared" si="15"/>
        <v>49.767000000000003</v>
      </c>
    </row>
    <row r="96" spans="1:37" x14ac:dyDescent="0.25">
      <c r="A96" s="91" t="s">
        <v>97</v>
      </c>
      <c r="B96" s="65">
        <v>128.30000000000001</v>
      </c>
      <c r="C96" s="65">
        <v>129.6</v>
      </c>
      <c r="D96" s="65">
        <v>129.30000000000001</v>
      </c>
      <c r="E96" s="65">
        <v>129.4</v>
      </c>
      <c r="F96" s="65">
        <v>130</v>
      </c>
      <c r="G96" s="65">
        <v>128.19999999999999</v>
      </c>
      <c r="H96" s="65"/>
      <c r="I96" s="65">
        <v>125.1</v>
      </c>
      <c r="J96" s="65">
        <v>125</v>
      </c>
      <c r="K96" s="65">
        <v>122.3</v>
      </c>
      <c r="L96" s="65">
        <v>124.2</v>
      </c>
      <c r="M96" s="65">
        <v>125.6</v>
      </c>
      <c r="N96" s="65">
        <v>125.2</v>
      </c>
      <c r="O96" s="65">
        <v>124.6</v>
      </c>
      <c r="P96" s="65">
        <v>126.1</v>
      </c>
      <c r="Q96" s="65">
        <v>125.1</v>
      </c>
      <c r="R96" s="65">
        <v>124.1</v>
      </c>
      <c r="S96" s="65">
        <v>126.3</v>
      </c>
      <c r="T96" s="65">
        <v>124.8</v>
      </c>
      <c r="U96" s="65">
        <v>126.3</v>
      </c>
      <c r="V96" s="65">
        <v>126.6</v>
      </c>
      <c r="W96" s="65">
        <v>126.5</v>
      </c>
      <c r="X96" s="65">
        <v>125.8</v>
      </c>
      <c r="Y96" s="65">
        <v>128.5</v>
      </c>
      <c r="Z96" s="65">
        <v>129.30000000000001</v>
      </c>
      <c r="AA96" s="65">
        <v>129.6</v>
      </c>
      <c r="AB96" s="65">
        <v>129.5</v>
      </c>
      <c r="AC96" s="65">
        <v>129.5</v>
      </c>
      <c r="AD96" s="65">
        <v>129.5</v>
      </c>
      <c r="AE96" s="65">
        <v>129.5</v>
      </c>
      <c r="AF96" s="65">
        <v>129</v>
      </c>
      <c r="AG96" s="92"/>
      <c r="AH96" s="48">
        <f t="shared" si="14"/>
        <v>130</v>
      </c>
      <c r="AI96" s="49">
        <f t="shared" si="15"/>
        <v>122.3</v>
      </c>
    </row>
    <row r="97" spans="1:35" x14ac:dyDescent="0.25">
      <c r="A97" s="91" t="s">
        <v>98</v>
      </c>
      <c r="B97" s="65">
        <v>131.4</v>
      </c>
      <c r="C97" s="65">
        <v>133.30000000000001</v>
      </c>
      <c r="D97" s="65">
        <v>132.9</v>
      </c>
      <c r="E97" s="65">
        <v>133</v>
      </c>
      <c r="F97" s="65">
        <v>133.4</v>
      </c>
      <c r="G97" s="65">
        <v>132</v>
      </c>
      <c r="H97" s="65"/>
      <c r="I97" s="65">
        <v>129</v>
      </c>
      <c r="J97" s="65">
        <v>128.9</v>
      </c>
      <c r="K97" s="65">
        <v>125.7</v>
      </c>
      <c r="L97" s="65">
        <v>126.7</v>
      </c>
      <c r="M97" s="65">
        <v>127.7</v>
      </c>
      <c r="N97" s="65">
        <v>128</v>
      </c>
      <c r="O97" s="65">
        <v>127.1</v>
      </c>
      <c r="P97" s="65">
        <v>127.8</v>
      </c>
      <c r="Q97" s="65">
        <v>127.3</v>
      </c>
      <c r="R97" s="65">
        <v>126.8</v>
      </c>
      <c r="S97" s="65">
        <v>128.69999999999999</v>
      </c>
      <c r="T97" s="65"/>
      <c r="U97" s="65">
        <v>128.9</v>
      </c>
      <c r="V97" s="65">
        <v>129.19999999999999</v>
      </c>
      <c r="W97" s="65">
        <v>128.5</v>
      </c>
      <c r="X97" s="65">
        <v>127.3</v>
      </c>
      <c r="Y97" s="65">
        <v>129.69999999999999</v>
      </c>
      <c r="Z97" s="65">
        <v>130.5</v>
      </c>
      <c r="AA97" s="65">
        <v>131</v>
      </c>
      <c r="AB97" s="65">
        <v>131.19999999999999</v>
      </c>
      <c r="AC97" s="65">
        <v>131.19999999999999</v>
      </c>
      <c r="AD97" s="65">
        <v>131.19999999999999</v>
      </c>
      <c r="AE97" s="65">
        <v>131.19999999999999</v>
      </c>
      <c r="AF97" s="65">
        <v>132</v>
      </c>
      <c r="AG97" s="92"/>
      <c r="AH97" s="48">
        <f t="shared" si="14"/>
        <v>133.4</v>
      </c>
      <c r="AI97" s="49">
        <f t="shared" si="15"/>
        <v>125.7</v>
      </c>
    </row>
    <row r="98" spans="1:35" x14ac:dyDescent="0.25">
      <c r="A98" s="91" t="s">
        <v>99</v>
      </c>
      <c r="B98" s="65">
        <v>132.19999999999999</v>
      </c>
      <c r="C98" s="65">
        <v>133.80000000000001</v>
      </c>
      <c r="D98" s="65">
        <v>130.69999999999999</v>
      </c>
      <c r="E98" s="65">
        <v>134.69999999999999</v>
      </c>
      <c r="F98" s="65">
        <v>131</v>
      </c>
      <c r="G98" s="65">
        <v>130.9</v>
      </c>
      <c r="H98" s="65"/>
      <c r="I98" s="65">
        <v>127.7</v>
      </c>
      <c r="J98" s="65">
        <v>129.80000000000001</v>
      </c>
      <c r="K98" s="65">
        <v>126.8</v>
      </c>
      <c r="L98" s="65">
        <v>127.8</v>
      </c>
      <c r="M98" s="65">
        <v>129.9</v>
      </c>
      <c r="N98" s="65">
        <v>130.69999999999999</v>
      </c>
      <c r="O98" s="65">
        <v>129.5</v>
      </c>
      <c r="P98" s="65">
        <v>129.1</v>
      </c>
      <c r="Q98" s="65">
        <v>130.4</v>
      </c>
      <c r="R98" s="65">
        <v>131.6</v>
      </c>
      <c r="S98" s="65">
        <v>129.4</v>
      </c>
      <c r="T98" s="65">
        <v>128.30000000000001</v>
      </c>
      <c r="U98" s="65">
        <v>130.4</v>
      </c>
      <c r="V98" s="65">
        <v>130.80000000000001</v>
      </c>
      <c r="W98" s="65">
        <v>126.2</v>
      </c>
      <c r="X98" s="65">
        <v>128.6</v>
      </c>
      <c r="Y98" s="65">
        <v>129.30000000000001</v>
      </c>
      <c r="Z98" s="65">
        <v>130.5</v>
      </c>
      <c r="AA98" s="65">
        <v>132.6</v>
      </c>
      <c r="AB98" s="65">
        <v>132.6</v>
      </c>
      <c r="AC98" s="65">
        <v>132.6</v>
      </c>
      <c r="AD98" s="65">
        <v>132.6</v>
      </c>
      <c r="AE98" s="65">
        <v>132.6</v>
      </c>
      <c r="AF98" s="65">
        <v>129</v>
      </c>
      <c r="AG98" s="92"/>
      <c r="AH98" s="48">
        <f t="shared" si="14"/>
        <v>134.69999999999999</v>
      </c>
      <c r="AI98" s="49">
        <f t="shared" si="15"/>
        <v>126.2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4"/>
        <v>0</v>
      </c>
      <c r="AI99" s="49">
        <f t="shared" si="15"/>
        <v>0</v>
      </c>
    </row>
    <row r="100" spans="1:35" x14ac:dyDescent="0.25">
      <c r="A100" s="93" t="s">
        <v>101</v>
      </c>
      <c r="B100" s="65">
        <v>131.1</v>
      </c>
      <c r="C100" s="94">
        <v>133.80000000000001</v>
      </c>
      <c r="D100" s="94">
        <v>133.1</v>
      </c>
      <c r="E100" s="94">
        <v>135</v>
      </c>
      <c r="F100" s="94">
        <v>134.6</v>
      </c>
      <c r="G100" s="94">
        <v>131.69999999999999</v>
      </c>
      <c r="H100" s="94"/>
      <c r="I100" s="94">
        <v>135.5</v>
      </c>
      <c r="J100" s="94">
        <v>135.5</v>
      </c>
      <c r="K100" s="94">
        <v>131.6</v>
      </c>
      <c r="L100" s="94">
        <v>129.5</v>
      </c>
      <c r="M100" s="94">
        <v>136</v>
      </c>
      <c r="N100" s="94">
        <v>135</v>
      </c>
      <c r="O100" s="94">
        <v>128.6</v>
      </c>
      <c r="P100" s="94">
        <v>132.5</v>
      </c>
      <c r="Q100" s="94">
        <v>130.4</v>
      </c>
      <c r="R100" s="94">
        <v>130.5</v>
      </c>
      <c r="S100" s="94">
        <v>131.69999999999999</v>
      </c>
      <c r="T100" s="94">
        <v>133.6</v>
      </c>
      <c r="U100" s="94">
        <v>134.5</v>
      </c>
      <c r="V100" s="94">
        <v>136.1</v>
      </c>
      <c r="W100" s="94">
        <v>132.30000000000001</v>
      </c>
      <c r="X100" s="94">
        <v>132.5</v>
      </c>
      <c r="Y100" s="94">
        <v>135.69999999999999</v>
      </c>
      <c r="Z100" s="94">
        <v>135.5</v>
      </c>
      <c r="AA100" s="94">
        <v>135.5</v>
      </c>
      <c r="AB100" s="94">
        <v>135.80000000000001</v>
      </c>
      <c r="AC100" s="94">
        <v>135.80000000000001</v>
      </c>
      <c r="AD100" s="94">
        <v>135.80000000000001</v>
      </c>
      <c r="AE100" s="94">
        <v>135.80000000000001</v>
      </c>
      <c r="AF100" s="94">
        <v>131</v>
      </c>
      <c r="AG100" s="95"/>
      <c r="AH100" s="48">
        <f t="shared" si="14"/>
        <v>136.1</v>
      </c>
      <c r="AI100" s="49">
        <f t="shared" si="15"/>
        <v>128.6</v>
      </c>
    </row>
    <row r="101" spans="1:35" x14ac:dyDescent="0.25">
      <c r="A101" s="91" t="s">
        <v>102</v>
      </c>
      <c r="B101" s="94">
        <v>132.6</v>
      </c>
      <c r="C101" s="65">
        <v>133.6</v>
      </c>
      <c r="D101" s="65">
        <v>134.69999999999999</v>
      </c>
      <c r="E101" s="65">
        <v>133</v>
      </c>
      <c r="F101" s="65">
        <v>136</v>
      </c>
      <c r="G101" s="65">
        <v>131.6</v>
      </c>
      <c r="H101" s="65"/>
      <c r="I101" s="65">
        <v>126</v>
      </c>
      <c r="J101" s="65">
        <v>131.4</v>
      </c>
      <c r="K101" s="65">
        <v>131</v>
      </c>
      <c r="L101" s="65">
        <v>130.5</v>
      </c>
      <c r="M101" s="65">
        <v>131.1</v>
      </c>
      <c r="N101" s="65">
        <v>131</v>
      </c>
      <c r="O101" s="65">
        <v>136.30000000000001</v>
      </c>
      <c r="P101" s="65">
        <v>130.30000000000001</v>
      </c>
      <c r="Q101" s="65">
        <v>132.5</v>
      </c>
      <c r="R101" s="65">
        <v>136.30000000000001</v>
      </c>
      <c r="S101" s="65">
        <v>129.30000000000001</v>
      </c>
      <c r="T101" s="65">
        <v>132.5</v>
      </c>
      <c r="U101" s="65">
        <v>132.9</v>
      </c>
      <c r="V101" s="65">
        <v>133.5</v>
      </c>
      <c r="W101" s="65">
        <v>131</v>
      </c>
      <c r="X101" s="65">
        <v>127.2</v>
      </c>
      <c r="Y101" s="65">
        <v>132.80000000000001</v>
      </c>
      <c r="Z101" s="65">
        <v>126.2</v>
      </c>
      <c r="AA101" s="65">
        <v>127</v>
      </c>
      <c r="AB101" s="65">
        <v>136.80000000000001</v>
      </c>
      <c r="AC101" s="65">
        <v>136.80000000000001</v>
      </c>
      <c r="AD101" s="65">
        <v>136.80000000000001</v>
      </c>
      <c r="AE101" s="65">
        <v>136.80000000000001</v>
      </c>
      <c r="AF101" s="65">
        <v>133</v>
      </c>
      <c r="AG101" s="92"/>
      <c r="AH101" s="48">
        <f t="shared" si="14"/>
        <v>136.80000000000001</v>
      </c>
      <c r="AI101" s="49">
        <f t="shared" si="15"/>
        <v>126</v>
      </c>
    </row>
    <row r="102" spans="1:35" ht="15.75" thickBot="1" x14ac:dyDescent="0.3">
      <c r="A102" s="91" t="s">
        <v>104</v>
      </c>
      <c r="B102" s="96">
        <v>65.900000000000006</v>
      </c>
      <c r="C102" s="96">
        <v>66.8</v>
      </c>
      <c r="D102" s="96">
        <v>66.7</v>
      </c>
      <c r="E102" s="96">
        <v>67</v>
      </c>
      <c r="F102" s="96">
        <v>67</v>
      </c>
      <c r="G102" s="96">
        <v>66.099999999999994</v>
      </c>
      <c r="H102" s="96"/>
      <c r="I102" s="96">
        <v>64.7</v>
      </c>
      <c r="J102" s="96">
        <v>64.5</v>
      </c>
      <c r="K102" s="96">
        <v>63.1</v>
      </c>
      <c r="L102" s="96">
        <v>63.7</v>
      </c>
      <c r="M102" s="96">
        <v>63.9</v>
      </c>
      <c r="N102" s="96">
        <v>64.400000000000006</v>
      </c>
      <c r="O102" s="96">
        <v>63.9</v>
      </c>
      <c r="P102" s="96">
        <v>64.2</v>
      </c>
      <c r="Q102" s="96">
        <v>64.2</v>
      </c>
      <c r="R102" s="96">
        <v>63.8</v>
      </c>
      <c r="S102" s="96">
        <v>64.7</v>
      </c>
      <c r="T102" s="96"/>
      <c r="U102" s="96">
        <v>64.8</v>
      </c>
      <c r="V102" s="96">
        <v>65.2</v>
      </c>
      <c r="W102" s="96">
        <v>64.7</v>
      </c>
      <c r="X102" s="96">
        <v>64</v>
      </c>
      <c r="Y102" s="96">
        <v>65.2</v>
      </c>
      <c r="Z102" s="96">
        <v>65.8</v>
      </c>
      <c r="AA102" s="96">
        <v>65.7</v>
      </c>
      <c r="AB102" s="96">
        <v>65.7</v>
      </c>
      <c r="AC102" s="96">
        <v>65.7</v>
      </c>
      <c r="AD102" s="96">
        <v>65.7</v>
      </c>
      <c r="AE102" s="96">
        <v>66.900000000000006</v>
      </c>
      <c r="AF102" s="96">
        <v>66.8</v>
      </c>
      <c r="AG102" s="97"/>
      <c r="AH102" s="48">
        <f t="shared" si="14"/>
        <v>67</v>
      </c>
      <c r="AI102" s="49">
        <f t="shared" si="15"/>
        <v>63.1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4"/>
        <v>0</v>
      </c>
      <c r="AI103" s="49">
        <f t="shared" si="15"/>
        <v>0</v>
      </c>
    </row>
    <row r="104" spans="1:35" ht="15.75" thickBot="1" x14ac:dyDescent="0.3">
      <c r="A104" s="99" t="s">
        <v>105</v>
      </c>
      <c r="B104" s="100">
        <f t="shared" ref="B104" si="36">SUM(B16,B22,B25:B26,B52,B54:B55,B57,B59,B105:B109,B131,B137,B143,B152,B154,B166,B173,B176:B177,B184,B186,B188,B192:B194,B196:B198,B203,B209:B210,B212:B214,B222,B227)</f>
        <v>108.10000000000001</v>
      </c>
      <c r="C104" s="100">
        <f t="shared" ref="C104:AF104" si="37">SUM(C16,C22,C25:C26,C52,C54:C55,C57,C59,C105:C109,C131,C137,C143,C152,C154,C166,C173,C176:C177,C184,C186,C188,C192:C194,C196:C198,C203,C209:C210,C212:C214,C222,C227)</f>
        <v>111.94</v>
      </c>
      <c r="D104" s="100">
        <f t="shared" si="37"/>
        <v>102.24</v>
      </c>
      <c r="E104" s="100">
        <f t="shared" si="37"/>
        <v>92.24</v>
      </c>
      <c r="F104" s="100">
        <f t="shared" si="37"/>
        <v>97.839999999999975</v>
      </c>
      <c r="G104" s="100">
        <f t="shared" si="37"/>
        <v>115.34</v>
      </c>
      <c r="H104" s="100">
        <f t="shared" si="37"/>
        <v>142.54</v>
      </c>
      <c r="I104" s="100">
        <f t="shared" si="37"/>
        <v>220.33999999999997</v>
      </c>
      <c r="J104" s="100">
        <f t="shared" si="37"/>
        <v>232.34000000000003</v>
      </c>
      <c r="K104" s="100">
        <f t="shared" si="37"/>
        <v>303.24000000000007</v>
      </c>
      <c r="L104" s="100">
        <f t="shared" si="37"/>
        <v>310.94</v>
      </c>
      <c r="M104" s="100">
        <f t="shared" si="37"/>
        <v>350.03999999999996</v>
      </c>
      <c r="N104" s="100">
        <f t="shared" si="37"/>
        <v>315.14</v>
      </c>
      <c r="O104" s="100">
        <f t="shared" si="37"/>
        <v>284.73999999999995</v>
      </c>
      <c r="P104" s="100">
        <f t="shared" si="37"/>
        <v>283.84000000000003</v>
      </c>
      <c r="Q104" s="100">
        <f t="shared" si="37"/>
        <v>260.09999999999997</v>
      </c>
      <c r="R104" s="100">
        <f t="shared" si="37"/>
        <v>258.39999999999998</v>
      </c>
      <c r="S104" s="100">
        <f t="shared" si="37"/>
        <v>261.79999999999995</v>
      </c>
      <c r="T104" s="100">
        <f t="shared" si="37"/>
        <v>232.3</v>
      </c>
      <c r="U104" s="100">
        <f t="shared" si="37"/>
        <v>290.3</v>
      </c>
      <c r="V104" s="100">
        <f t="shared" si="37"/>
        <v>310.39999999999998</v>
      </c>
      <c r="W104" s="100">
        <f t="shared" si="37"/>
        <v>349.9</v>
      </c>
      <c r="X104" s="100">
        <f t="shared" si="37"/>
        <v>387.59999999999997</v>
      </c>
      <c r="Y104" s="100">
        <f t="shared" si="37"/>
        <v>382.59999999999997</v>
      </c>
      <c r="Z104" s="100">
        <f t="shared" si="37"/>
        <v>370.99999999999994</v>
      </c>
      <c r="AA104" s="100">
        <f t="shared" si="37"/>
        <v>337</v>
      </c>
      <c r="AB104" s="100">
        <f t="shared" si="37"/>
        <v>281.89999999999998</v>
      </c>
      <c r="AC104" s="100">
        <f t="shared" si="37"/>
        <v>280.60000000000002</v>
      </c>
      <c r="AD104" s="100">
        <f t="shared" si="37"/>
        <v>249.10000000000002</v>
      </c>
      <c r="AE104" s="100">
        <f t="shared" si="37"/>
        <v>160.6</v>
      </c>
      <c r="AF104" s="100">
        <f t="shared" si="37"/>
        <v>124.6</v>
      </c>
      <c r="AG104" s="101"/>
      <c r="AH104" s="48">
        <f t="shared" si="14"/>
        <v>387.59999999999997</v>
      </c>
      <c r="AI104" s="49">
        <f t="shared" si="15"/>
        <v>92.24</v>
      </c>
    </row>
    <row r="105" spans="1:35" x14ac:dyDescent="0.25">
      <c r="A105" s="88" t="s">
        <v>106</v>
      </c>
      <c r="B105" s="102">
        <v>21.1</v>
      </c>
      <c r="C105" s="102">
        <v>5.9</v>
      </c>
      <c r="D105" s="102">
        <v>5.8</v>
      </c>
      <c r="E105" s="102">
        <v>4.5</v>
      </c>
      <c r="F105" s="102">
        <v>0</v>
      </c>
      <c r="G105" s="102">
        <v>9.8000000000000007</v>
      </c>
      <c r="H105" s="102"/>
      <c r="I105" s="102">
        <v>36.9</v>
      </c>
      <c r="J105" s="102">
        <v>35.9</v>
      </c>
      <c r="K105" s="102">
        <v>37.799999999999997</v>
      </c>
      <c r="L105" s="102">
        <v>34.799999999999997</v>
      </c>
      <c r="M105" s="102">
        <v>35.200000000000003</v>
      </c>
      <c r="N105" s="102">
        <v>42.9</v>
      </c>
      <c r="O105" s="102">
        <v>48.1</v>
      </c>
      <c r="P105" s="102">
        <v>54.5</v>
      </c>
      <c r="Q105" s="102">
        <v>47</v>
      </c>
      <c r="R105" s="102">
        <v>47.4</v>
      </c>
      <c r="S105" s="102">
        <v>42.2</v>
      </c>
      <c r="T105" s="102">
        <v>33.4</v>
      </c>
      <c r="U105" s="102">
        <v>41.4</v>
      </c>
      <c r="V105" s="102">
        <v>41</v>
      </c>
      <c r="W105" s="102">
        <v>36.1</v>
      </c>
      <c r="X105" s="102">
        <v>25</v>
      </c>
      <c r="Y105" s="102">
        <v>40.299999999999997</v>
      </c>
      <c r="Z105" s="102">
        <v>50</v>
      </c>
      <c r="AA105" s="102">
        <v>48.5</v>
      </c>
      <c r="AB105" s="102">
        <v>52</v>
      </c>
      <c r="AC105" s="102">
        <v>51</v>
      </c>
      <c r="AD105" s="102">
        <v>50.5</v>
      </c>
      <c r="AE105" s="102">
        <v>40</v>
      </c>
      <c r="AF105" s="102">
        <v>19</v>
      </c>
      <c r="AG105" s="103">
        <v>75</v>
      </c>
      <c r="AH105" s="48">
        <f t="shared" si="14"/>
        <v>54.5</v>
      </c>
      <c r="AI105" s="49">
        <f t="shared" si="15"/>
        <v>0</v>
      </c>
    </row>
    <row r="106" spans="1:35" x14ac:dyDescent="0.25">
      <c r="A106" s="91" t="s">
        <v>107</v>
      </c>
      <c r="B106" s="104">
        <v>36.700000000000003</v>
      </c>
      <c r="C106" s="104">
        <v>14.8</v>
      </c>
      <c r="D106" s="104">
        <v>15.4</v>
      </c>
      <c r="E106" s="104">
        <v>13.9</v>
      </c>
      <c r="F106" s="104">
        <v>7.1</v>
      </c>
      <c r="G106" s="104">
        <v>22.6</v>
      </c>
      <c r="H106" s="104"/>
      <c r="I106" s="104">
        <v>60.8</v>
      </c>
      <c r="J106" s="104">
        <v>57.4</v>
      </c>
      <c r="K106" s="104">
        <v>58.3</v>
      </c>
      <c r="L106" s="104">
        <v>53.8</v>
      </c>
      <c r="M106" s="104">
        <v>53.9</v>
      </c>
      <c r="N106" s="104">
        <v>65.400000000000006</v>
      </c>
      <c r="O106" s="104">
        <v>69.900000000000006</v>
      </c>
      <c r="P106" s="104">
        <v>81.2</v>
      </c>
      <c r="Q106" s="104">
        <v>70.099999999999994</v>
      </c>
      <c r="R106" s="104">
        <v>72.3</v>
      </c>
      <c r="S106" s="104">
        <v>63.2</v>
      </c>
      <c r="T106" s="104">
        <v>55.9</v>
      </c>
      <c r="U106" s="104">
        <v>62.3</v>
      </c>
      <c r="V106" s="104">
        <v>62.4</v>
      </c>
      <c r="W106" s="104">
        <v>56</v>
      </c>
      <c r="X106" s="104">
        <v>39.799999999999997</v>
      </c>
      <c r="Y106" s="104">
        <v>57.3</v>
      </c>
      <c r="Z106" s="104">
        <v>69.3</v>
      </c>
      <c r="AA106" s="104">
        <v>68.7</v>
      </c>
      <c r="AB106" s="104">
        <v>71.599999999999994</v>
      </c>
      <c r="AC106" s="104">
        <v>72</v>
      </c>
      <c r="AD106" s="104">
        <v>73</v>
      </c>
      <c r="AE106" s="104">
        <v>61</v>
      </c>
      <c r="AF106" s="104">
        <v>35</v>
      </c>
      <c r="AG106" s="103">
        <v>240</v>
      </c>
      <c r="AH106" s="48">
        <f t="shared" si="14"/>
        <v>81.2</v>
      </c>
      <c r="AI106" s="49">
        <f t="shared" si="15"/>
        <v>7.1</v>
      </c>
    </row>
    <row r="107" spans="1:35" x14ac:dyDescent="0.25">
      <c r="A107" s="91" t="s">
        <v>108</v>
      </c>
      <c r="B107" s="104">
        <v>-108.3</v>
      </c>
      <c r="C107" s="104">
        <v>-87.5</v>
      </c>
      <c r="D107" s="104">
        <v>-88.4</v>
      </c>
      <c r="E107" s="104">
        <v>-90.7</v>
      </c>
      <c r="F107" s="104">
        <v>-83.6</v>
      </c>
      <c r="G107" s="104">
        <v>-90.3</v>
      </c>
      <c r="H107" s="104"/>
      <c r="I107" s="104">
        <v>-80.2</v>
      </c>
      <c r="J107" s="104">
        <v>-72.599999999999994</v>
      </c>
      <c r="K107" s="104">
        <v>-51.6</v>
      </c>
      <c r="L107" s="104">
        <v>-63</v>
      </c>
      <c r="M107" s="104">
        <f>-11.7-20.5</f>
        <v>-32.200000000000003</v>
      </c>
      <c r="N107" s="104">
        <f>-22.1-29.3</f>
        <v>-51.400000000000006</v>
      </c>
      <c r="O107" s="104">
        <v>-22</v>
      </c>
      <c r="P107" s="104">
        <f>-11-16.2</f>
        <v>-27.2</v>
      </c>
      <c r="Q107" s="104">
        <f>-9.5-11.9</f>
        <v>-21.4</v>
      </c>
      <c r="R107" s="104">
        <f>-12.4-13.6</f>
        <v>-26</v>
      </c>
      <c r="S107" s="104">
        <f>-6-7</f>
        <v>-13</v>
      </c>
      <c r="T107" s="104">
        <f>-3-3.6</f>
        <v>-6.6</v>
      </c>
      <c r="U107" s="104">
        <f>-22-24</f>
        <v>-46</v>
      </c>
      <c r="V107" s="104">
        <f>-18-21</f>
        <v>-39</v>
      </c>
      <c r="W107" s="104">
        <f>-6-15</f>
        <v>-21</v>
      </c>
      <c r="X107" s="104">
        <v>4.7</v>
      </c>
      <c r="Y107" s="104">
        <f>6-1.8</f>
        <v>4.2</v>
      </c>
      <c r="Z107" s="104">
        <f>2-6</f>
        <v>-4</v>
      </c>
      <c r="AA107" s="104">
        <f>-4.3-13.6</f>
        <v>-17.899999999999999</v>
      </c>
      <c r="AB107" s="104">
        <f>-47.3-18.7</f>
        <v>-66</v>
      </c>
      <c r="AC107" s="104">
        <v>-60</v>
      </c>
      <c r="AD107" s="104">
        <v>-57</v>
      </c>
      <c r="AE107" s="104">
        <v>-83</v>
      </c>
      <c r="AF107" s="104">
        <v>-92</v>
      </c>
      <c r="AG107" s="103">
        <v>240</v>
      </c>
      <c r="AH107" s="48">
        <f t="shared" si="14"/>
        <v>4.7</v>
      </c>
      <c r="AI107" s="49">
        <f t="shared" si="15"/>
        <v>-108.3</v>
      </c>
    </row>
    <row r="108" spans="1:35" x14ac:dyDescent="0.25">
      <c r="A108" s="91" t="s">
        <v>109</v>
      </c>
      <c r="B108" s="104">
        <v>-3.1</v>
      </c>
      <c r="C108" s="104">
        <v>-0.8</v>
      </c>
      <c r="D108" s="104">
        <v>-5.5</v>
      </c>
      <c r="E108" s="104">
        <v>-6.4</v>
      </c>
      <c r="F108" s="104">
        <v>-4</v>
      </c>
      <c r="G108" s="104">
        <v>-2.6</v>
      </c>
      <c r="H108" s="104"/>
      <c r="I108" s="104">
        <v>1.2</v>
      </c>
      <c r="J108" s="104">
        <v>1.7</v>
      </c>
      <c r="K108" s="104">
        <v>8.5</v>
      </c>
      <c r="L108" s="104">
        <v>37.799999999999997</v>
      </c>
      <c r="M108" s="104">
        <v>47.7</v>
      </c>
      <c r="N108" s="104">
        <v>36.4</v>
      </c>
      <c r="O108" s="104">
        <v>42</v>
      </c>
      <c r="P108" s="104">
        <v>28.6</v>
      </c>
      <c r="Q108" s="104">
        <v>17.100000000000001</v>
      </c>
      <c r="R108" s="104">
        <v>15.5</v>
      </c>
      <c r="S108" s="104">
        <v>20.2</v>
      </c>
      <c r="T108" s="104"/>
      <c r="U108" s="104">
        <v>13</v>
      </c>
      <c r="V108" s="104">
        <v>24</v>
      </c>
      <c r="W108" s="104">
        <v>56</v>
      </c>
      <c r="X108" s="104">
        <v>59.8</v>
      </c>
      <c r="Y108" s="104">
        <v>61</v>
      </c>
      <c r="Z108" s="104">
        <v>60.2</v>
      </c>
      <c r="AA108" s="104">
        <v>59</v>
      </c>
      <c r="AB108" s="104">
        <v>58</v>
      </c>
      <c r="AC108" s="104">
        <v>60</v>
      </c>
      <c r="AD108" s="104">
        <v>13</v>
      </c>
      <c r="AE108" s="104">
        <v>1</v>
      </c>
      <c r="AF108" s="104">
        <v>0</v>
      </c>
      <c r="AG108" s="103">
        <v>60</v>
      </c>
      <c r="AH108" s="48">
        <f t="shared" si="14"/>
        <v>61</v>
      </c>
      <c r="AI108" s="49">
        <f t="shared" si="15"/>
        <v>-6.4</v>
      </c>
    </row>
    <row r="109" spans="1:35" x14ac:dyDescent="0.25">
      <c r="A109" s="105" t="s">
        <v>110</v>
      </c>
      <c r="B109" s="106">
        <v>20.5</v>
      </c>
      <c r="C109" s="106">
        <v>37.4</v>
      </c>
      <c r="D109" s="106">
        <v>32.799999999999997</v>
      </c>
      <c r="E109" s="106">
        <v>28.8</v>
      </c>
      <c r="F109" s="106">
        <v>35.1</v>
      </c>
      <c r="G109" s="106">
        <v>33.299999999999997</v>
      </c>
      <c r="H109" s="106"/>
      <c r="I109" s="106">
        <v>59.3</v>
      </c>
      <c r="J109" s="106">
        <v>68.7</v>
      </c>
      <c r="K109" s="106">
        <v>109</v>
      </c>
      <c r="L109" s="106">
        <v>106</v>
      </c>
      <c r="M109" s="106">
        <v>101.5</v>
      </c>
      <c r="N109" s="106">
        <v>76.900000000000006</v>
      </c>
      <c r="O109" s="106">
        <v>0</v>
      </c>
      <c r="P109" s="106">
        <v>0</v>
      </c>
      <c r="Q109" s="106">
        <v>0</v>
      </c>
      <c r="R109" s="106">
        <v>0</v>
      </c>
      <c r="S109" s="106">
        <v>0</v>
      </c>
      <c r="T109" s="106">
        <v>0</v>
      </c>
      <c r="U109" s="106">
        <v>70</v>
      </c>
      <c r="V109" s="106">
        <v>80.400000000000006</v>
      </c>
      <c r="W109" s="106">
        <v>81.2</v>
      </c>
      <c r="X109" s="106">
        <v>116.7</v>
      </c>
      <c r="Y109" s="106">
        <v>78.2</v>
      </c>
      <c r="Z109" s="106">
        <v>53.9</v>
      </c>
      <c r="AA109" s="106">
        <v>37.1</v>
      </c>
      <c r="AB109" s="106">
        <v>24.7</v>
      </c>
      <c r="AC109" s="106">
        <v>16</v>
      </c>
      <c r="AD109" s="106">
        <v>28</v>
      </c>
      <c r="AE109" s="106">
        <v>0</v>
      </c>
      <c r="AF109" s="106">
        <v>21</v>
      </c>
      <c r="AG109" s="107">
        <v>120</v>
      </c>
      <c r="AH109" s="48">
        <f t="shared" si="14"/>
        <v>116.7</v>
      </c>
      <c r="AI109" s="49">
        <f t="shared" si="15"/>
        <v>0</v>
      </c>
    </row>
    <row r="110" spans="1:35" x14ac:dyDescent="0.25">
      <c r="A110" s="105" t="s">
        <v>111</v>
      </c>
      <c r="B110" s="106">
        <v>38.799999999999997</v>
      </c>
      <c r="C110" s="106">
        <v>53.7</v>
      </c>
      <c r="D110" s="106">
        <v>44.6</v>
      </c>
      <c r="E110" s="106">
        <v>44.3</v>
      </c>
      <c r="F110" s="106">
        <v>46.1</v>
      </c>
      <c r="G110" s="106">
        <v>46.1</v>
      </c>
      <c r="H110" s="106"/>
      <c r="I110" s="106">
        <v>54.9</v>
      </c>
      <c r="J110" s="106">
        <v>61.4</v>
      </c>
      <c r="K110" s="106">
        <v>81.3</v>
      </c>
      <c r="L110" s="106">
        <v>73.599999999999994</v>
      </c>
      <c r="M110" s="106">
        <v>73.5</v>
      </c>
      <c r="N110" s="106">
        <v>57</v>
      </c>
      <c r="O110" s="106">
        <v>84.8</v>
      </c>
      <c r="P110" s="106">
        <v>57.4</v>
      </c>
      <c r="Q110" s="106">
        <v>76.3</v>
      </c>
      <c r="R110" s="106">
        <v>75.900000000000006</v>
      </c>
      <c r="S110" s="106">
        <v>85</v>
      </c>
      <c r="T110" s="106">
        <v>89</v>
      </c>
      <c r="U110" s="106">
        <v>64</v>
      </c>
      <c r="V110" s="106">
        <v>55.3</v>
      </c>
      <c r="W110" s="106">
        <v>46.2</v>
      </c>
      <c r="X110" s="106">
        <v>73</v>
      </c>
      <c r="Y110" s="106">
        <v>36.700000000000003</v>
      </c>
      <c r="Z110" s="106">
        <v>21</v>
      </c>
      <c r="AA110" s="106">
        <v>14.1</v>
      </c>
      <c r="AB110" s="106">
        <v>7.4</v>
      </c>
      <c r="AC110" s="106">
        <v>10</v>
      </c>
      <c r="AD110" s="106">
        <v>17</v>
      </c>
      <c r="AE110" s="106">
        <v>6</v>
      </c>
      <c r="AF110" s="106">
        <v>33</v>
      </c>
      <c r="AG110" s="107"/>
      <c r="AH110" s="48">
        <f t="shared" si="14"/>
        <v>89</v>
      </c>
      <c r="AI110" s="49">
        <f t="shared" si="15"/>
        <v>6</v>
      </c>
    </row>
    <row r="111" spans="1:35" x14ac:dyDescent="0.25">
      <c r="A111" s="105" t="s">
        <v>112</v>
      </c>
      <c r="B111" s="106">
        <v>29</v>
      </c>
      <c r="C111" s="106">
        <v>44.6</v>
      </c>
      <c r="D111" s="106">
        <v>49.1</v>
      </c>
      <c r="E111" s="106">
        <v>42.4</v>
      </c>
      <c r="F111" s="106">
        <v>43.2</v>
      </c>
      <c r="G111" s="106">
        <v>49</v>
      </c>
      <c r="H111" s="106"/>
      <c r="I111" s="106">
        <v>13.4</v>
      </c>
      <c r="J111" s="106">
        <v>16.5</v>
      </c>
      <c r="K111" s="106">
        <v>21.8</v>
      </c>
      <c r="L111" s="106">
        <v>26.8</v>
      </c>
      <c r="M111" s="106">
        <v>22</v>
      </c>
      <c r="N111" s="106">
        <v>16.600000000000001</v>
      </c>
      <c r="O111" s="106">
        <v>2.1</v>
      </c>
      <c r="P111" s="106">
        <v>3</v>
      </c>
      <c r="Q111" s="106">
        <v>0</v>
      </c>
      <c r="R111" s="106">
        <v>0</v>
      </c>
      <c r="S111" s="106">
        <v>0</v>
      </c>
      <c r="T111" s="106">
        <v>0</v>
      </c>
      <c r="U111" s="106">
        <v>0</v>
      </c>
      <c r="V111" s="106">
        <v>18.399999999999999</v>
      </c>
      <c r="W111" s="106">
        <v>29.6</v>
      </c>
      <c r="X111" s="106">
        <v>53</v>
      </c>
      <c r="Y111" s="106">
        <v>30.3</v>
      </c>
      <c r="Z111" s="106">
        <v>11.2</v>
      </c>
      <c r="AA111" s="106">
        <v>8.1</v>
      </c>
      <c r="AB111" s="106">
        <v>-5.9</v>
      </c>
      <c r="AC111" s="106">
        <v>-12</v>
      </c>
      <c r="AD111" s="106">
        <v>-14</v>
      </c>
      <c r="AE111" s="106">
        <v>3</v>
      </c>
      <c r="AF111" s="106">
        <v>37</v>
      </c>
      <c r="AG111" s="108"/>
      <c r="AH111" s="48">
        <f t="shared" si="14"/>
        <v>53</v>
      </c>
      <c r="AI111" s="49">
        <f t="shared" si="15"/>
        <v>-14</v>
      </c>
    </row>
    <row r="112" spans="1:35" x14ac:dyDescent="0.25">
      <c r="A112" s="109" t="s">
        <v>113</v>
      </c>
      <c r="B112" s="94">
        <v>40.5</v>
      </c>
      <c r="C112" s="94">
        <v>39</v>
      </c>
      <c r="D112" s="94">
        <v>38.799999999999997</v>
      </c>
      <c r="E112" s="94">
        <v>42.4</v>
      </c>
      <c r="F112" s="94">
        <v>40.700000000000003</v>
      </c>
      <c r="G112" s="94">
        <v>37.700000000000003</v>
      </c>
      <c r="H112" s="94"/>
      <c r="I112" s="94">
        <v>26.3</v>
      </c>
      <c r="J112" s="94">
        <v>24.5</v>
      </c>
      <c r="K112" s="94">
        <v>18.399999999999999</v>
      </c>
      <c r="L112" s="94">
        <v>5</v>
      </c>
      <c r="M112" s="94">
        <v>-4.5</v>
      </c>
      <c r="N112" s="94">
        <v>2</v>
      </c>
      <c r="O112" s="94">
        <v>8.6</v>
      </c>
      <c r="P112" s="94">
        <v>10.6</v>
      </c>
      <c r="Q112" s="94">
        <v>14.2</v>
      </c>
      <c r="R112" s="94">
        <v>14.7</v>
      </c>
      <c r="S112" s="94">
        <v>12.6</v>
      </c>
      <c r="T112" s="94">
        <v>6</v>
      </c>
      <c r="U112" s="94">
        <v>1.6</v>
      </c>
      <c r="V112" s="94">
        <v>-6.5</v>
      </c>
      <c r="W112" s="94">
        <v>-14</v>
      </c>
      <c r="X112" s="94">
        <v>-8</v>
      </c>
      <c r="Y112" s="94">
        <v>-5.6</v>
      </c>
      <c r="Z112" s="94">
        <v>-1.8</v>
      </c>
      <c r="AA112" s="94">
        <v>1</v>
      </c>
      <c r="AB112" s="94">
        <v>7.7</v>
      </c>
      <c r="AC112" s="94">
        <v>5</v>
      </c>
      <c r="AD112" s="94">
        <v>20</v>
      </c>
      <c r="AE112" s="94">
        <v>25</v>
      </c>
      <c r="AF112" s="94">
        <v>21</v>
      </c>
      <c r="AG112" s="108"/>
      <c r="AH112" s="48">
        <f t="shared" si="14"/>
        <v>42.4</v>
      </c>
      <c r="AI112" s="49">
        <f t="shared" si="15"/>
        <v>-14</v>
      </c>
    </row>
    <row r="113" spans="1:37" ht="15.75" thickBot="1" x14ac:dyDescent="0.3">
      <c r="A113" s="109" t="s">
        <v>114</v>
      </c>
      <c r="B113" s="94">
        <v>71</v>
      </c>
      <c r="C113" s="94">
        <v>51.4</v>
      </c>
      <c r="D113" s="94">
        <v>50</v>
      </c>
      <c r="E113" s="94">
        <v>48.9</v>
      </c>
      <c r="F113" s="94">
        <v>45.1</v>
      </c>
      <c r="G113" s="94">
        <v>50.5</v>
      </c>
      <c r="H113" s="94"/>
      <c r="I113" s="94">
        <v>56.4</v>
      </c>
      <c r="J113" s="94">
        <v>51.1</v>
      </c>
      <c r="K113" s="94">
        <v>39.799999999999997</v>
      </c>
      <c r="L113" s="94">
        <v>42.8</v>
      </c>
      <c r="M113" s="94">
        <v>46.5</v>
      </c>
      <c r="N113" s="94">
        <v>29.3</v>
      </c>
      <c r="O113" s="94">
        <v>21.6</v>
      </c>
      <c r="P113" s="94">
        <v>36.799999999999997</v>
      </c>
      <c r="Q113" s="94">
        <v>24.2</v>
      </c>
      <c r="R113" s="94">
        <v>24.2</v>
      </c>
      <c r="S113" s="94">
        <v>14.1</v>
      </c>
      <c r="T113" s="94">
        <v>5.8</v>
      </c>
      <c r="U113" s="94">
        <v>34</v>
      </c>
      <c r="V113" s="94">
        <v>27.4</v>
      </c>
      <c r="W113" s="94">
        <v>39.299999999999997</v>
      </c>
      <c r="X113" s="94">
        <v>16.3</v>
      </c>
      <c r="Y113" s="94">
        <v>25.2</v>
      </c>
      <c r="Z113" s="94">
        <v>36</v>
      </c>
      <c r="AA113" s="94">
        <v>47.6</v>
      </c>
      <c r="AB113" s="94">
        <v>58.3</v>
      </c>
      <c r="AC113" s="94">
        <v>50</v>
      </c>
      <c r="AD113" s="94">
        <v>46.4</v>
      </c>
      <c r="AE113" s="94">
        <v>62</v>
      </c>
      <c r="AF113" s="94">
        <v>56</v>
      </c>
      <c r="AG113" s="108"/>
      <c r="AH113" s="48">
        <f t="shared" si="14"/>
        <v>71</v>
      </c>
      <c r="AI113" s="49">
        <f t="shared" si="15"/>
        <v>5.8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38">SUM(B115:B219)</f>
        <v>0</v>
      </c>
      <c r="C220" s="125">
        <f t="shared" si="38"/>
        <v>0</v>
      </c>
      <c r="D220" s="125">
        <f t="shared" si="38"/>
        <v>0</v>
      </c>
      <c r="E220" s="125">
        <f t="shared" si="38"/>
        <v>0</v>
      </c>
      <c r="F220" s="125">
        <f t="shared" si="38"/>
        <v>0</v>
      </c>
      <c r="G220" s="125">
        <f t="shared" si="38"/>
        <v>0</v>
      </c>
      <c r="H220" s="125">
        <f t="shared" si="38"/>
        <v>0</v>
      </c>
      <c r="I220" s="125">
        <f t="shared" si="38"/>
        <v>0</v>
      </c>
      <c r="J220" s="125">
        <f t="shared" si="38"/>
        <v>0</v>
      </c>
      <c r="K220" s="125">
        <f t="shared" si="38"/>
        <v>0</v>
      </c>
      <c r="L220" s="125">
        <f t="shared" si="38"/>
        <v>0</v>
      </c>
      <c r="M220" s="125">
        <f t="shared" si="38"/>
        <v>0</v>
      </c>
      <c r="N220" s="125">
        <f t="shared" si="38"/>
        <v>0</v>
      </c>
      <c r="O220" s="125">
        <f t="shared" si="38"/>
        <v>0</v>
      </c>
      <c r="P220" s="125">
        <f t="shared" si="38"/>
        <v>0</v>
      </c>
      <c r="Q220" s="125">
        <f t="shared" si="38"/>
        <v>0</v>
      </c>
      <c r="R220" s="125">
        <f t="shared" si="38"/>
        <v>0</v>
      </c>
      <c r="S220" s="125">
        <f t="shared" si="38"/>
        <v>0</v>
      </c>
      <c r="T220" s="125">
        <f t="shared" si="38"/>
        <v>0</v>
      </c>
      <c r="U220" s="125">
        <f t="shared" si="38"/>
        <v>0</v>
      </c>
      <c r="V220" s="125">
        <f t="shared" si="38"/>
        <v>0</v>
      </c>
      <c r="W220" s="125">
        <f t="shared" si="38"/>
        <v>0</v>
      </c>
      <c r="X220" s="125">
        <f t="shared" si="38"/>
        <v>0</v>
      </c>
      <c r="Y220" s="125">
        <f t="shared" si="38"/>
        <v>0</v>
      </c>
      <c r="Z220" s="125">
        <f t="shared" si="38"/>
        <v>0</v>
      </c>
      <c r="AA220" s="125">
        <f t="shared" si="38"/>
        <v>0</v>
      </c>
      <c r="AB220" s="125">
        <f t="shared" si="38"/>
        <v>0</v>
      </c>
      <c r="AC220" s="125">
        <f t="shared" si="38"/>
        <v>0</v>
      </c>
      <c r="AD220" s="125">
        <f t="shared" si="38"/>
        <v>0</v>
      </c>
      <c r="AE220" s="125">
        <f t="shared" si="38"/>
        <v>0</v>
      </c>
      <c r="AF220" s="126">
        <f t="shared" si="38"/>
        <v>0</v>
      </c>
      <c r="AG220" s="127">
        <f t="shared" si="38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39">AF222</f>
        <v>0</v>
      </c>
      <c r="C222" s="129">
        <v>0.3</v>
      </c>
      <c r="D222" s="129">
        <f t="shared" ref="D222:P227" si="40">C222</f>
        <v>0.3</v>
      </c>
      <c r="E222" s="129">
        <f t="shared" si="40"/>
        <v>0.3</v>
      </c>
      <c r="F222" s="129">
        <f t="shared" si="40"/>
        <v>0.3</v>
      </c>
      <c r="G222" s="129">
        <f t="shared" si="40"/>
        <v>0.3</v>
      </c>
      <c r="H222" s="129">
        <f t="shared" si="40"/>
        <v>0.3</v>
      </c>
      <c r="I222" s="129">
        <f t="shared" si="40"/>
        <v>0.3</v>
      </c>
      <c r="J222" s="129">
        <f t="shared" si="40"/>
        <v>0.3</v>
      </c>
      <c r="K222" s="129">
        <f t="shared" si="40"/>
        <v>0.3</v>
      </c>
      <c r="L222" s="129">
        <f t="shared" si="40"/>
        <v>0.3</v>
      </c>
      <c r="M222" s="129">
        <f t="shared" si="40"/>
        <v>0.3</v>
      </c>
      <c r="N222" s="129">
        <f t="shared" si="40"/>
        <v>0.3</v>
      </c>
      <c r="O222" s="129">
        <f t="shared" si="40"/>
        <v>0.3</v>
      </c>
      <c r="P222" s="129">
        <f t="shared" si="40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39"/>
        <v>0</v>
      </c>
      <c r="C223" s="117">
        <v>0.4</v>
      </c>
      <c r="D223" s="117">
        <f t="shared" si="40"/>
        <v>0.4</v>
      </c>
      <c r="E223" s="117">
        <f t="shared" si="40"/>
        <v>0.4</v>
      </c>
      <c r="F223" s="117">
        <f t="shared" si="40"/>
        <v>0.4</v>
      </c>
      <c r="G223" s="117">
        <f t="shared" si="40"/>
        <v>0.4</v>
      </c>
      <c r="H223" s="117">
        <f t="shared" si="40"/>
        <v>0.4</v>
      </c>
      <c r="I223" s="117">
        <f t="shared" si="40"/>
        <v>0.4</v>
      </c>
      <c r="J223" s="117">
        <f t="shared" si="40"/>
        <v>0.4</v>
      </c>
      <c r="K223" s="117">
        <f t="shared" si="40"/>
        <v>0.4</v>
      </c>
      <c r="L223" s="117">
        <f t="shared" si="40"/>
        <v>0.4</v>
      </c>
      <c r="M223" s="117">
        <f t="shared" si="40"/>
        <v>0.4</v>
      </c>
      <c r="N223" s="117">
        <f t="shared" si="40"/>
        <v>0.4</v>
      </c>
      <c r="O223" s="117">
        <f t="shared" si="40"/>
        <v>0.4</v>
      </c>
      <c r="P223" s="117">
        <f t="shared" si="40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39"/>
        <v>0</v>
      </c>
      <c r="C224" s="117">
        <v>1.5</v>
      </c>
      <c r="D224" s="117">
        <f t="shared" si="40"/>
        <v>1.5</v>
      </c>
      <c r="E224" s="117">
        <f t="shared" si="40"/>
        <v>1.5</v>
      </c>
      <c r="F224" s="117">
        <f t="shared" si="40"/>
        <v>1.5</v>
      </c>
      <c r="G224" s="117">
        <f t="shared" si="40"/>
        <v>1.5</v>
      </c>
      <c r="H224" s="117">
        <f t="shared" si="40"/>
        <v>1.5</v>
      </c>
      <c r="I224" s="117">
        <f t="shared" si="40"/>
        <v>1.5</v>
      </c>
      <c r="J224" s="117">
        <f t="shared" si="40"/>
        <v>1.5</v>
      </c>
      <c r="K224" s="117">
        <f t="shared" si="40"/>
        <v>1.5</v>
      </c>
      <c r="L224" s="117">
        <f t="shared" si="40"/>
        <v>1.5</v>
      </c>
      <c r="M224" s="117">
        <f t="shared" si="40"/>
        <v>1.5</v>
      </c>
      <c r="N224" s="117">
        <f t="shared" si="40"/>
        <v>1.5</v>
      </c>
      <c r="O224" s="117">
        <f t="shared" si="40"/>
        <v>1.5</v>
      </c>
      <c r="P224" s="117">
        <f t="shared" si="40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39"/>
        <v>0</v>
      </c>
      <c r="C225" s="117">
        <v>0.3</v>
      </c>
      <c r="D225" s="117">
        <f t="shared" si="40"/>
        <v>0.3</v>
      </c>
      <c r="E225" s="117">
        <f t="shared" si="40"/>
        <v>0.3</v>
      </c>
      <c r="F225" s="117">
        <f t="shared" si="40"/>
        <v>0.3</v>
      </c>
      <c r="G225" s="117">
        <f t="shared" si="40"/>
        <v>0.3</v>
      </c>
      <c r="H225" s="117">
        <f t="shared" si="40"/>
        <v>0.3</v>
      </c>
      <c r="I225" s="117">
        <f t="shared" si="40"/>
        <v>0.3</v>
      </c>
      <c r="J225" s="117">
        <f t="shared" si="40"/>
        <v>0.3</v>
      </c>
      <c r="K225" s="117">
        <f t="shared" si="40"/>
        <v>0.3</v>
      </c>
      <c r="L225" s="117">
        <f t="shared" si="40"/>
        <v>0.3</v>
      </c>
      <c r="M225" s="117">
        <f t="shared" si="40"/>
        <v>0.3</v>
      </c>
      <c r="N225" s="117">
        <f t="shared" si="40"/>
        <v>0.3</v>
      </c>
      <c r="O225" s="117">
        <f t="shared" si="40"/>
        <v>0.3</v>
      </c>
      <c r="P225" s="117">
        <f t="shared" si="40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39"/>
        <v>0</v>
      </c>
      <c r="C226" s="117">
        <v>0.4</v>
      </c>
      <c r="D226" s="117">
        <f t="shared" si="40"/>
        <v>0.4</v>
      </c>
      <c r="E226" s="117">
        <f t="shared" si="40"/>
        <v>0.4</v>
      </c>
      <c r="F226" s="117">
        <f t="shared" si="40"/>
        <v>0.4</v>
      </c>
      <c r="G226" s="117">
        <f t="shared" si="40"/>
        <v>0.4</v>
      </c>
      <c r="H226" s="117">
        <f t="shared" si="40"/>
        <v>0.4</v>
      </c>
      <c r="I226" s="117">
        <f t="shared" si="40"/>
        <v>0.4</v>
      </c>
      <c r="J226" s="117">
        <f t="shared" si="40"/>
        <v>0.4</v>
      </c>
      <c r="K226" s="117">
        <f t="shared" si="40"/>
        <v>0.4</v>
      </c>
      <c r="L226" s="117">
        <f t="shared" si="40"/>
        <v>0.4</v>
      </c>
      <c r="M226" s="117">
        <f t="shared" si="40"/>
        <v>0.4</v>
      </c>
      <c r="N226" s="117">
        <f t="shared" si="40"/>
        <v>0.4</v>
      </c>
      <c r="O226" s="117">
        <f t="shared" si="40"/>
        <v>0.4</v>
      </c>
      <c r="P226" s="117">
        <f t="shared" si="40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39"/>
        <v>0</v>
      </c>
      <c r="C227" s="121">
        <v>0.64</v>
      </c>
      <c r="D227" s="121">
        <f t="shared" si="40"/>
        <v>0.64</v>
      </c>
      <c r="E227" s="121">
        <f t="shared" si="40"/>
        <v>0.64</v>
      </c>
      <c r="F227" s="121">
        <f t="shared" si="40"/>
        <v>0.64</v>
      </c>
      <c r="G227" s="121">
        <f t="shared" si="40"/>
        <v>0.64</v>
      </c>
      <c r="H227" s="121">
        <f t="shared" si="40"/>
        <v>0.64</v>
      </c>
      <c r="I227" s="121">
        <f t="shared" si="40"/>
        <v>0.64</v>
      </c>
      <c r="J227" s="121">
        <f t="shared" si="40"/>
        <v>0.64</v>
      </c>
      <c r="K227" s="121">
        <f t="shared" si="40"/>
        <v>0.64</v>
      </c>
      <c r="L227" s="121">
        <f t="shared" si="40"/>
        <v>0.64</v>
      </c>
      <c r="M227" s="121">
        <f t="shared" si="40"/>
        <v>0.64</v>
      </c>
      <c r="N227" s="121">
        <f t="shared" si="40"/>
        <v>0.64</v>
      </c>
      <c r="O227" s="121">
        <f t="shared" si="40"/>
        <v>0.64</v>
      </c>
      <c r="P227" s="121">
        <f t="shared" si="40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41">SUM(B222:B227)</f>
        <v>0</v>
      </c>
      <c r="C228" s="125">
        <f t="shared" si="41"/>
        <v>3.54</v>
      </c>
      <c r="D228" s="125">
        <f t="shared" si="41"/>
        <v>3.54</v>
      </c>
      <c r="E228" s="125">
        <f t="shared" si="41"/>
        <v>3.54</v>
      </c>
      <c r="F228" s="125">
        <f t="shared" si="41"/>
        <v>3.54</v>
      </c>
      <c r="G228" s="125">
        <f t="shared" si="41"/>
        <v>3.54</v>
      </c>
      <c r="H228" s="125">
        <f t="shared" si="41"/>
        <v>3.54</v>
      </c>
      <c r="I228" s="125">
        <f t="shared" si="41"/>
        <v>3.54</v>
      </c>
      <c r="J228" s="125">
        <f t="shared" si="41"/>
        <v>3.54</v>
      </c>
      <c r="K228" s="125">
        <f t="shared" si="41"/>
        <v>3.54</v>
      </c>
      <c r="L228" s="125">
        <f t="shared" si="41"/>
        <v>3.54</v>
      </c>
      <c r="M228" s="125">
        <f t="shared" si="41"/>
        <v>3.54</v>
      </c>
      <c r="N228" s="125">
        <f t="shared" si="41"/>
        <v>3.54</v>
      </c>
      <c r="O228" s="125">
        <f t="shared" si="41"/>
        <v>3.54</v>
      </c>
      <c r="P228" s="125">
        <f t="shared" si="41"/>
        <v>3.54</v>
      </c>
      <c r="Q228" s="125">
        <f t="shared" si="41"/>
        <v>0</v>
      </c>
      <c r="R228" s="125">
        <f t="shared" si="41"/>
        <v>0</v>
      </c>
      <c r="S228" s="125">
        <f t="shared" si="41"/>
        <v>0</v>
      </c>
      <c r="T228" s="125">
        <f t="shared" si="41"/>
        <v>0</v>
      </c>
      <c r="U228" s="125">
        <f t="shared" si="41"/>
        <v>0</v>
      </c>
      <c r="V228" s="125">
        <f t="shared" si="41"/>
        <v>0</v>
      </c>
      <c r="W228" s="125">
        <f t="shared" si="41"/>
        <v>0</v>
      </c>
      <c r="X228" s="125">
        <f t="shared" si="41"/>
        <v>0</v>
      </c>
      <c r="Y228" s="125">
        <f t="shared" si="41"/>
        <v>0</v>
      </c>
      <c r="Z228" s="125">
        <f t="shared" si="41"/>
        <v>0</v>
      </c>
      <c r="AA228" s="125">
        <f t="shared" si="41"/>
        <v>0</v>
      </c>
      <c r="AB228" s="125">
        <f t="shared" si="41"/>
        <v>0</v>
      </c>
      <c r="AC228" s="125">
        <f t="shared" si="41"/>
        <v>0</v>
      </c>
      <c r="AD228" s="125">
        <f t="shared" si="41"/>
        <v>0</v>
      </c>
      <c r="AE228" s="125">
        <f t="shared" si="41"/>
        <v>0</v>
      </c>
      <c r="AF228" s="125">
        <f t="shared" si="41"/>
        <v>0</v>
      </c>
      <c r="AG228" s="134">
        <f t="shared" si="41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1653.3400000000001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29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str">
        <f ca="1">"Pie Chart of Daily Peak Demand(Inclusive of Export) of Nepal ("&amp;A4&amp;" "&amp;B4&amp;")"</f>
        <v>Pie Chart of Daily Peak Demand(Inclusive of Export) of Nepal (Nepali Date: 2079/08/29)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str">
        <f ca="1">"Daily Load Curve(Excluding of Export) of Nepal ("&amp;A4&amp;" "&amp;B4&amp;")"</f>
        <v>Daily Load Curve(Excluding of Export) of Nepal (Nepali Date: 2079/08/29)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42">B85</f>
        <v>1005.54</v>
      </c>
      <c r="U242" s="159">
        <f t="shared" si="42"/>
        <v>967.63999999999987</v>
      </c>
      <c r="V242" s="159">
        <f t="shared" si="42"/>
        <v>1000.04</v>
      </c>
      <c r="W242" s="159">
        <f t="shared" si="42"/>
        <v>982.54</v>
      </c>
      <c r="X242" s="159">
        <f t="shared" si="42"/>
        <v>973.43999999999994</v>
      </c>
      <c r="Y242" s="159">
        <f t="shared" si="42"/>
        <v>1030.3399999999999</v>
      </c>
      <c r="Z242" s="159">
        <f t="shared" si="42"/>
        <v>894.13999999999987</v>
      </c>
      <c r="AA242" s="159">
        <f t="shared" si="42"/>
        <v>1206.8399999999999</v>
      </c>
      <c r="AB242" s="159">
        <f t="shared" si="42"/>
        <v>1284.3400000000001</v>
      </c>
      <c r="AC242" s="159">
        <f t="shared" si="42"/>
        <v>1493.14</v>
      </c>
      <c r="AD242" s="159">
        <f t="shared" si="42"/>
        <v>1616.24</v>
      </c>
      <c r="AE242" s="159">
        <f t="shared" si="42"/>
        <v>1653.3400000000001</v>
      </c>
      <c r="AF242" s="159">
        <f t="shared" si="42"/>
        <v>1556.2400000000002</v>
      </c>
      <c r="AG242" s="159">
        <f t="shared" si="42"/>
        <v>1478.04</v>
      </c>
      <c r="AH242" s="159">
        <f t="shared" si="42"/>
        <v>1296.8400000000001</v>
      </c>
      <c r="AI242" s="159">
        <f t="shared" si="42"/>
        <v>1187.3400000000001</v>
      </c>
      <c r="AJ242" s="159">
        <f t="shared" si="42"/>
        <v>1170.5400000000002</v>
      </c>
      <c r="AK242" s="159">
        <f t="shared" si="42"/>
        <v>1242.0400000000002</v>
      </c>
      <c r="AL242" s="159">
        <f t="shared" si="42"/>
        <v>1252.7399999999998</v>
      </c>
      <c r="AM242" s="159">
        <f t="shared" si="42"/>
        <v>1327.1399999999999</v>
      </c>
      <c r="AN242" s="159">
        <f t="shared" si="42"/>
        <v>1396.6399999999999</v>
      </c>
      <c r="AO242" s="159">
        <f t="shared" si="42"/>
        <v>1499.64</v>
      </c>
      <c r="AP242" s="159">
        <f t="shared" si="42"/>
        <v>1673.0400000000004</v>
      </c>
      <c r="AQ242" s="159">
        <f t="shared" si="42"/>
        <v>1540.7399999999998</v>
      </c>
      <c r="AR242" s="159">
        <f t="shared" si="42"/>
        <v>1443.14</v>
      </c>
      <c r="AS242" s="159">
        <f t="shared" si="42"/>
        <v>1365.14</v>
      </c>
      <c r="AT242" s="159">
        <f t="shared" si="42"/>
        <v>1467.2400000000002</v>
      </c>
      <c r="AU242" s="159">
        <f t="shared" si="42"/>
        <v>1338.2400000000002</v>
      </c>
      <c r="AV242" s="159">
        <f t="shared" si="42"/>
        <v>1155.0400000000002</v>
      </c>
      <c r="AW242" s="159">
        <f t="shared" si="42"/>
        <v>1060.7400000000002</v>
      </c>
      <c r="AX242" s="159">
        <f t="shared" si="42"/>
        <v>970.84000000000015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43">C227</f>
        <v>0.64</v>
      </c>
      <c r="C263" s="162">
        <f t="shared" si="43"/>
        <v>0.64</v>
      </c>
      <c r="D263" s="162">
        <f t="shared" si="43"/>
        <v>0.64</v>
      </c>
      <c r="E263" s="162">
        <f t="shared" si="43"/>
        <v>0.64</v>
      </c>
      <c r="F263" s="162">
        <f t="shared" si="43"/>
        <v>0.64</v>
      </c>
      <c r="G263" s="162">
        <f t="shared" si="43"/>
        <v>0.64</v>
      </c>
      <c r="H263" s="162">
        <f t="shared" si="43"/>
        <v>0.64</v>
      </c>
      <c r="I263" s="162">
        <f t="shared" si="43"/>
        <v>0.64</v>
      </c>
      <c r="J263" s="162">
        <f t="shared" si="43"/>
        <v>0.64</v>
      </c>
      <c r="K263" s="162">
        <f t="shared" si="43"/>
        <v>0.64</v>
      </c>
      <c r="L263" s="162">
        <f t="shared" si="43"/>
        <v>0.64</v>
      </c>
      <c r="M263" s="162">
        <f t="shared" si="43"/>
        <v>0.64</v>
      </c>
      <c r="N263" s="162">
        <f t="shared" si="43"/>
        <v>0.64</v>
      </c>
      <c r="O263" s="162">
        <f t="shared" si="43"/>
        <v>0.64</v>
      </c>
      <c r="P263" s="162">
        <f t="shared" si="43"/>
        <v>0</v>
      </c>
      <c r="Q263" s="162">
        <f t="shared" si="43"/>
        <v>0</v>
      </c>
      <c r="R263" s="162">
        <f t="shared" si="43"/>
        <v>0</v>
      </c>
      <c r="S263" s="162">
        <f t="shared" si="43"/>
        <v>0</v>
      </c>
      <c r="T263" s="162">
        <f t="shared" si="43"/>
        <v>0</v>
      </c>
      <c r="U263" s="162">
        <f t="shared" si="43"/>
        <v>0</v>
      </c>
      <c r="V263" s="162">
        <f t="shared" si="43"/>
        <v>0</v>
      </c>
      <c r="W263" s="162">
        <f t="shared" si="43"/>
        <v>0</v>
      </c>
      <c r="X263" s="162">
        <f t="shared" si="43"/>
        <v>0</v>
      </c>
      <c r="Y263" s="162">
        <f t="shared" si="43"/>
        <v>0</v>
      </c>
      <c r="Z263" s="162">
        <f t="shared" si="43"/>
        <v>0</v>
      </c>
      <c r="AA263" s="162">
        <f t="shared" si="43"/>
        <v>0</v>
      </c>
      <c r="AB263" s="162">
        <f t="shared" si="43"/>
        <v>0</v>
      </c>
      <c r="AC263" s="162">
        <f t="shared" si="43"/>
        <v>0</v>
      </c>
      <c r="AD263" s="162">
        <f t="shared" si="43"/>
        <v>0</v>
      </c>
      <c r="AE263" s="162">
        <f t="shared" si="43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44">IF(B231&lt;100,"",B231-520)</f>
        <v/>
      </c>
      <c r="C264" s="163" t="str">
        <f t="shared" si="44"/>
        <v/>
      </c>
      <c r="D264" s="163" t="str">
        <f t="shared" si="44"/>
        <v/>
      </c>
      <c r="E264" s="163" t="str">
        <f t="shared" si="44"/>
        <v/>
      </c>
      <c r="F264" s="163" t="str">
        <f t="shared" si="44"/>
        <v/>
      </c>
      <c r="G264" s="163" t="str">
        <f t="shared" si="44"/>
        <v/>
      </c>
      <c r="H264" s="163" t="str">
        <f t="shared" si="44"/>
        <v/>
      </c>
      <c r="I264" s="163" t="str">
        <f t="shared" si="44"/>
        <v/>
      </c>
      <c r="J264" s="163" t="str">
        <f t="shared" si="44"/>
        <v/>
      </c>
      <c r="K264" s="163" t="str">
        <f t="shared" si="44"/>
        <v/>
      </c>
      <c r="L264" s="163" t="str">
        <f t="shared" si="44"/>
        <v/>
      </c>
      <c r="M264" s="163" t="str">
        <f t="shared" si="44"/>
        <v/>
      </c>
      <c r="N264" s="163" t="str">
        <f t="shared" si="44"/>
        <v/>
      </c>
      <c r="O264" s="163" t="str">
        <f t="shared" si="44"/>
        <v/>
      </c>
      <c r="P264" s="163" t="str">
        <f t="shared" si="44"/>
        <v/>
      </c>
      <c r="Q264" s="163" t="str">
        <f t="shared" si="44"/>
        <v/>
      </c>
      <c r="R264" s="163" t="str">
        <f t="shared" si="44"/>
        <v/>
      </c>
      <c r="S264" s="163" t="str">
        <f t="shared" si="44"/>
        <v/>
      </c>
      <c r="T264" s="163" t="str">
        <f t="shared" si="44"/>
        <v/>
      </c>
      <c r="U264" s="163" t="str">
        <f t="shared" si="44"/>
        <v/>
      </c>
      <c r="V264" s="163" t="str">
        <f t="shared" si="44"/>
        <v/>
      </c>
      <c r="W264" s="163" t="str">
        <f t="shared" si="44"/>
        <v/>
      </c>
      <c r="X264" s="163" t="str">
        <f t="shared" si="44"/>
        <v/>
      </c>
      <c r="Y264" s="163" t="str">
        <f t="shared" si="44"/>
        <v/>
      </c>
      <c r="Z264" s="163" t="str">
        <f t="shared" si="44"/>
        <v/>
      </c>
      <c r="AA264" s="163" t="str">
        <f t="shared" si="44"/>
        <v/>
      </c>
      <c r="AB264" s="163" t="str">
        <f t="shared" si="44"/>
        <v/>
      </c>
      <c r="AC264" s="163" t="str">
        <f t="shared" si="44"/>
        <v/>
      </c>
      <c r="AD264" s="163" t="str">
        <f t="shared" si="44"/>
        <v/>
      </c>
      <c r="AE264" s="163" t="str">
        <f t="shared" si="44"/>
        <v/>
      </c>
      <c r="AF264" s="163" t="str">
        <f t="shared" si="44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45">IF(B232&lt;100,"",B232-620)</f>
        <v/>
      </c>
      <c r="C265" s="163" t="str">
        <f t="shared" si="45"/>
        <v/>
      </c>
      <c r="D265" s="163" t="str">
        <f t="shared" si="45"/>
        <v/>
      </c>
      <c r="E265" s="163" t="str">
        <f t="shared" si="45"/>
        <v/>
      </c>
      <c r="F265" s="163" t="str">
        <f t="shared" si="45"/>
        <v/>
      </c>
      <c r="G265" s="163" t="str">
        <f t="shared" si="45"/>
        <v/>
      </c>
      <c r="H265" s="163" t="str">
        <f t="shared" si="45"/>
        <v/>
      </c>
      <c r="I265" s="163" t="str">
        <f t="shared" si="45"/>
        <v/>
      </c>
      <c r="J265" s="163" t="str">
        <f t="shared" si="45"/>
        <v/>
      </c>
      <c r="K265" s="163" t="str">
        <f t="shared" si="45"/>
        <v/>
      </c>
      <c r="L265" s="163" t="str">
        <f t="shared" si="45"/>
        <v/>
      </c>
      <c r="M265" s="163" t="str">
        <f t="shared" si="45"/>
        <v/>
      </c>
      <c r="N265" s="163" t="str">
        <f t="shared" si="45"/>
        <v/>
      </c>
      <c r="O265" s="163" t="str">
        <f t="shared" si="45"/>
        <v/>
      </c>
      <c r="P265" s="163" t="str">
        <f t="shared" si="45"/>
        <v/>
      </c>
      <c r="Q265" s="163" t="str">
        <f t="shared" si="45"/>
        <v/>
      </c>
      <c r="R265" s="163" t="str">
        <f t="shared" si="45"/>
        <v/>
      </c>
      <c r="S265" s="163" t="str">
        <f t="shared" si="45"/>
        <v/>
      </c>
      <c r="T265" s="163" t="str">
        <f t="shared" si="45"/>
        <v/>
      </c>
      <c r="U265" s="163" t="str">
        <f t="shared" si="45"/>
        <v/>
      </c>
      <c r="V265" s="163" t="str">
        <f t="shared" si="45"/>
        <v/>
      </c>
      <c r="W265" s="163" t="str">
        <f t="shared" si="45"/>
        <v/>
      </c>
      <c r="X265" s="163" t="str">
        <f t="shared" si="45"/>
        <v/>
      </c>
      <c r="Y265" s="163" t="str">
        <f t="shared" si="45"/>
        <v/>
      </c>
      <c r="Z265" s="163" t="str">
        <f t="shared" si="45"/>
        <v/>
      </c>
      <c r="AA265" s="163" t="str">
        <f t="shared" si="45"/>
        <v/>
      </c>
      <c r="AB265" s="163" t="str">
        <f t="shared" si="45"/>
        <v/>
      </c>
      <c r="AC265" s="163" t="str">
        <f t="shared" si="45"/>
        <v/>
      </c>
      <c r="AD265" s="163" t="str">
        <f t="shared" si="45"/>
        <v/>
      </c>
      <c r="AE265" s="163" t="str">
        <f t="shared" si="45"/>
        <v/>
      </c>
      <c r="AF265" s="163" t="str">
        <f t="shared" si="45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46">IF(B233&lt;100,"",B233-330)</f>
        <v/>
      </c>
      <c r="C266" s="163" t="str">
        <f t="shared" si="46"/>
        <v/>
      </c>
      <c r="D266" s="163" t="str">
        <f t="shared" si="46"/>
        <v/>
      </c>
      <c r="E266" s="163" t="str">
        <f t="shared" si="46"/>
        <v/>
      </c>
      <c r="F266" s="163" t="str">
        <f t="shared" si="46"/>
        <v/>
      </c>
      <c r="G266" s="163" t="str">
        <f t="shared" si="46"/>
        <v/>
      </c>
      <c r="H266" s="163" t="str">
        <f t="shared" si="46"/>
        <v/>
      </c>
      <c r="I266" s="163" t="str">
        <f t="shared" si="46"/>
        <v/>
      </c>
      <c r="J266" s="163" t="str">
        <f t="shared" si="46"/>
        <v/>
      </c>
      <c r="K266" s="163" t="str">
        <f t="shared" si="46"/>
        <v/>
      </c>
      <c r="L266" s="163" t="str">
        <f t="shared" si="46"/>
        <v/>
      </c>
      <c r="M266" s="163" t="str">
        <f t="shared" si="46"/>
        <v/>
      </c>
      <c r="N266" s="163" t="str">
        <f t="shared" si="46"/>
        <v/>
      </c>
      <c r="O266" s="163" t="str">
        <f t="shared" si="46"/>
        <v/>
      </c>
      <c r="P266" s="163" t="str">
        <f t="shared" si="46"/>
        <v/>
      </c>
      <c r="Q266" s="163" t="str">
        <f t="shared" si="46"/>
        <v/>
      </c>
      <c r="R266" s="163" t="str">
        <f t="shared" si="46"/>
        <v/>
      </c>
      <c r="S266" s="163" t="str">
        <f t="shared" si="46"/>
        <v/>
      </c>
      <c r="T266" s="163" t="str">
        <f t="shared" si="46"/>
        <v/>
      </c>
      <c r="U266" s="163" t="str">
        <f t="shared" si="46"/>
        <v/>
      </c>
      <c r="V266" s="163" t="str">
        <f t="shared" si="46"/>
        <v/>
      </c>
      <c r="W266" s="163" t="str">
        <f t="shared" si="46"/>
        <v/>
      </c>
      <c r="X266" s="163" t="str">
        <f t="shared" si="46"/>
        <v/>
      </c>
      <c r="Y266" s="163" t="str">
        <f t="shared" si="46"/>
        <v/>
      </c>
      <c r="Z266" s="163" t="str">
        <f t="shared" si="46"/>
        <v/>
      </c>
      <c r="AA266" s="163" t="str">
        <f t="shared" si="46"/>
        <v/>
      </c>
      <c r="AB266" s="163" t="str">
        <f t="shared" si="46"/>
        <v/>
      </c>
      <c r="AC266" s="163" t="str">
        <f t="shared" si="46"/>
        <v/>
      </c>
      <c r="AD266" s="163" t="str">
        <f t="shared" si="46"/>
        <v/>
      </c>
      <c r="AE266" s="163" t="str">
        <f t="shared" si="46"/>
        <v/>
      </c>
      <c r="AF266" s="163" t="str">
        <f t="shared" si="46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47">IF(B234&lt;100,"",B234-1500)</f>
        <v/>
      </c>
      <c r="C267" s="163" t="str">
        <f t="shared" si="47"/>
        <v/>
      </c>
      <c r="D267" s="163" t="str">
        <f t="shared" si="47"/>
        <v/>
      </c>
      <c r="E267" s="163" t="str">
        <f t="shared" si="47"/>
        <v/>
      </c>
      <c r="F267" s="163" t="str">
        <f t="shared" si="47"/>
        <v/>
      </c>
      <c r="G267" s="163" t="str">
        <f t="shared" si="47"/>
        <v/>
      </c>
      <c r="H267" s="163" t="str">
        <f t="shared" si="47"/>
        <v/>
      </c>
      <c r="I267" s="163" t="str">
        <f t="shared" si="47"/>
        <v/>
      </c>
      <c r="J267" s="163" t="str">
        <f t="shared" si="47"/>
        <v/>
      </c>
      <c r="K267" s="163" t="str">
        <f t="shared" si="47"/>
        <v/>
      </c>
      <c r="L267" s="163" t="str">
        <f t="shared" si="47"/>
        <v/>
      </c>
      <c r="M267" s="163" t="str">
        <f t="shared" si="47"/>
        <v/>
      </c>
      <c r="N267" s="163" t="str">
        <f t="shared" si="47"/>
        <v/>
      </c>
      <c r="O267" s="163" t="str">
        <f t="shared" si="47"/>
        <v/>
      </c>
      <c r="P267" s="163" t="str">
        <f t="shared" si="47"/>
        <v/>
      </c>
      <c r="Q267" s="163" t="str">
        <f t="shared" si="47"/>
        <v/>
      </c>
      <c r="R267" s="163" t="str">
        <f t="shared" si="47"/>
        <v/>
      </c>
      <c r="S267" s="163" t="str">
        <f t="shared" si="47"/>
        <v/>
      </c>
      <c r="T267" s="163" t="str">
        <f t="shared" si="47"/>
        <v/>
      </c>
      <c r="U267" s="163" t="str">
        <f t="shared" si="47"/>
        <v/>
      </c>
      <c r="V267" s="163" t="str">
        <f t="shared" si="47"/>
        <v/>
      </c>
      <c r="W267" s="163" t="str">
        <f t="shared" si="47"/>
        <v/>
      </c>
      <c r="X267" s="163" t="str">
        <f t="shared" si="47"/>
        <v/>
      </c>
      <c r="Y267" s="163" t="str">
        <f t="shared" si="47"/>
        <v/>
      </c>
      <c r="Z267" s="163" t="str">
        <f t="shared" si="47"/>
        <v/>
      </c>
      <c r="AA267" s="163" t="str">
        <f t="shared" si="47"/>
        <v/>
      </c>
      <c r="AB267" s="163" t="str">
        <f t="shared" si="47"/>
        <v/>
      </c>
      <c r="AC267" s="163" t="str">
        <f t="shared" si="47"/>
        <v/>
      </c>
      <c r="AD267" s="163" t="str">
        <f t="shared" si="47"/>
        <v/>
      </c>
      <c r="AE267" s="163" t="str">
        <f t="shared" si="47"/>
        <v/>
      </c>
      <c r="AF267" s="163" t="str">
        <f t="shared" si="4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7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C105:AF105 C107:AF112 T11:AF11 T22:AF26 F17:AF18 F15:AF15">
    <cfRule type="expression" dxfId="1864" priority="365">
      <formula>B$9&gt;=20/24</formula>
    </cfRule>
    <cfRule type="expression" dxfId="1863" priority="366">
      <formula>AND(B$9&gt;=14/24,B$9&lt;20/24)</formula>
    </cfRule>
    <cfRule type="expression" dxfId="1862" priority="367">
      <formula>AND(B$9&gt;=8/24,B$9&lt;14/24)</formula>
    </cfRule>
    <cfRule type="expression" dxfId="1861" priority="368">
      <formula>B$9&lt;8/24</formula>
    </cfRule>
  </conditionalFormatting>
  <conditionalFormatting sqref="AL4:AL6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1860" priority="360">
      <formula>S$9&gt;=20/24</formula>
    </cfRule>
    <cfRule type="expression" dxfId="1859" priority="361">
      <formula>AND(S$9&gt;=14/24,S$9&lt;20/24)</formula>
    </cfRule>
    <cfRule type="expression" dxfId="1858" priority="362">
      <formula>AND(S$9&gt;=8/24,S$9&lt;14/24)</formula>
    </cfRule>
    <cfRule type="expression" dxfId="1857" priority="363">
      <formula>S$9&lt;8/24</formula>
    </cfRule>
  </conditionalFormatting>
  <conditionalFormatting sqref="AG61 F12:S18 T41:AF41 T22:AF26 T11:AF18 G20:AF20 S43:AF43">
    <cfRule type="expression" dxfId="1856" priority="359">
      <formula>F11&gt;$AG11</formula>
    </cfRule>
  </conditionalFormatting>
  <conditionalFormatting sqref="A95:A105 A55:A82 A91:A93 A198:A228 A42:A53 A114:A185 A38:A39 A87:A89 A84:A85 A107:A109 A35:A36 A17:A18 A11:A15 A20:A33">
    <cfRule type="expression" dxfId="1855" priority="358">
      <formula>$AH11=0</formula>
    </cfRule>
  </conditionalFormatting>
  <conditionalFormatting sqref="A110">
    <cfRule type="expression" dxfId="1854" priority="357">
      <formula>$AH110=0</formula>
    </cfRule>
  </conditionalFormatting>
  <conditionalFormatting sqref="AL39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1853" priority="355">
      <formula>$AH41=0</formula>
    </cfRule>
  </conditionalFormatting>
  <conditionalFormatting sqref="A94">
    <cfRule type="expression" dxfId="1852" priority="354">
      <formula>$AH94=0</formula>
    </cfRule>
  </conditionalFormatting>
  <conditionalFormatting sqref="A16">
    <cfRule type="expression" dxfId="1851" priority="353">
      <formula>$AH16=0</formula>
    </cfRule>
  </conditionalFormatting>
  <conditionalFormatting sqref="A192:A197">
    <cfRule type="expression" dxfId="1850" priority="352">
      <formula>$AH192=0</formula>
    </cfRule>
  </conditionalFormatting>
  <conditionalFormatting sqref="A186:A191">
    <cfRule type="expression" dxfId="1849" priority="351">
      <formula>$AH186=0</formula>
    </cfRule>
  </conditionalFormatting>
  <conditionalFormatting sqref="A54">
    <cfRule type="expression" dxfId="1848" priority="350">
      <formula>$AH54=0</formula>
    </cfRule>
  </conditionalFormatting>
  <conditionalFormatting sqref="A90">
    <cfRule type="expression" dxfId="1847" priority="349">
      <formula>$AH90=0</formula>
    </cfRule>
  </conditionalFormatting>
  <conditionalFormatting sqref="C95:AF95">
    <cfRule type="expression" dxfId="1846" priority="345">
      <formula>C$9&gt;=20/24</formula>
    </cfRule>
    <cfRule type="expression" dxfId="1845" priority="346">
      <formula>AND(C$9&gt;=14/24,C$9&lt;20/24)</formula>
    </cfRule>
    <cfRule type="expression" dxfId="1844" priority="347">
      <formula>AND(C$9&gt;=8/24,C$9&lt;14/24)</formula>
    </cfRule>
    <cfRule type="expression" dxfId="1843" priority="348">
      <formula>C$9&lt;8/24</formula>
    </cfRule>
  </conditionalFormatting>
  <conditionalFormatting sqref="AL40">
    <cfRule type="iconSet" priority="34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842" priority="371">
      <formula>C$9&gt;=20/24</formula>
    </cfRule>
    <cfRule type="expression" dxfId="1841" priority="372">
      <formula>AND(C$9&gt;=14/24,C$9&lt;20/24)</formula>
    </cfRule>
    <cfRule type="expression" dxfId="1840" priority="373">
      <formula>AND(C$9&gt;=8/24,C$9&lt;14/24)</formula>
    </cfRule>
    <cfRule type="expression" dxfId="1839" priority="374">
      <formula>C$9&lt;8/24</formula>
    </cfRule>
  </conditionalFormatting>
  <conditionalFormatting sqref="A229">
    <cfRule type="expression" dxfId="1838" priority="375">
      <formula>$AH229=0</formula>
    </cfRule>
  </conditionalFormatting>
  <conditionalFormatting sqref="AG241">
    <cfRule type="expression" dxfId="1837" priority="376">
      <formula>B$9&gt;=20/24</formula>
    </cfRule>
    <cfRule type="expression" dxfId="1836" priority="377">
      <formula>AND(B$9&gt;=14/24,B$9&lt;20/24)</formula>
    </cfRule>
    <cfRule type="expression" dxfId="1835" priority="378">
      <formula>AND(B$9&gt;=8/24,B$9&lt;14/24)</formula>
    </cfRule>
    <cfRule type="expression" dxfId="1834" priority="379">
      <formula>B$9&lt;8/24</formula>
    </cfRule>
  </conditionalFormatting>
  <conditionalFormatting sqref="S8">
    <cfRule type="expression" dxfId="1833" priority="340">
      <formula>U$9&gt;=20/24</formula>
    </cfRule>
    <cfRule type="expression" dxfId="1832" priority="341">
      <formula>AND(U$9&gt;=14/24,U$9&lt;20/24)</formula>
    </cfRule>
    <cfRule type="expression" dxfId="1831" priority="342">
      <formula>AND(U$9&gt;=8/24,U$9&lt;14/24)</formula>
    </cfRule>
    <cfRule type="expression" dxfId="1830" priority="343">
      <formula>U$9&lt;8/24</formula>
    </cfRule>
  </conditionalFormatting>
  <conditionalFormatting sqref="AB8">
    <cfRule type="expression" dxfId="1829" priority="336">
      <formula>AD$9&gt;=20/24</formula>
    </cfRule>
    <cfRule type="expression" dxfId="1828" priority="337">
      <formula>AND(AD$9&gt;=14/24,AD$9&lt;20/24)</formula>
    </cfRule>
    <cfRule type="expression" dxfId="1827" priority="338">
      <formula>AND(AD$9&gt;=8/24,AD$9&lt;14/24)</formula>
    </cfRule>
    <cfRule type="expression" dxfId="1826" priority="339">
      <formula>AD$9&lt;8/24</formula>
    </cfRule>
  </conditionalFormatting>
  <conditionalFormatting sqref="AH241:AX241">
    <cfRule type="expression" dxfId="1825" priority="380">
      <formula>AG$9&gt;=20/24</formula>
    </cfRule>
    <cfRule type="expression" dxfId="1824" priority="381">
      <formula>AND(AG$9&gt;=14/24,AG$9&lt;20/24)</formula>
    </cfRule>
    <cfRule type="expression" dxfId="1823" priority="382">
      <formula>AND(AG$9&gt;=8/24,AG$9&lt;14/24)</formula>
    </cfRule>
    <cfRule type="expression" dxfId="1822" priority="383">
      <formula>AG$9&lt;8/24</formula>
    </cfRule>
  </conditionalFormatting>
  <conditionalFormatting sqref="T241">
    <cfRule type="expression" dxfId="1821" priority="384">
      <formula>AX$9&gt;=20/24</formula>
    </cfRule>
    <cfRule type="expression" dxfId="1820" priority="385">
      <formula>AND(AX$9&gt;=14/24,AX$9&lt;20/24)</formula>
    </cfRule>
    <cfRule type="expression" dxfId="1819" priority="386">
      <formula>AND(AX$9&gt;=8/24,AX$9&lt;14/24)</formula>
    </cfRule>
    <cfRule type="expression" dxfId="1818" priority="387">
      <formula>AX$9&lt;8/24</formula>
    </cfRule>
  </conditionalFormatting>
  <conditionalFormatting sqref="A111:A112">
    <cfRule type="expression" dxfId="1817" priority="335">
      <formula>$AH111=0</formula>
    </cfRule>
  </conditionalFormatting>
  <conditionalFormatting sqref="F50:M50 M51:M53 F51:L51 U50:W51 E67:AF67 AD50:AF51">
    <cfRule type="expression" dxfId="1816" priority="331">
      <formula>E$9&gt;=20/24</formula>
    </cfRule>
    <cfRule type="expression" dxfId="1815" priority="332">
      <formula>AND(E$9&gt;=14/24,E$9&lt;20/24)</formula>
    </cfRule>
    <cfRule type="expression" dxfId="1814" priority="333">
      <formula>AND(E$9&gt;=8/24,E$9&lt;14/24)</formula>
    </cfRule>
    <cfRule type="expression" dxfId="1813" priority="334">
      <formula>E$9&lt;8/24</formula>
    </cfRule>
  </conditionalFormatting>
  <conditionalFormatting sqref="F49:L49 AD49:AF49 U49:W49">
    <cfRule type="expression" dxfId="1812" priority="327">
      <formula>F$9&gt;=20/24</formula>
    </cfRule>
    <cfRule type="expression" dxfId="1811" priority="328">
      <formula>AND(F$9&gt;=14/24,F$9&lt;20/24)</formula>
    </cfRule>
    <cfRule type="expression" dxfId="1810" priority="329">
      <formula>AND(F$9&gt;=8/24,F$9&lt;14/24)</formula>
    </cfRule>
    <cfRule type="expression" dxfId="1809" priority="330">
      <formula>F$9&lt;8/24</formula>
    </cfRule>
  </conditionalFormatting>
  <conditionalFormatting sqref="F49:L49 F50:M50 M51:M53 F51:L51 U49:W51 AD49:AF51">
    <cfRule type="expression" dxfId="1808" priority="326">
      <formula>F49&gt;$AG49</formula>
    </cfRule>
  </conditionalFormatting>
  <conditionalFormatting sqref="C92:AF92 L43:R43 C79:AF82 E68:S69 D96:AF102 T28:AF31 T33:AF33 T12:AF14 T20:AF20 T35:AF38 S63:AF65 T68:AF77">
    <cfRule type="expression" dxfId="1807" priority="322">
      <formula>C$9&gt;=20/24</formula>
    </cfRule>
    <cfRule type="expression" dxfId="1806" priority="323">
      <formula>AND(C$9&gt;=14/24,C$9&lt;20/24)</formula>
    </cfRule>
    <cfRule type="expression" dxfId="1805" priority="324">
      <formula>AND(C$9&gt;=8/24,C$9&lt;14/24)</formula>
    </cfRule>
    <cfRule type="expression" dxfId="1804" priority="325">
      <formula>C$9&lt;8/24</formula>
    </cfRule>
  </conditionalFormatting>
  <conditionalFormatting sqref="T39:AF39">
    <cfRule type="expression" dxfId="1803" priority="318">
      <formula>T$9&gt;=20/24</formula>
    </cfRule>
    <cfRule type="expression" dxfId="1802" priority="319">
      <formula>AND(T$9&gt;=14/24,T$9&lt;20/24)</formula>
    </cfRule>
    <cfRule type="expression" dxfId="1801" priority="320">
      <formula>AND(T$9&gt;=8/24,T$9&lt;14/24)</formula>
    </cfRule>
    <cfRule type="expression" dxfId="1800" priority="321">
      <formula>T$9&lt;8/24</formula>
    </cfRule>
  </conditionalFormatting>
  <conditionalFormatting sqref="C61:AF61 L43:R43 F52:L52 T28:AF33 T35:AF39 S63:AF65">
    <cfRule type="expression" dxfId="1799" priority="317">
      <formula>C28&gt;$AG28</formula>
    </cfRule>
  </conditionalFormatting>
  <conditionalFormatting sqref="T41:AF41">
    <cfRule type="expression" dxfId="1798" priority="313">
      <formula>T$9&gt;=20/24</formula>
    </cfRule>
    <cfRule type="expression" dxfId="1797" priority="314">
      <formula>AND(T$9&gt;=14/24,T$9&lt;20/24)</formula>
    </cfRule>
    <cfRule type="expression" dxfId="1796" priority="315">
      <formula>AND(T$9&gt;=8/24,T$9&lt;14/24)</formula>
    </cfRule>
    <cfRule type="expression" dxfId="1795" priority="316">
      <formula>T$9&lt;8/24</formula>
    </cfRule>
  </conditionalFormatting>
  <conditionalFormatting sqref="T16:AF16">
    <cfRule type="expression" dxfId="1794" priority="309">
      <formula>T$9&gt;=20/24</formula>
    </cfRule>
    <cfRule type="expression" dxfId="1793" priority="310">
      <formula>AND(T$9&gt;=14/24,T$9&lt;20/24)</formula>
    </cfRule>
    <cfRule type="expression" dxfId="1792" priority="311">
      <formula>AND(T$9&gt;=8/24,T$9&lt;14/24)</formula>
    </cfRule>
    <cfRule type="expression" dxfId="1791" priority="312">
      <formula>T$9&lt;8/24</formula>
    </cfRule>
  </conditionalFormatting>
  <conditionalFormatting sqref="T40:AF40">
    <cfRule type="expression" dxfId="1790" priority="305">
      <formula>T$9&gt;=20/24</formula>
    </cfRule>
    <cfRule type="expression" dxfId="1789" priority="306">
      <formula>AND(T$9&gt;=14/24,T$9&lt;20/24)</formula>
    </cfRule>
    <cfRule type="expression" dxfId="1788" priority="307">
      <formula>AND(T$9&gt;=8/24,T$9&lt;14/24)</formula>
    </cfRule>
    <cfRule type="expression" dxfId="1787" priority="308">
      <formula>T$9&lt;8/24</formula>
    </cfRule>
  </conditionalFormatting>
  <conditionalFormatting sqref="T40:AF40">
    <cfRule type="expression" dxfId="1786" priority="304">
      <formula>T40&gt;$AG40</formula>
    </cfRule>
  </conditionalFormatting>
  <conditionalFormatting sqref="X52:AF53">
    <cfRule type="expression" dxfId="1785" priority="300">
      <formula>X$9&gt;=20/24</formula>
    </cfRule>
    <cfRule type="expression" dxfId="1784" priority="301">
      <formula>AND(X$9&gt;=14/24,X$9&lt;20/24)</formula>
    </cfRule>
    <cfRule type="expression" dxfId="1783" priority="302">
      <formula>AND(X$9&gt;=8/24,X$9&lt;14/24)</formula>
    </cfRule>
    <cfRule type="expression" dxfId="1782" priority="303">
      <formula>X$9&lt;8/24</formula>
    </cfRule>
  </conditionalFormatting>
  <conditionalFormatting sqref="X52:AF53">
    <cfRule type="expression" dxfId="1781" priority="299">
      <formula>X52&gt;$AG52</formula>
    </cfRule>
  </conditionalFormatting>
  <conditionalFormatting sqref="M49:N49 R54:R55 N50:N53 O49:R53 S49:T55 U52:W55 X54:AF55">
    <cfRule type="expression" dxfId="1780" priority="295">
      <formula>M$9&gt;=20/24</formula>
    </cfRule>
    <cfRule type="expression" dxfId="1779" priority="296">
      <formula>AND(M$9&gt;=14/24,M$9&lt;20/24)</formula>
    </cfRule>
    <cfRule type="expression" dxfId="1778" priority="297">
      <formula>AND(M$9&gt;=8/24,M$9&lt;14/24)</formula>
    </cfRule>
    <cfRule type="expression" dxfId="1777" priority="298">
      <formula>M$9&lt;8/24</formula>
    </cfRule>
  </conditionalFormatting>
  <conditionalFormatting sqref="M49:N49 R54:R55 N50:N53 O49:R53 S49:T55 U52:W55 X54:AF55">
    <cfRule type="expression" dxfId="1776" priority="294">
      <formula>M49&gt;$AG49</formula>
    </cfRule>
  </conditionalFormatting>
  <conditionalFormatting sqref="T32:AF32">
    <cfRule type="expression" dxfId="1775" priority="290">
      <formula>T$9&gt;=20/24</formula>
    </cfRule>
    <cfRule type="expression" dxfId="1774" priority="291">
      <formula>AND(T$9&gt;=14/24,T$9&lt;20/24)</formula>
    </cfRule>
    <cfRule type="expression" dxfId="1773" priority="292">
      <formula>AND(T$9&gt;=8/24,T$9&lt;14/24)</formula>
    </cfRule>
    <cfRule type="expression" dxfId="1772" priority="293">
      <formula>T$9&lt;8/24</formula>
    </cfRule>
  </conditionalFormatting>
  <conditionalFormatting sqref="T21:AF21 T27:AF27">
    <cfRule type="expression" dxfId="1771" priority="286">
      <formula>T$9&gt;=20/24</formula>
    </cfRule>
    <cfRule type="expression" dxfId="1770" priority="287">
      <formula>AND(T$9&gt;=14/24,T$9&lt;20/24)</formula>
    </cfRule>
    <cfRule type="expression" dxfId="1769" priority="288">
      <formula>AND(T$9&gt;=8/24,T$9&lt;14/24)</formula>
    </cfRule>
    <cfRule type="expression" dxfId="1768" priority="289">
      <formula>T$9&lt;8/24</formula>
    </cfRule>
  </conditionalFormatting>
  <conditionalFormatting sqref="T21:AF21 T27:AF27">
    <cfRule type="expression" dxfId="1767" priority="285">
      <formula>T21&gt;$AG21</formula>
    </cfRule>
  </conditionalFormatting>
  <conditionalFormatting sqref="X50:AC51">
    <cfRule type="expression" dxfId="1766" priority="276">
      <formula>X$9&gt;=20/24</formula>
    </cfRule>
    <cfRule type="expression" dxfId="1765" priority="277">
      <formula>AND(X$9&gt;=14/24,X$9&lt;20/24)</formula>
    </cfRule>
    <cfRule type="expression" dxfId="1764" priority="278">
      <formula>AND(X$9&gt;=8/24,X$9&lt;14/24)</formula>
    </cfRule>
    <cfRule type="expression" dxfId="1763" priority="279">
      <formula>X$9&lt;8/24</formula>
    </cfRule>
  </conditionalFormatting>
  <conditionalFormatting sqref="X49:AC49">
    <cfRule type="expression" dxfId="1762" priority="272">
      <formula>X$9&gt;=20/24</formula>
    </cfRule>
    <cfRule type="expression" dxfId="1761" priority="273">
      <formula>AND(X$9&gt;=14/24,X$9&lt;20/24)</formula>
    </cfRule>
    <cfRule type="expression" dxfId="1760" priority="274">
      <formula>AND(X$9&gt;=8/24,X$9&lt;14/24)</formula>
    </cfRule>
    <cfRule type="expression" dxfId="1759" priority="275">
      <formula>X$9&lt;8/24</formula>
    </cfRule>
  </conditionalFormatting>
  <conditionalFormatting sqref="X49:AC51">
    <cfRule type="expression" dxfId="1758" priority="271">
      <formula>X49&gt;$AG49</formula>
    </cfRule>
  </conditionalFormatting>
  <conditionalFormatting sqref="C84:AF84 C93:AF93 F11:S11">
    <cfRule type="expression" dxfId="1757" priority="267">
      <formula>C$9&gt;=20/24</formula>
    </cfRule>
    <cfRule type="expression" dxfId="1756" priority="268">
      <formula>AND(C$9&gt;=14/24,C$9&lt;20/24)</formula>
    </cfRule>
    <cfRule type="expression" dxfId="1755" priority="269">
      <formula>AND(C$9&gt;=8/24,C$9&lt;14/24)</formula>
    </cfRule>
    <cfRule type="expression" dxfId="1754" priority="270">
      <formula>C$9&lt;8/24</formula>
    </cfRule>
  </conditionalFormatting>
  <conditionalFormatting sqref="C43:K43">
    <cfRule type="expression" dxfId="1753" priority="263">
      <formula>C$9&gt;=20/24</formula>
    </cfRule>
    <cfRule type="expression" dxfId="1752" priority="264">
      <formula>AND(C$9&gt;=14/24,C$9&lt;20/24)</formula>
    </cfRule>
    <cfRule type="expression" dxfId="1751" priority="265">
      <formula>AND(C$9&gt;=8/24,C$9&lt;14/24)</formula>
    </cfRule>
    <cfRule type="expression" dxfId="1750" priority="266">
      <formula>C$9&lt;8/24</formula>
    </cfRule>
  </conditionalFormatting>
  <conditionalFormatting sqref="C43:K43 F11:S11">
    <cfRule type="expression" dxfId="1749" priority="262">
      <formula>C11&gt;$AG11</formula>
    </cfRule>
  </conditionalFormatting>
  <conditionalFormatting sqref="C67:D67 C50:E51 C42:AF42">
    <cfRule type="expression" dxfId="1748" priority="254">
      <formula>C$9&gt;=20/24</formula>
    </cfRule>
    <cfRule type="expression" dxfId="1747" priority="255">
      <formula>AND(C$9&gt;=14/24,C$9&lt;20/24)</formula>
    </cfRule>
    <cfRule type="expression" dxfId="1746" priority="256">
      <formula>AND(C$9&gt;=8/24,C$9&lt;14/24)</formula>
    </cfRule>
    <cfRule type="expression" dxfId="1745" priority="257">
      <formula>C$9&lt;8/24</formula>
    </cfRule>
  </conditionalFormatting>
  <conditionalFormatting sqref="C49:E49">
    <cfRule type="expression" dxfId="1744" priority="250">
      <formula>C$9&gt;=20/24</formula>
    </cfRule>
    <cfRule type="expression" dxfId="1743" priority="251">
      <formula>AND(C$9&gt;=14/24,C$9&lt;20/24)</formula>
    </cfRule>
    <cfRule type="expression" dxfId="1742" priority="252">
      <formula>AND(C$9&gt;=8/24,C$9&lt;14/24)</formula>
    </cfRule>
    <cfRule type="expression" dxfId="1741" priority="253">
      <formula>C$9&lt;8/24</formula>
    </cfRule>
  </conditionalFormatting>
  <conditionalFormatting sqref="C49:E51 C42:AF42">
    <cfRule type="expression" dxfId="1740" priority="249">
      <formula>C42&gt;$AG42</formula>
    </cfRule>
  </conditionalFormatting>
  <conditionalFormatting sqref="C85:AF85 C66:AG66 C83:AG83 C94:AF94 C96:C102 C68:D69 C63:R65 F12:S14 G20:S20 K70:S70 C71:S77">
    <cfRule type="expression" dxfId="1739" priority="245">
      <formula>C$9&gt;=20/24</formula>
    </cfRule>
    <cfRule type="expression" dxfId="1738" priority="246">
      <formula>AND(C$9&gt;=14/24,C$9&lt;20/24)</formula>
    </cfRule>
    <cfRule type="expression" dxfId="1737" priority="247">
      <formula>AND(C$9&gt;=8/24,C$9&lt;14/24)</formula>
    </cfRule>
    <cfRule type="expression" dxfId="1736" priority="248">
      <formula>C$9&lt;8/24</formula>
    </cfRule>
  </conditionalFormatting>
  <conditionalFormatting sqref="C44:AG44 C62:AG62 C66:AG66 F53:L53 C63:R65">
    <cfRule type="expression" dxfId="1735" priority="240">
      <formula>C44&gt;$AG44</formula>
    </cfRule>
  </conditionalFormatting>
  <conditionalFormatting sqref="F16:S16">
    <cfRule type="expression" dxfId="1734" priority="232">
      <formula>F$9&gt;=20/24</formula>
    </cfRule>
    <cfRule type="expression" dxfId="1733" priority="233">
      <formula>AND(F$9&gt;=14/24,F$9&lt;20/24)</formula>
    </cfRule>
    <cfRule type="expression" dxfId="1732" priority="234">
      <formula>AND(F$9&gt;=8/24,F$9&lt;14/24)</formula>
    </cfRule>
    <cfRule type="expression" dxfId="1731" priority="235">
      <formula>F$9&lt;8/24</formula>
    </cfRule>
  </conditionalFormatting>
  <conditionalFormatting sqref="F54:Q60 R56:W60">
    <cfRule type="expression" dxfId="1730" priority="223">
      <formula>F$9&gt;=20/24</formula>
    </cfRule>
    <cfRule type="expression" dxfId="1729" priority="224">
      <formula>AND(F$9&gt;=14/24,F$9&lt;20/24)</formula>
    </cfRule>
    <cfRule type="expression" dxfId="1728" priority="225">
      <formula>AND(F$9&gt;=8/24,F$9&lt;14/24)</formula>
    </cfRule>
    <cfRule type="expression" dxfId="1727" priority="226">
      <formula>F$9&lt;8/24</formula>
    </cfRule>
  </conditionalFormatting>
  <conditionalFormatting sqref="F54:Q60 R56:W60">
    <cfRule type="expression" dxfId="1726" priority="222">
      <formula>F54&gt;$AG54</formula>
    </cfRule>
  </conditionalFormatting>
  <conditionalFormatting sqref="G21:S21">
    <cfRule type="expression" dxfId="1725" priority="214">
      <formula>G$9&gt;=20/24</formula>
    </cfRule>
    <cfRule type="expression" dxfId="1724" priority="215">
      <formula>AND(G$9&gt;=14/24,G$9&lt;20/24)</formula>
    </cfRule>
    <cfRule type="expression" dxfId="1723" priority="216">
      <formula>AND(G$9&gt;=8/24,G$9&lt;14/24)</formula>
    </cfRule>
    <cfRule type="expression" dxfId="1722" priority="217">
      <formula>G$9&lt;8/24</formula>
    </cfRule>
  </conditionalFormatting>
  <conditionalFormatting sqref="G21:S21">
    <cfRule type="expression" dxfId="1721" priority="213">
      <formula>G21&gt;$AG21</formula>
    </cfRule>
  </conditionalFormatting>
  <conditionalFormatting sqref="A40">
    <cfRule type="expression" dxfId="1720" priority="212">
      <formula>$AH40=0</formula>
    </cfRule>
  </conditionalFormatting>
  <conditionalFormatting sqref="C78:AF78">
    <cfRule type="expression" dxfId="1719" priority="208">
      <formula>C$9&gt;=20/24</formula>
    </cfRule>
    <cfRule type="expression" dxfId="1718" priority="209">
      <formula>AND(C$9&gt;=14/24,C$9&lt;20/24)</formula>
    </cfRule>
    <cfRule type="expression" dxfId="1717" priority="210">
      <formula>AND(C$9&gt;=8/24,C$9&lt;14/24)</formula>
    </cfRule>
    <cfRule type="expression" dxfId="1716" priority="211">
      <formula>C$9&lt;8/24</formula>
    </cfRule>
  </conditionalFormatting>
  <conditionalFormatting sqref="C87:AF91">
    <cfRule type="expression" dxfId="1715" priority="204">
      <formula>C$9&gt;=20/24</formula>
    </cfRule>
    <cfRule type="expression" dxfId="1714" priority="205">
      <formula>AND(C$9&gt;=14/24,C$9&lt;20/24)</formula>
    </cfRule>
    <cfRule type="expression" dxfId="1713" priority="206">
      <formula>AND(C$9&gt;=8/24,C$9&lt;14/24)</formula>
    </cfRule>
    <cfRule type="expression" dxfId="1712" priority="207">
      <formula>C$9&lt;8/24</formula>
    </cfRule>
  </conditionalFormatting>
  <conditionalFormatting sqref="AL41 AL38 AL20:AL33 AL35:AL36 AL7:AL18">
    <cfRule type="iconSet" priority="388">
      <iconSet iconSet="3TrafficLights2" reverse="1">
        <cfvo type="percent" val="0"/>
        <cfvo type="num" val="1"/>
        <cfvo type="num" val="1"/>
      </iconSet>
    </cfRule>
  </conditionalFormatting>
  <conditionalFormatting sqref="C45:E45 F45:AF47">
    <cfRule type="expression" dxfId="1711" priority="200">
      <formula>C$9&gt;=20/24</formula>
    </cfRule>
    <cfRule type="expression" dxfId="1710" priority="201">
      <formula>AND(C$9&gt;=14/24,C$9&lt;20/24)</formula>
    </cfRule>
    <cfRule type="expression" dxfId="1709" priority="202">
      <formula>AND(C$9&gt;=8/24,C$9&lt;14/24)</formula>
    </cfRule>
    <cfRule type="expression" dxfId="1708" priority="203">
      <formula>C$9&lt;8/24</formula>
    </cfRule>
  </conditionalFormatting>
  <conditionalFormatting sqref="C45:E45 F45:AF47">
    <cfRule type="expression" dxfId="1707" priority="199">
      <formula>C45&gt;$AG45</formula>
    </cfRule>
  </conditionalFormatting>
  <conditionalFormatting sqref="C48:AG48">
    <cfRule type="expression" dxfId="1706" priority="195">
      <formula>C$9&gt;=20/24</formula>
    </cfRule>
    <cfRule type="expression" dxfId="1705" priority="196">
      <formula>AND(C$9&gt;=14/24,C$9&lt;20/24)</formula>
    </cfRule>
    <cfRule type="expression" dxfId="1704" priority="197">
      <formula>AND(C$9&gt;=8/24,C$9&lt;14/24)</formula>
    </cfRule>
    <cfRule type="expression" dxfId="1703" priority="198">
      <formula>C$9&lt;8/24</formula>
    </cfRule>
  </conditionalFormatting>
  <conditionalFormatting sqref="C48:AG48">
    <cfRule type="expression" dxfId="1702" priority="194">
      <formula>C48&gt;$AG48</formula>
    </cfRule>
  </conditionalFormatting>
  <conditionalFormatting sqref="C103:AF103">
    <cfRule type="expression" dxfId="1701" priority="190">
      <formula>C$9&gt;=20/24</formula>
    </cfRule>
    <cfRule type="expression" dxfId="1700" priority="191">
      <formula>AND(C$9&gt;=14/24,C$9&lt;20/24)</formula>
    </cfRule>
    <cfRule type="expression" dxfId="1699" priority="192">
      <formula>AND(C$9&gt;=8/24,C$9&lt;14/24)</formula>
    </cfRule>
    <cfRule type="expression" dxfId="1698" priority="193">
      <formula>C$9&lt;8/24</formula>
    </cfRule>
  </conditionalFormatting>
  <conditionalFormatting sqref="AL37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697" priority="180">
      <formula>$AH37=0</formula>
    </cfRule>
  </conditionalFormatting>
  <conditionalFormatting sqref="A86">
    <cfRule type="expression" dxfId="1696" priority="178">
      <formula>$AH86=0</formula>
    </cfRule>
  </conditionalFormatting>
  <conditionalFormatting sqref="A83">
    <cfRule type="expression" dxfId="1695" priority="179">
      <formula>$AH83=0</formula>
    </cfRule>
  </conditionalFormatting>
  <conditionalFormatting sqref="A113">
    <cfRule type="expression" dxfId="1694" priority="169">
      <formula>$AH113=0</formula>
    </cfRule>
  </conditionalFormatting>
  <conditionalFormatting sqref="C106:AF106">
    <cfRule type="expression" dxfId="1693" priority="165">
      <formula>C$9&gt;=20/24</formula>
    </cfRule>
    <cfRule type="expression" dxfId="1692" priority="166">
      <formula>AND(C$9&gt;=14/24,C$9&lt;20/24)</formula>
    </cfRule>
    <cfRule type="expression" dxfId="1691" priority="167">
      <formula>AND(C$9&gt;=8/24,C$9&lt;14/24)</formula>
    </cfRule>
    <cfRule type="expression" dxfId="1690" priority="168">
      <formula>C$9&lt;8/24</formula>
    </cfRule>
  </conditionalFormatting>
  <conditionalFormatting sqref="A106">
    <cfRule type="expression" dxfId="1689" priority="164">
      <formula>$AH106=0</formula>
    </cfRule>
  </conditionalFormatting>
  <conditionalFormatting sqref="X56:AF60">
    <cfRule type="expression" dxfId="1688" priority="156">
      <formula>X$9&gt;=20/24</formula>
    </cfRule>
    <cfRule type="expression" dxfId="1687" priority="157">
      <formula>AND(X$9&gt;=14/24,X$9&lt;20/24)</formula>
    </cfRule>
    <cfRule type="expression" dxfId="1686" priority="158">
      <formula>AND(X$9&gt;=8/24,X$9&lt;14/24)</formula>
    </cfRule>
    <cfRule type="expression" dxfId="1685" priority="159">
      <formula>X$9&lt;8/24</formula>
    </cfRule>
  </conditionalFormatting>
  <conditionalFormatting sqref="X56:AF60">
    <cfRule type="expression" dxfId="1684" priority="155">
      <formula>X56&gt;$AG56</formula>
    </cfRule>
  </conditionalFormatting>
  <conditionalFormatting sqref="F19:AF19">
    <cfRule type="expression" dxfId="1683" priority="153">
      <formula>F19&gt;$AG19</formula>
    </cfRule>
  </conditionalFormatting>
  <conditionalFormatting sqref="A19">
    <cfRule type="expression" dxfId="1682" priority="152">
      <formula>$AH19=0</formula>
    </cfRule>
  </conditionalFormatting>
  <conditionalFormatting sqref="T19:AF19">
    <cfRule type="expression" dxfId="1681" priority="148">
      <formula>T$9&gt;=20/24</formula>
    </cfRule>
    <cfRule type="expression" dxfId="1680" priority="149">
      <formula>AND(T$9&gt;=14/24,T$9&lt;20/24)</formula>
    </cfRule>
    <cfRule type="expression" dxfId="1679" priority="150">
      <formula>AND(T$9&gt;=8/24,T$9&lt;14/24)</formula>
    </cfRule>
    <cfRule type="expression" dxfId="1678" priority="151">
      <formula>T$9&lt;8/24</formula>
    </cfRule>
  </conditionalFormatting>
  <conditionalFormatting sqref="F19:S19">
    <cfRule type="expression" dxfId="1677" priority="144">
      <formula>F$9&gt;=20/24</formula>
    </cfRule>
    <cfRule type="expression" dxfId="1676" priority="145">
      <formula>AND(F$9&gt;=14/24,F$9&lt;20/24)</formula>
    </cfRule>
    <cfRule type="expression" dxfId="1675" priority="146">
      <formula>AND(F$9&gt;=8/24,F$9&lt;14/24)</formula>
    </cfRule>
    <cfRule type="expression" dxfId="1674" priority="147">
      <formula>F$9&lt;8/24</formula>
    </cfRule>
  </conditionalFormatting>
  <conditionalFormatting sqref="AL19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673" priority="142">
      <formula>$AH34=0</formula>
    </cfRule>
  </conditionalFormatting>
  <conditionalFormatting sqref="T34:AF34">
    <cfRule type="expression" dxfId="1672" priority="138">
      <formula>T$9&gt;=20/24</formula>
    </cfRule>
    <cfRule type="expression" dxfId="1671" priority="139">
      <formula>AND(T$9&gt;=14/24,T$9&lt;20/24)</formula>
    </cfRule>
    <cfRule type="expression" dxfId="1670" priority="140">
      <formula>AND(T$9&gt;=8/24,T$9&lt;14/24)</formula>
    </cfRule>
    <cfRule type="expression" dxfId="1669" priority="141">
      <formula>T$9&lt;8/24</formula>
    </cfRule>
  </conditionalFormatting>
  <conditionalFormatting sqref="T34:AF34">
    <cfRule type="expression" dxfId="1668" priority="137">
      <formula>T34&gt;$AG34</formula>
    </cfRule>
  </conditionalFormatting>
  <conditionalFormatting sqref="AL34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B107:B112 B105 B11:E11 B15:E15 B17:E18 B22:S26">
    <cfRule type="expression" dxfId="1667" priority="123">
      <formula>B$9&gt;=20/24</formula>
    </cfRule>
    <cfRule type="expression" dxfId="1666" priority="124">
      <formula>AND(B$9&gt;=14/24,B$9&lt;20/24)</formula>
    </cfRule>
    <cfRule type="expression" dxfId="1665" priority="125">
      <formula>AND(B$9&gt;=8/24,B$9&lt;14/24)</formula>
    </cfRule>
    <cfRule type="expression" dxfId="1664" priority="126">
      <formula>B$9&lt;8/24</formula>
    </cfRule>
  </conditionalFormatting>
  <conditionalFormatting sqref="B43">
    <cfRule type="expression" dxfId="1663" priority="119">
      <formula>B$9&gt;=20/24</formula>
    </cfRule>
    <cfRule type="expression" dxfId="1662" priority="120">
      <formula>AND(B$9&gt;=14/24,B$9&lt;20/24)</formula>
    </cfRule>
    <cfRule type="expression" dxfId="1661" priority="121">
      <formula>AND(B$9&gt;=8/24,B$9&lt;14/24)</formula>
    </cfRule>
    <cfRule type="expression" dxfId="1660" priority="122">
      <formula>B$9&lt;8/24</formula>
    </cfRule>
  </conditionalFormatting>
  <conditionalFormatting sqref="B43 B11:E18 B20:F20 B22:S26 B41:S41">
    <cfRule type="expression" dxfId="1659" priority="118">
      <formula>B11&gt;$AG11</formula>
    </cfRule>
  </conditionalFormatting>
  <conditionalFormatting sqref="B95">
    <cfRule type="expression" dxfId="1658" priority="114">
      <formula>B$9&gt;=20/24</formula>
    </cfRule>
    <cfRule type="expression" dxfId="1657" priority="115">
      <formula>AND(B$9&gt;=14/24,B$9&lt;20/24)</formula>
    </cfRule>
    <cfRule type="expression" dxfId="1656" priority="116">
      <formula>AND(B$9&gt;=8/24,B$9&lt;14/24)</formula>
    </cfRule>
    <cfRule type="expression" dxfId="1655" priority="117">
      <formula>B$9&lt;8/24</formula>
    </cfRule>
  </conditionalFormatting>
  <conditionalFormatting sqref="B67 B50:B51">
    <cfRule type="expression" dxfId="1654" priority="110">
      <formula>B$9&gt;=20/24</formula>
    </cfRule>
    <cfRule type="expression" dxfId="1653" priority="111">
      <formula>AND(B$9&gt;=14/24,B$9&lt;20/24)</formula>
    </cfRule>
    <cfRule type="expression" dxfId="1652" priority="112">
      <formula>AND(B$9&gt;=8/24,B$9&lt;14/24)</formula>
    </cfRule>
    <cfRule type="expression" dxfId="1651" priority="113">
      <formula>B$9&lt;8/24</formula>
    </cfRule>
  </conditionalFormatting>
  <conditionalFormatting sqref="B49">
    <cfRule type="expression" dxfId="1650" priority="106">
      <formula>B$9&gt;=20/24</formula>
    </cfRule>
    <cfRule type="expression" dxfId="1649" priority="107">
      <formula>AND(B$9&gt;=14/24,B$9&lt;20/24)</formula>
    </cfRule>
    <cfRule type="expression" dxfId="1648" priority="108">
      <formula>AND(B$9&gt;=8/24,B$9&lt;14/24)</formula>
    </cfRule>
    <cfRule type="expression" dxfId="1647" priority="109">
      <formula>B$9&lt;8/24</formula>
    </cfRule>
  </conditionalFormatting>
  <conditionalFormatting sqref="B49:B51">
    <cfRule type="expression" dxfId="1646" priority="105">
      <formula>B49&gt;$AG49</formula>
    </cfRule>
  </conditionalFormatting>
  <conditionalFormatting sqref="B92 B79:B82 B68:B77 B63:B65 B96:B102 B12:E14 B20:F20 B28:S31 B33:S33 B35:S38 C70:J70">
    <cfRule type="expression" dxfId="1645" priority="101">
      <formula>B$9&gt;=20/24</formula>
    </cfRule>
    <cfRule type="expression" dxfId="1644" priority="102">
      <formula>AND(B$9&gt;=14/24,B$9&lt;20/24)</formula>
    </cfRule>
    <cfRule type="expression" dxfId="1643" priority="103">
      <formula>AND(B$9&gt;=8/24,B$9&lt;14/24)</formula>
    </cfRule>
    <cfRule type="expression" dxfId="1642" priority="104">
      <formula>B$9&lt;8/24</formula>
    </cfRule>
  </conditionalFormatting>
  <conditionalFormatting sqref="B39:S39">
    <cfRule type="expression" dxfId="1641" priority="97">
      <formula>B$9&gt;=20/24</formula>
    </cfRule>
    <cfRule type="expression" dxfId="1640" priority="98">
      <formula>AND(B$9&gt;=14/24,B$9&lt;20/24)</formula>
    </cfRule>
    <cfRule type="expression" dxfId="1639" priority="99">
      <formula>AND(B$9&gt;=8/24,B$9&lt;14/24)</formula>
    </cfRule>
    <cfRule type="expression" dxfId="1638" priority="100">
      <formula>B$9&lt;8/24</formula>
    </cfRule>
  </conditionalFormatting>
  <conditionalFormatting sqref="B61 B63:B65 B28:S33 B35:S39">
    <cfRule type="expression" dxfId="1637" priority="96">
      <formula>B28&gt;$AG28</formula>
    </cfRule>
  </conditionalFormatting>
  <conditionalFormatting sqref="B41:S41">
    <cfRule type="expression" dxfId="1636" priority="92">
      <formula>B$9&gt;=20/24</formula>
    </cfRule>
    <cfRule type="expression" dxfId="1635" priority="93">
      <formula>AND(B$9&gt;=14/24,B$9&lt;20/24)</formula>
    </cfRule>
    <cfRule type="expression" dxfId="1634" priority="94">
      <formula>AND(B$9&gt;=8/24,B$9&lt;14/24)</formula>
    </cfRule>
    <cfRule type="expression" dxfId="1633" priority="95">
      <formula>B$9&lt;8/24</formula>
    </cfRule>
  </conditionalFormatting>
  <conditionalFormatting sqref="B16:E16">
    <cfRule type="expression" dxfId="1632" priority="88">
      <formula>B$9&gt;=20/24</formula>
    </cfRule>
    <cfRule type="expression" dxfId="1631" priority="89">
      <formula>AND(B$9&gt;=14/24,B$9&lt;20/24)</formula>
    </cfRule>
    <cfRule type="expression" dxfId="1630" priority="90">
      <formula>AND(B$9&gt;=8/24,B$9&lt;14/24)</formula>
    </cfRule>
    <cfRule type="expression" dxfId="1629" priority="91">
      <formula>B$9&lt;8/24</formula>
    </cfRule>
  </conditionalFormatting>
  <conditionalFormatting sqref="B40:S40">
    <cfRule type="expression" dxfId="1628" priority="84">
      <formula>B$9&gt;=20/24</formula>
    </cfRule>
    <cfRule type="expression" dxfId="1627" priority="85">
      <formula>AND(B$9&gt;=14/24,B$9&lt;20/24)</formula>
    </cfRule>
    <cfRule type="expression" dxfId="1626" priority="86">
      <formula>AND(B$9&gt;=8/24,B$9&lt;14/24)</formula>
    </cfRule>
    <cfRule type="expression" dxfId="1625" priority="87">
      <formula>B$9&lt;8/24</formula>
    </cfRule>
  </conditionalFormatting>
  <conditionalFormatting sqref="B40:S40">
    <cfRule type="expression" dxfId="1624" priority="83">
      <formula>B40&gt;$AG40</formula>
    </cfRule>
  </conditionalFormatting>
  <conditionalFormatting sqref="B52:E53">
    <cfRule type="expression" dxfId="1623" priority="79">
      <formula>B$9&gt;=20/24</formula>
    </cfRule>
    <cfRule type="expression" dxfId="1622" priority="80">
      <formula>AND(B$9&gt;=14/24,B$9&lt;20/24)</formula>
    </cfRule>
    <cfRule type="expression" dxfId="1621" priority="81">
      <formula>AND(B$9&gt;=8/24,B$9&lt;14/24)</formula>
    </cfRule>
    <cfRule type="expression" dxfId="1620" priority="82">
      <formula>B$9&lt;8/24</formula>
    </cfRule>
  </conditionalFormatting>
  <conditionalFormatting sqref="B52:E53">
    <cfRule type="expression" dxfId="1619" priority="78">
      <formula>B52&gt;$AG52</formula>
    </cfRule>
  </conditionalFormatting>
  <conditionalFormatting sqref="B54:E55">
    <cfRule type="expression" dxfId="1618" priority="74">
      <formula>B$9&gt;=20/24</formula>
    </cfRule>
    <cfRule type="expression" dxfId="1617" priority="75">
      <formula>AND(B$9&gt;=14/24,B$9&lt;20/24)</formula>
    </cfRule>
    <cfRule type="expression" dxfId="1616" priority="76">
      <formula>AND(B$9&gt;=8/24,B$9&lt;14/24)</formula>
    </cfRule>
    <cfRule type="expression" dxfId="1615" priority="77">
      <formula>B$9&lt;8/24</formula>
    </cfRule>
  </conditionalFormatting>
  <conditionalFormatting sqref="B54:E55">
    <cfRule type="expression" dxfId="1614" priority="73">
      <formula>B54&gt;$AG54</formula>
    </cfRule>
  </conditionalFormatting>
  <conditionalFormatting sqref="B32:S32">
    <cfRule type="expression" dxfId="1613" priority="69">
      <formula>B$9&gt;=20/24</formula>
    </cfRule>
    <cfRule type="expression" dxfId="1612" priority="70">
      <formula>AND(B$9&gt;=14/24,B$9&lt;20/24)</formula>
    </cfRule>
    <cfRule type="expression" dxfId="1611" priority="71">
      <formula>AND(B$9&gt;=8/24,B$9&lt;14/24)</formula>
    </cfRule>
    <cfRule type="expression" dxfId="1610" priority="72">
      <formula>B$9&lt;8/24</formula>
    </cfRule>
  </conditionalFormatting>
  <conditionalFormatting sqref="B21:F21 B27:S27">
    <cfRule type="expression" dxfId="1609" priority="65">
      <formula>B$9&gt;=20/24</formula>
    </cfRule>
    <cfRule type="expression" dxfId="1608" priority="66">
      <formula>AND(B$9&gt;=14/24,B$9&lt;20/24)</formula>
    </cfRule>
    <cfRule type="expression" dxfId="1607" priority="67">
      <formula>AND(B$9&gt;=8/24,B$9&lt;14/24)</formula>
    </cfRule>
    <cfRule type="expression" dxfId="1606" priority="68">
      <formula>B$9&lt;8/24</formula>
    </cfRule>
  </conditionalFormatting>
  <conditionalFormatting sqref="B21:F21 B27:S27">
    <cfRule type="expression" dxfId="1605" priority="64">
      <formula>B21&gt;$AG21</formula>
    </cfRule>
  </conditionalFormatting>
  <conditionalFormatting sqref="B84 B93">
    <cfRule type="expression" dxfId="1604" priority="60">
      <formula>B$9&gt;=20/24</formula>
    </cfRule>
    <cfRule type="expression" dxfId="1603" priority="61">
      <formula>AND(B$9&gt;=14/24,B$9&lt;20/24)</formula>
    </cfRule>
    <cfRule type="expression" dxfId="1602" priority="62">
      <formula>AND(B$9&gt;=8/24,B$9&lt;14/24)</formula>
    </cfRule>
    <cfRule type="expression" dxfId="1601" priority="63">
      <formula>B$9&lt;8/24</formula>
    </cfRule>
  </conditionalFormatting>
  <conditionalFormatting sqref="B42">
    <cfRule type="expression" dxfId="1600" priority="56">
      <formula>B$9&gt;=20/24</formula>
    </cfRule>
    <cfRule type="expression" dxfId="1599" priority="57">
      <formula>AND(B$9&gt;=14/24,B$9&lt;20/24)</formula>
    </cfRule>
    <cfRule type="expression" dxfId="1598" priority="58">
      <formula>AND(B$9&gt;=8/24,B$9&lt;14/24)</formula>
    </cfRule>
    <cfRule type="expression" dxfId="1597" priority="59">
      <formula>B$9&lt;8/24</formula>
    </cfRule>
  </conditionalFormatting>
  <conditionalFormatting sqref="B42">
    <cfRule type="expression" dxfId="1596" priority="55">
      <formula>B42&gt;$AG42</formula>
    </cfRule>
  </conditionalFormatting>
  <conditionalFormatting sqref="B66 B83 B85 B94">
    <cfRule type="expression" dxfId="1595" priority="51">
      <formula>B$9&gt;=20/24</formula>
    </cfRule>
    <cfRule type="expression" dxfId="1594" priority="52">
      <formula>AND(B$9&gt;=14/24,B$9&lt;20/24)</formula>
    </cfRule>
    <cfRule type="expression" dxfId="1593" priority="53">
      <formula>AND(B$9&gt;=8/24,B$9&lt;14/24)</formula>
    </cfRule>
    <cfRule type="expression" dxfId="1592" priority="54">
      <formula>B$9&lt;8/24</formula>
    </cfRule>
  </conditionalFormatting>
  <conditionalFormatting sqref="B44 B66 B62">
    <cfRule type="expression" dxfId="1591" priority="50">
      <formula>B44&gt;$AG44</formula>
    </cfRule>
  </conditionalFormatting>
  <conditionalFormatting sqref="B78">
    <cfRule type="expression" dxfId="1590" priority="46">
      <formula>B$9&gt;=20/24</formula>
    </cfRule>
    <cfRule type="expression" dxfId="1589" priority="47">
      <formula>AND(B$9&gt;=14/24,B$9&lt;20/24)</formula>
    </cfRule>
    <cfRule type="expression" dxfId="1588" priority="48">
      <formula>AND(B$9&gt;=8/24,B$9&lt;14/24)</formula>
    </cfRule>
    <cfRule type="expression" dxfId="1587" priority="49">
      <formula>B$9&lt;8/24</formula>
    </cfRule>
  </conditionalFormatting>
  <conditionalFormatting sqref="B87:B91">
    <cfRule type="expression" dxfId="1586" priority="42">
      <formula>B$9&gt;=20/24</formula>
    </cfRule>
    <cfRule type="expression" dxfId="1585" priority="43">
      <formula>AND(B$9&gt;=14/24,B$9&lt;20/24)</formula>
    </cfRule>
    <cfRule type="expression" dxfId="1584" priority="44">
      <formula>AND(B$9&gt;=8/24,B$9&lt;14/24)</formula>
    </cfRule>
    <cfRule type="expression" dxfId="1583" priority="45">
      <formula>B$9&lt;8/24</formula>
    </cfRule>
  </conditionalFormatting>
  <conditionalFormatting sqref="B45:B47 C46:E47">
    <cfRule type="expression" dxfId="1582" priority="38">
      <formula>B$9&gt;=20/24</formula>
    </cfRule>
    <cfRule type="expression" dxfId="1581" priority="39">
      <formula>AND(B$9&gt;=14/24,B$9&lt;20/24)</formula>
    </cfRule>
    <cfRule type="expression" dxfId="1580" priority="40">
      <formula>AND(B$9&gt;=8/24,B$9&lt;14/24)</formula>
    </cfRule>
    <cfRule type="expression" dxfId="1579" priority="41">
      <formula>B$9&lt;8/24</formula>
    </cfRule>
  </conditionalFormatting>
  <conditionalFormatting sqref="B45:B47 C46:E47">
    <cfRule type="expression" dxfId="1578" priority="37">
      <formula>B45&gt;$AG45</formula>
    </cfRule>
  </conditionalFormatting>
  <conditionalFormatting sqref="B48">
    <cfRule type="expression" dxfId="1577" priority="33">
      <formula>B$9&gt;=20/24</formula>
    </cfRule>
    <cfRule type="expression" dxfId="1576" priority="34">
      <formula>AND(B$9&gt;=14/24,B$9&lt;20/24)</formula>
    </cfRule>
    <cfRule type="expression" dxfId="1575" priority="35">
      <formula>AND(B$9&gt;=8/24,B$9&lt;14/24)</formula>
    </cfRule>
    <cfRule type="expression" dxfId="1574" priority="36">
      <formula>B$9&lt;8/24</formula>
    </cfRule>
  </conditionalFormatting>
  <conditionalFormatting sqref="B48">
    <cfRule type="expression" dxfId="1573" priority="32">
      <formula>B48&gt;$AG48</formula>
    </cfRule>
  </conditionalFormatting>
  <conditionalFormatting sqref="B103">
    <cfRule type="expression" dxfId="1572" priority="28">
      <formula>B$9&gt;=20/24</formula>
    </cfRule>
    <cfRule type="expression" dxfId="1571" priority="29">
      <formula>AND(B$9&gt;=14/24,B$9&lt;20/24)</formula>
    </cfRule>
    <cfRule type="expression" dxfId="1570" priority="30">
      <formula>AND(B$9&gt;=8/24,B$9&lt;14/24)</formula>
    </cfRule>
    <cfRule type="expression" dxfId="1569" priority="31">
      <formula>B$9&lt;8/24</formula>
    </cfRule>
  </conditionalFormatting>
  <conditionalFormatting sqref="B106">
    <cfRule type="expression" dxfId="1568" priority="16">
      <formula>B$9&gt;=20/24</formula>
    </cfRule>
    <cfRule type="expression" dxfId="1567" priority="17">
      <formula>AND(B$9&gt;=14/24,B$9&lt;20/24)</formula>
    </cfRule>
    <cfRule type="expression" dxfId="1566" priority="18">
      <formula>AND(B$9&gt;=8/24,B$9&lt;14/24)</formula>
    </cfRule>
    <cfRule type="expression" dxfId="1565" priority="19">
      <formula>B$9&lt;8/24</formula>
    </cfRule>
  </conditionalFormatting>
  <conditionalFormatting sqref="B56:E60">
    <cfRule type="expression" dxfId="1564" priority="12">
      <formula>B$9&gt;=20/24</formula>
    </cfRule>
    <cfRule type="expression" dxfId="1563" priority="13">
      <formula>AND(B$9&gt;=14/24,B$9&lt;20/24)</formula>
    </cfRule>
    <cfRule type="expression" dxfId="1562" priority="14">
      <formula>AND(B$9&gt;=8/24,B$9&lt;14/24)</formula>
    </cfRule>
    <cfRule type="expression" dxfId="1561" priority="15">
      <formula>B$9&lt;8/24</formula>
    </cfRule>
  </conditionalFormatting>
  <conditionalFormatting sqref="B56:E60">
    <cfRule type="expression" dxfId="1560" priority="11">
      <formula>B56&gt;$AG56</formula>
    </cfRule>
  </conditionalFormatting>
  <conditionalFormatting sqref="B19:E19">
    <cfRule type="expression" dxfId="1559" priority="10">
      <formula>B19&gt;$AG19</formula>
    </cfRule>
  </conditionalFormatting>
  <conditionalFormatting sqref="B19:E19">
    <cfRule type="expression" dxfId="1558" priority="6">
      <formula>B$9&gt;=20/24</formula>
    </cfRule>
    <cfRule type="expression" dxfId="1557" priority="7">
      <formula>AND(B$9&gt;=14/24,B$9&lt;20/24)</formula>
    </cfRule>
    <cfRule type="expression" dxfId="1556" priority="8">
      <formula>AND(B$9&gt;=8/24,B$9&lt;14/24)</formula>
    </cfRule>
    <cfRule type="expression" dxfId="1555" priority="9">
      <formula>B$9&lt;8/24</formula>
    </cfRule>
  </conditionalFormatting>
  <conditionalFormatting sqref="B34:S34">
    <cfRule type="expression" dxfId="1554" priority="2">
      <formula>B$9&gt;=20/24</formula>
    </cfRule>
    <cfRule type="expression" dxfId="1553" priority="3">
      <formula>AND(B$9&gt;=14/24,B$9&lt;20/24)</formula>
    </cfRule>
    <cfRule type="expression" dxfId="1552" priority="4">
      <formula>AND(B$9&gt;=8/24,B$9&lt;14/24)</formula>
    </cfRule>
    <cfRule type="expression" dxfId="1551" priority="5">
      <formula>B$9&lt;8/24</formula>
    </cfRule>
  </conditionalFormatting>
  <conditionalFormatting sqref="B34:S34">
    <cfRule type="expression" dxfId="1550" priority="1">
      <formula>B34&gt;$AG34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3355B780-C5FB-43E6-9F0D-9A36F44C156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2" id="{90FA6CCC-9542-46AF-AF30-87DBDE1543F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3" id="{DB0CCCEC-09BF-44C9-AE09-F0186D4B3CF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4" id="{22B45EFF-8278-4464-943E-419D4DAF2B0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174" id="{C3F3F46B-4D24-431E-8B71-FDA61CFCF97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5" id="{3C9BA2EA-75AA-4405-8719-2581C052485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6" id="{00A4DF38-15DD-4EFD-9668-DC295ECA08C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7" id="{A27A72EB-36EF-47E5-85DA-260B02605E0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24" id="{D870BEBA-D1D7-46AC-81D3-00DC8FE5CFB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5" id="{3865ACFD-800E-424E-A550-224198B564B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6" id="{21054E84-AD31-4E96-BCDB-C9E7B3F045C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7" id="{E8B150E4-C893-473F-A0F3-207455C052A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  <x14:conditionalFormatting xmlns:xm="http://schemas.microsoft.com/office/excel/2006/main">
          <x14:cfRule type="expression" priority="20" id="{C2C5B59E-1144-4397-A682-F71CA29D507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E6AA431A-D6C6-4596-9ED5-C54F6172CF9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248DED7C-8792-4E7E-9CCB-C5EB9C6C3EA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" id="{800B8AF6-E006-4AC1-9E90-F244604C5D7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274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O21" sqref="O2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e">
        <f ca="1">"2079/"&amp;"08/"&amp;INT(MID(CELL("filename",D6),FIND("]",CELL("filename",D6))+1,200))</f>
        <v>#VALUE!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157</v>
      </c>
      <c r="C5" s="30">
        <f t="shared" si="0"/>
        <v>171</v>
      </c>
      <c r="D5" s="30">
        <f t="shared" si="0"/>
        <v>178</v>
      </c>
      <c r="E5" s="30">
        <f t="shared" si="0"/>
        <v>173</v>
      </c>
      <c r="F5" s="30">
        <f t="shared" si="0"/>
        <v>171.8</v>
      </c>
      <c r="G5" s="30">
        <f t="shared" si="0"/>
        <v>178.3</v>
      </c>
      <c r="H5" s="30">
        <f t="shared" si="0"/>
        <v>91</v>
      </c>
      <c r="I5" s="30">
        <f t="shared" si="0"/>
        <v>54.9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B78</f>
        <v>165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1588MW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Load=204</v>
      </c>
      <c r="B7" s="35">
        <f t="shared" ref="B7:AF7" si="1">B85</f>
        <v>952.84000000000015</v>
      </c>
      <c r="C7" s="35">
        <f t="shared" si="1"/>
        <v>944.84000000000015</v>
      </c>
      <c r="D7" s="35">
        <f t="shared" si="1"/>
        <v>939.84000000000015</v>
      </c>
      <c r="E7" s="35">
        <f t="shared" si="1"/>
        <v>953.83999999999992</v>
      </c>
      <c r="F7" s="35">
        <f t="shared" si="1"/>
        <v>973.33999999999992</v>
      </c>
      <c r="G7" s="35">
        <f t="shared" si="1"/>
        <v>992.13999999999987</v>
      </c>
      <c r="H7" s="35">
        <f t="shared" si="1"/>
        <v>1031.6399999999999</v>
      </c>
      <c r="I7" s="35">
        <f t="shared" si="1"/>
        <v>1185.8400000000001</v>
      </c>
      <c r="J7" s="35">
        <f t="shared" si="1"/>
        <v>1171.1400000000001</v>
      </c>
      <c r="K7" s="35">
        <f t="shared" si="1"/>
        <v>1524.54</v>
      </c>
      <c r="L7" s="35">
        <f t="shared" si="1"/>
        <v>1538.04</v>
      </c>
      <c r="M7" s="35">
        <f t="shared" si="1"/>
        <v>1587.7399999999998</v>
      </c>
      <c r="N7" s="35">
        <f t="shared" si="1"/>
        <v>203.54</v>
      </c>
      <c r="O7" s="35">
        <f t="shared" si="1"/>
        <v>203.54</v>
      </c>
      <c r="P7" s="35">
        <f t="shared" si="1"/>
        <v>203.54</v>
      </c>
      <c r="Q7" s="35">
        <f t="shared" si="1"/>
        <v>203.54</v>
      </c>
      <c r="R7" s="35">
        <f t="shared" si="1"/>
        <v>203.54</v>
      </c>
      <c r="S7" s="35">
        <f t="shared" si="1"/>
        <v>203.54</v>
      </c>
      <c r="T7" s="35">
        <f t="shared" si="1"/>
        <v>203.54</v>
      </c>
      <c r="U7" s="35">
        <f t="shared" si="1"/>
        <v>203.54</v>
      </c>
      <c r="V7" s="35">
        <f t="shared" si="1"/>
        <v>203.54</v>
      </c>
      <c r="W7" s="35">
        <f t="shared" si="1"/>
        <v>203.54</v>
      </c>
      <c r="X7" s="35">
        <f t="shared" si="1"/>
        <v>203.54</v>
      </c>
      <c r="Y7" s="35">
        <f t="shared" si="1"/>
        <v>203.54</v>
      </c>
      <c r="Z7" s="35">
        <f t="shared" si="1"/>
        <v>203.54</v>
      </c>
      <c r="AA7" s="35">
        <f t="shared" si="1"/>
        <v>203.54</v>
      </c>
      <c r="AB7" s="35">
        <f t="shared" si="1"/>
        <v>203.54</v>
      </c>
      <c r="AC7" s="35">
        <f t="shared" si="1"/>
        <v>203.54</v>
      </c>
      <c r="AD7" s="35">
        <f t="shared" si="1"/>
        <v>203.54</v>
      </c>
      <c r="AE7" s="35">
        <f t="shared" si="1"/>
        <v>203.54</v>
      </c>
      <c r="AF7" s="35">
        <f t="shared" si="1"/>
        <v>203.54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27.1</v>
      </c>
      <c r="C11" s="45">
        <v>27.1</v>
      </c>
      <c r="D11" s="45">
        <v>27.1</v>
      </c>
      <c r="E11" s="45">
        <v>27.4</v>
      </c>
      <c r="F11" s="45">
        <v>27.4</v>
      </c>
      <c r="G11" s="45">
        <v>27.4</v>
      </c>
      <c r="H11" s="45">
        <v>27.4</v>
      </c>
      <c r="I11" s="45">
        <v>27.4</v>
      </c>
      <c r="J11" s="45">
        <v>27.4</v>
      </c>
      <c r="K11" s="45">
        <v>27.4</v>
      </c>
      <c r="L11" s="45">
        <v>27.4</v>
      </c>
      <c r="M11" s="45">
        <v>27.4</v>
      </c>
      <c r="N11" s="45"/>
      <c r="O11" s="45"/>
      <c r="P11" s="45"/>
      <c r="Q11" s="45"/>
      <c r="R11" s="45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52.4</v>
      </c>
      <c r="AH11" s="48">
        <f>MAX(B11:AF11)</f>
        <v>27.4</v>
      </c>
      <c r="AI11" s="49">
        <f>MIN(B11:AF11)</f>
        <v>27.1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50.3</v>
      </c>
      <c r="C12" s="45">
        <v>50.3</v>
      </c>
      <c r="D12" s="45">
        <v>50.3</v>
      </c>
      <c r="E12" s="45">
        <v>50.5</v>
      </c>
      <c r="F12" s="45">
        <v>50.5</v>
      </c>
      <c r="G12" s="45">
        <v>50.5</v>
      </c>
      <c r="H12" s="45">
        <v>50.5</v>
      </c>
      <c r="I12" s="45">
        <v>50.5</v>
      </c>
      <c r="J12" s="45">
        <v>50.5</v>
      </c>
      <c r="K12" s="45">
        <v>50.5</v>
      </c>
      <c r="L12" s="45">
        <v>50.5</v>
      </c>
      <c r="M12" s="45">
        <v>50.5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1">
        <v>50</v>
      </c>
      <c r="AH12" s="48">
        <f t="shared" ref="AH12:AH79" si="2">MAX(B12:AF12)</f>
        <v>50.5</v>
      </c>
      <c r="AI12" s="49">
        <f t="shared" ref="AI12:AI79" si="3">MIN(B12:AF12)</f>
        <v>50.3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23.7</v>
      </c>
      <c r="C13" s="45">
        <v>23.7</v>
      </c>
      <c r="D13" s="45">
        <v>23.7</v>
      </c>
      <c r="E13" s="45">
        <v>24.1</v>
      </c>
      <c r="F13" s="45">
        <v>24.1</v>
      </c>
      <c r="G13" s="45">
        <v>24.1</v>
      </c>
      <c r="H13" s="45">
        <v>24.1</v>
      </c>
      <c r="I13" s="45">
        <v>24.1</v>
      </c>
      <c r="J13" s="45">
        <v>24.1</v>
      </c>
      <c r="K13" s="45">
        <v>24.1</v>
      </c>
      <c r="L13" s="45">
        <v>24.1</v>
      </c>
      <c r="M13" s="45">
        <v>24.1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51">
        <v>45</v>
      </c>
      <c r="AH13" s="48">
        <f t="shared" si="2"/>
        <v>24.1</v>
      </c>
      <c r="AI13" s="49">
        <f t="shared" si="3"/>
        <v>23.7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16</v>
      </c>
      <c r="C14" s="45">
        <v>16</v>
      </c>
      <c r="D14" s="45">
        <v>16</v>
      </c>
      <c r="E14" s="45">
        <v>16</v>
      </c>
      <c r="F14" s="45">
        <v>16</v>
      </c>
      <c r="G14" s="45">
        <v>16</v>
      </c>
      <c r="H14" s="45">
        <v>16</v>
      </c>
      <c r="I14" s="45">
        <v>16</v>
      </c>
      <c r="J14" s="45">
        <v>16</v>
      </c>
      <c r="K14" s="45">
        <v>16</v>
      </c>
      <c r="L14" s="45">
        <v>16</v>
      </c>
      <c r="M14" s="45">
        <v>16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51">
        <v>42</v>
      </c>
      <c r="AH14" s="48">
        <f t="shared" si="2"/>
        <v>16</v>
      </c>
      <c r="AI14" s="49">
        <f t="shared" si="3"/>
        <v>16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>
        <v>21</v>
      </c>
      <c r="C15" s="45">
        <v>21</v>
      </c>
      <c r="D15" s="45">
        <v>21</v>
      </c>
      <c r="E15" s="45">
        <v>21</v>
      </c>
      <c r="F15" s="45">
        <v>21</v>
      </c>
      <c r="G15" s="45">
        <v>21</v>
      </c>
      <c r="H15" s="45">
        <v>21</v>
      </c>
      <c r="I15" s="45">
        <v>21</v>
      </c>
      <c r="J15" s="45">
        <v>21</v>
      </c>
      <c r="K15" s="45">
        <v>21</v>
      </c>
      <c r="L15" s="45">
        <v>21</v>
      </c>
      <c r="M15" s="45">
        <v>21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1">
        <v>36</v>
      </c>
      <c r="AH15" s="48">
        <f t="shared" si="2"/>
        <v>21</v>
      </c>
      <c r="AI15" s="49">
        <f t="shared" si="3"/>
        <v>21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>
        <v>13.3</v>
      </c>
      <c r="C16" s="45">
        <v>13.3</v>
      </c>
      <c r="D16" s="45">
        <v>13.3</v>
      </c>
      <c r="E16" s="45">
        <v>13.9</v>
      </c>
      <c r="F16" s="45">
        <v>13.9</v>
      </c>
      <c r="G16" s="45">
        <v>13.9</v>
      </c>
      <c r="H16" s="45">
        <v>13.9</v>
      </c>
      <c r="I16" s="45">
        <v>13.9</v>
      </c>
      <c r="J16" s="45">
        <v>13.9</v>
      </c>
      <c r="K16" s="45">
        <v>13.9</v>
      </c>
      <c r="L16" s="45">
        <v>13.9</v>
      </c>
      <c r="M16" s="45">
        <v>13.9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2">
        <v>30</v>
      </c>
      <c r="AH16" s="48">
        <f t="shared" si="2"/>
        <v>13.9</v>
      </c>
      <c r="AI16" s="49">
        <f t="shared" si="3"/>
        <v>13.3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>
        <v>11.6</v>
      </c>
      <c r="C17" s="45">
        <v>11.6</v>
      </c>
      <c r="D17" s="45">
        <v>11.6</v>
      </c>
      <c r="E17" s="45">
        <v>11.6</v>
      </c>
      <c r="F17" s="45">
        <v>11.6</v>
      </c>
      <c r="G17" s="45">
        <v>11.6</v>
      </c>
      <c r="H17" s="45">
        <v>11.6</v>
      </c>
      <c r="I17" s="45">
        <v>11.6</v>
      </c>
      <c r="J17" s="45">
        <v>11.6</v>
      </c>
      <c r="K17" s="45">
        <v>11.6</v>
      </c>
      <c r="L17" s="45">
        <v>11.6</v>
      </c>
      <c r="M17" s="45">
        <v>11.6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1">
        <v>24.2</v>
      </c>
      <c r="AH17" s="48">
        <f t="shared" si="2"/>
        <v>11.6</v>
      </c>
      <c r="AI17" s="49">
        <f t="shared" si="3"/>
        <v>11.6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>
        <v>13.2</v>
      </c>
      <c r="C18" s="45">
        <v>13.2</v>
      </c>
      <c r="D18" s="45">
        <v>13.2</v>
      </c>
      <c r="E18" s="45">
        <v>13.2</v>
      </c>
      <c r="F18" s="45">
        <v>13.2</v>
      </c>
      <c r="G18" s="45">
        <v>13.2</v>
      </c>
      <c r="H18" s="45">
        <v>13.2</v>
      </c>
      <c r="I18" s="45">
        <v>13.2</v>
      </c>
      <c r="J18" s="45">
        <v>13.2</v>
      </c>
      <c r="K18" s="45">
        <v>13.2</v>
      </c>
      <c r="L18" s="45">
        <v>13.2</v>
      </c>
      <c r="M18" s="45">
        <v>13.2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1">
        <v>28</v>
      </c>
      <c r="AH18" s="48">
        <f t="shared" si="2"/>
        <v>13.2</v>
      </c>
      <c r="AI18" s="49">
        <f t="shared" si="3"/>
        <v>13.2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>
        <v>14</v>
      </c>
      <c r="C19" s="45">
        <v>14</v>
      </c>
      <c r="D19" s="45">
        <v>14</v>
      </c>
      <c r="E19" s="45">
        <v>14</v>
      </c>
      <c r="F19" s="45">
        <v>14</v>
      </c>
      <c r="G19" s="45">
        <v>14</v>
      </c>
      <c r="H19" s="45">
        <v>14</v>
      </c>
      <c r="I19" s="45">
        <v>14</v>
      </c>
      <c r="J19" s="45">
        <v>14</v>
      </c>
      <c r="K19" s="45">
        <v>14</v>
      </c>
      <c r="L19" s="45">
        <v>14</v>
      </c>
      <c r="M19" s="45">
        <v>14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2">
        <v>30</v>
      </c>
      <c r="AH19" s="48">
        <f t="shared" si="2"/>
        <v>14</v>
      </c>
      <c r="AI19" s="49">
        <f t="shared" si="3"/>
        <v>14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>
        <v>13.4</v>
      </c>
      <c r="C20" s="45">
        <v>13.4</v>
      </c>
      <c r="D20" s="45">
        <v>13.4</v>
      </c>
      <c r="E20" s="45">
        <v>13.4</v>
      </c>
      <c r="F20" s="45">
        <v>13.4</v>
      </c>
      <c r="G20" s="45">
        <v>13.4</v>
      </c>
      <c r="H20" s="45">
        <v>13.4</v>
      </c>
      <c r="I20" s="45">
        <v>13.4</v>
      </c>
      <c r="J20" s="45">
        <v>13.4</v>
      </c>
      <c r="K20" s="45">
        <v>13.4</v>
      </c>
      <c r="L20" s="45">
        <v>13.4</v>
      </c>
      <c r="M20" s="45">
        <v>13.4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25</v>
      </c>
      <c r="AH20" s="48">
        <f t="shared" si="2"/>
        <v>13.4</v>
      </c>
      <c r="AI20" s="49">
        <f t="shared" si="3"/>
        <v>13.4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1">
        <v>25</v>
      </c>
      <c r="AH21" s="48">
        <f t="shared" si="2"/>
        <v>0</v>
      </c>
      <c r="AI21" s="49">
        <f t="shared" si="3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1">
        <v>25</v>
      </c>
      <c r="AH22" s="48">
        <f t="shared" si="2"/>
        <v>11</v>
      </c>
      <c r="AI22" s="49">
        <f t="shared" si="3"/>
        <v>11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>
        <v>10</v>
      </c>
      <c r="C23" s="45">
        <v>10</v>
      </c>
      <c r="D23" s="45">
        <v>10</v>
      </c>
      <c r="E23" s="45">
        <v>10</v>
      </c>
      <c r="F23" s="45">
        <v>10</v>
      </c>
      <c r="G23" s="45">
        <v>10</v>
      </c>
      <c r="H23" s="45">
        <v>10</v>
      </c>
      <c r="I23" s="45">
        <v>10</v>
      </c>
      <c r="J23" s="45">
        <v>10</v>
      </c>
      <c r="K23" s="45">
        <v>10</v>
      </c>
      <c r="L23" s="45">
        <v>10</v>
      </c>
      <c r="M23" s="45">
        <v>10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25</v>
      </c>
      <c r="AH23" s="48">
        <f t="shared" si="2"/>
        <v>10</v>
      </c>
      <c r="AI23" s="49">
        <f t="shared" si="3"/>
        <v>10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>
        <v>12.5</v>
      </c>
      <c r="C24" s="45">
        <v>12.5</v>
      </c>
      <c r="D24" s="45">
        <v>12.5</v>
      </c>
      <c r="E24" s="45">
        <v>12.5</v>
      </c>
      <c r="F24" s="45">
        <v>12.5</v>
      </c>
      <c r="G24" s="45">
        <v>12.5</v>
      </c>
      <c r="H24" s="45">
        <v>12.5</v>
      </c>
      <c r="I24" s="45">
        <v>12.5</v>
      </c>
      <c r="J24" s="45">
        <v>12.5</v>
      </c>
      <c r="K24" s="45">
        <v>12.5</v>
      </c>
      <c r="L24" s="45">
        <v>12.5</v>
      </c>
      <c r="M24" s="45">
        <v>12.5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1">
        <v>23.5</v>
      </c>
      <c r="AH24" s="48">
        <f t="shared" si="2"/>
        <v>12.5</v>
      </c>
      <c r="AI24" s="49">
        <f t="shared" si="3"/>
        <v>12.5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>
        <v>7.5</v>
      </c>
      <c r="C25" s="45">
        <v>7.5</v>
      </c>
      <c r="D25" s="45">
        <v>7.5</v>
      </c>
      <c r="E25" s="45">
        <v>7.5</v>
      </c>
      <c r="F25" s="45">
        <v>7.5</v>
      </c>
      <c r="G25" s="45">
        <v>7.5</v>
      </c>
      <c r="H25" s="45">
        <v>7.5</v>
      </c>
      <c r="I25" s="45">
        <v>7.5</v>
      </c>
      <c r="J25" s="45">
        <v>7.5</v>
      </c>
      <c r="K25" s="45">
        <v>7.5</v>
      </c>
      <c r="L25" s="45">
        <v>7.5</v>
      </c>
      <c r="M25" s="45">
        <v>7.5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1">
        <v>22.2</v>
      </c>
      <c r="AH25" s="48">
        <f t="shared" si="2"/>
        <v>7.5</v>
      </c>
      <c r="AI25" s="49">
        <f t="shared" si="3"/>
        <v>7.5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>
        <v>10.6</v>
      </c>
      <c r="C26" s="45">
        <v>10.6</v>
      </c>
      <c r="D26" s="45">
        <v>10.6</v>
      </c>
      <c r="E26" s="45">
        <v>10.6</v>
      </c>
      <c r="F26" s="45">
        <v>10.6</v>
      </c>
      <c r="G26" s="45">
        <v>10.6</v>
      </c>
      <c r="H26" s="45">
        <v>10.6</v>
      </c>
      <c r="I26" s="45">
        <v>10.6</v>
      </c>
      <c r="J26" s="45">
        <v>10.6</v>
      </c>
      <c r="K26" s="45">
        <v>10.6</v>
      </c>
      <c r="L26" s="45">
        <v>10.6</v>
      </c>
      <c r="M26" s="45">
        <v>10.6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1">
        <v>22.1</v>
      </c>
      <c r="AH26" s="48">
        <f t="shared" si="2"/>
        <v>10.6</v>
      </c>
      <c r="AI26" s="49">
        <f t="shared" si="3"/>
        <v>10.6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1">
        <v>22</v>
      </c>
      <c r="AH27" s="48">
        <f t="shared" si="2"/>
        <v>8</v>
      </c>
      <c r="AI27" s="49">
        <f t="shared" si="3"/>
        <v>8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1">
        <v>22</v>
      </c>
      <c r="AH28" s="48">
        <f t="shared" si="2"/>
        <v>12</v>
      </c>
      <c r="AI28" s="49">
        <f t="shared" si="3"/>
        <v>12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>
        <v>5</v>
      </c>
      <c r="C29" s="45">
        <v>5</v>
      </c>
      <c r="D29" s="45">
        <v>5</v>
      </c>
      <c r="E29" s="45">
        <v>5</v>
      </c>
      <c r="F29" s="45">
        <v>5</v>
      </c>
      <c r="G29" s="45">
        <v>5</v>
      </c>
      <c r="H29" s="45">
        <v>5</v>
      </c>
      <c r="I29" s="45">
        <v>5</v>
      </c>
      <c r="J29" s="45">
        <v>5</v>
      </c>
      <c r="K29" s="45">
        <v>5</v>
      </c>
      <c r="L29" s="45">
        <v>5</v>
      </c>
      <c r="M29" s="45">
        <v>5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1">
        <v>20</v>
      </c>
      <c r="AH29" s="48">
        <f t="shared" si="2"/>
        <v>5</v>
      </c>
      <c r="AI29" s="49">
        <f t="shared" si="3"/>
        <v>5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1">
        <v>18</v>
      </c>
      <c r="AH30" s="48">
        <f t="shared" si="2"/>
        <v>7.7</v>
      </c>
      <c r="AI30" s="49">
        <f t="shared" si="3"/>
        <v>7.7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1">
        <v>14.9</v>
      </c>
      <c r="AH31" s="48">
        <f t="shared" si="2"/>
        <v>6.2</v>
      </c>
      <c r="AI31" s="49">
        <f t="shared" si="3"/>
        <v>6.2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>
        <v>3.6</v>
      </c>
      <c r="C32" s="45">
        <v>3.6</v>
      </c>
      <c r="D32" s="45">
        <v>3.6</v>
      </c>
      <c r="E32" s="45">
        <v>3.6</v>
      </c>
      <c r="F32" s="45">
        <v>3.6</v>
      </c>
      <c r="G32" s="45">
        <v>3.6</v>
      </c>
      <c r="H32" s="45">
        <v>3.6</v>
      </c>
      <c r="I32" s="45">
        <v>3.6</v>
      </c>
      <c r="J32" s="45">
        <v>3.6</v>
      </c>
      <c r="K32" s="45">
        <v>3.6</v>
      </c>
      <c r="L32" s="45">
        <v>3.6</v>
      </c>
      <c r="M32" s="45">
        <v>3.6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1">
        <v>13.6</v>
      </c>
      <c r="AH32" s="48">
        <f t="shared" si="2"/>
        <v>3.6</v>
      </c>
      <c r="AI32" s="49">
        <f t="shared" si="3"/>
        <v>3.6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1">
        <v>13</v>
      </c>
      <c r="AH33" s="48">
        <f t="shared" si="2"/>
        <v>5</v>
      </c>
      <c r="AI33" s="49">
        <f t="shared" si="3"/>
        <v>5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1">
        <v>12</v>
      </c>
      <c r="AH34" s="48">
        <f t="shared" si="2"/>
        <v>7</v>
      </c>
      <c r="AI34" s="49">
        <f t="shared" si="3"/>
        <v>7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1">
        <v>12</v>
      </c>
      <c r="AH35" s="48">
        <f t="shared" si="2"/>
        <v>12</v>
      </c>
      <c r="AI35" s="49">
        <f t="shared" si="3"/>
        <v>12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1">
        <v>12</v>
      </c>
      <c r="AH36" s="48">
        <f t="shared" si="2"/>
        <v>7</v>
      </c>
      <c r="AI36" s="49">
        <f t="shared" si="3"/>
        <v>7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3">
        <v>22</v>
      </c>
      <c r="AH37" s="48">
        <f t="shared" si="2"/>
        <v>6</v>
      </c>
      <c r="AI37" s="49">
        <f t="shared" si="3"/>
        <v>6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2">
        <v>11.88</v>
      </c>
      <c r="AH38" s="48">
        <f t="shared" si="2"/>
        <v>5.2</v>
      </c>
      <c r="AI38" s="49">
        <f t="shared" si="3"/>
        <v>5.2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5">
        <v>11</v>
      </c>
      <c r="AH39" s="48">
        <f t="shared" si="2"/>
        <v>8.5</v>
      </c>
      <c r="AI39" s="49">
        <f t="shared" si="3"/>
        <v>8.5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>
        <v>6</v>
      </c>
      <c r="C40" s="45">
        <v>6</v>
      </c>
      <c r="D40" s="45">
        <v>6</v>
      </c>
      <c r="E40" s="45">
        <v>6</v>
      </c>
      <c r="F40" s="45">
        <v>6</v>
      </c>
      <c r="G40" s="45">
        <v>6</v>
      </c>
      <c r="H40" s="45">
        <v>6</v>
      </c>
      <c r="I40" s="45">
        <v>6</v>
      </c>
      <c r="J40" s="45">
        <v>6</v>
      </c>
      <c r="K40" s="45">
        <v>6</v>
      </c>
      <c r="L40" s="45">
        <v>6</v>
      </c>
      <c r="M40" s="45">
        <v>6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5">
        <v>10</v>
      </c>
      <c r="AH40" s="48">
        <f t="shared" si="2"/>
        <v>6</v>
      </c>
      <c r="AI40" s="49">
        <f t="shared" si="3"/>
        <v>6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47</v>
      </c>
      <c r="B43" s="59">
        <v>54</v>
      </c>
      <c r="C43" s="59">
        <v>54</v>
      </c>
      <c r="D43" s="59">
        <v>54</v>
      </c>
      <c r="E43" s="59">
        <v>55</v>
      </c>
      <c r="F43" s="59">
        <v>54</v>
      </c>
      <c r="G43" s="59">
        <f t="shared" ref="G43" si="4">15+30.4</f>
        <v>45.4</v>
      </c>
      <c r="H43" s="59">
        <v>54</v>
      </c>
      <c r="I43" s="59">
        <f>16.3+37.2</f>
        <v>53.5</v>
      </c>
      <c r="J43" s="59">
        <f>16.3+37</f>
        <v>53.3</v>
      </c>
      <c r="K43" s="59">
        <f>16.3+37</f>
        <v>53.3</v>
      </c>
      <c r="L43" s="59">
        <f>15.6+37.2</f>
        <v>52.800000000000004</v>
      </c>
      <c r="M43" s="57">
        <f>14.8+38.6</f>
        <v>53.400000000000006</v>
      </c>
      <c r="N43" s="57"/>
      <c r="O43" s="57"/>
      <c r="P43" s="57"/>
      <c r="Q43" s="57"/>
      <c r="R43" s="57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5">
        <v>240</v>
      </c>
      <c r="AH43" s="48">
        <f t="shared" si="2"/>
        <v>55</v>
      </c>
      <c r="AI43" s="49">
        <f t="shared" si="3"/>
        <v>45.4</v>
      </c>
      <c r="AK43" s="50"/>
    </row>
    <row r="44" spans="1:88" ht="15.75" thickBot="1" x14ac:dyDescent="0.3">
      <c r="A44" s="60" t="s">
        <v>48</v>
      </c>
      <c r="B44" s="61">
        <f t="shared" ref="B44:AG44" si="5">SUM(B11:B42)</f>
        <v>554.40000000000009</v>
      </c>
      <c r="C44" s="61">
        <f t="shared" si="5"/>
        <v>554.40000000000009</v>
      </c>
      <c r="D44" s="61">
        <f t="shared" si="5"/>
        <v>554.40000000000009</v>
      </c>
      <c r="E44" s="61">
        <f t="shared" si="5"/>
        <v>555.9</v>
      </c>
      <c r="F44" s="61">
        <f t="shared" si="5"/>
        <v>555.9</v>
      </c>
      <c r="G44" s="61">
        <f t="shared" si="5"/>
        <v>555.9</v>
      </c>
      <c r="H44" s="61">
        <f t="shared" si="5"/>
        <v>555.9</v>
      </c>
      <c r="I44" s="61">
        <f t="shared" si="5"/>
        <v>555.9</v>
      </c>
      <c r="J44" s="61">
        <f t="shared" si="5"/>
        <v>555.9</v>
      </c>
      <c r="K44" s="61">
        <f t="shared" si="5"/>
        <v>555.9</v>
      </c>
      <c r="L44" s="61">
        <f t="shared" si="5"/>
        <v>555.9</v>
      </c>
      <c r="M44" s="61">
        <f t="shared" si="5"/>
        <v>555.9</v>
      </c>
      <c r="N44" s="61">
        <f t="shared" si="5"/>
        <v>200</v>
      </c>
      <c r="O44" s="61">
        <f t="shared" si="5"/>
        <v>200</v>
      </c>
      <c r="P44" s="61">
        <f t="shared" si="5"/>
        <v>200</v>
      </c>
      <c r="Q44" s="61">
        <f t="shared" si="5"/>
        <v>200</v>
      </c>
      <c r="R44" s="61">
        <f t="shared" si="5"/>
        <v>200</v>
      </c>
      <c r="S44" s="61">
        <f t="shared" si="5"/>
        <v>200</v>
      </c>
      <c r="T44" s="61">
        <f t="shared" si="5"/>
        <v>200</v>
      </c>
      <c r="U44" s="61">
        <f t="shared" si="5"/>
        <v>200</v>
      </c>
      <c r="V44" s="61">
        <f t="shared" si="5"/>
        <v>200</v>
      </c>
      <c r="W44" s="61">
        <f t="shared" si="5"/>
        <v>200</v>
      </c>
      <c r="X44" s="61">
        <f t="shared" si="5"/>
        <v>200</v>
      </c>
      <c r="Y44" s="61">
        <f t="shared" si="5"/>
        <v>200</v>
      </c>
      <c r="Z44" s="61">
        <f t="shared" si="5"/>
        <v>200</v>
      </c>
      <c r="AA44" s="61">
        <f t="shared" si="5"/>
        <v>200</v>
      </c>
      <c r="AB44" s="61">
        <f t="shared" si="5"/>
        <v>200</v>
      </c>
      <c r="AC44" s="61">
        <f t="shared" si="5"/>
        <v>200</v>
      </c>
      <c r="AD44" s="61">
        <f t="shared" si="5"/>
        <v>200</v>
      </c>
      <c r="AE44" s="61">
        <f t="shared" si="5"/>
        <v>200</v>
      </c>
      <c r="AF44" s="61">
        <f t="shared" si="5"/>
        <v>200</v>
      </c>
      <c r="AG44" s="62">
        <f t="shared" si="5"/>
        <v>814.78000000000009</v>
      </c>
      <c r="AH44" s="48">
        <f t="shared" si="2"/>
        <v>555.9</v>
      </c>
      <c r="AI44" s="49">
        <f t="shared" si="3"/>
        <v>200</v>
      </c>
      <c r="AK44" s="50"/>
    </row>
    <row r="45" spans="1:88" x14ac:dyDescent="0.25">
      <c r="A45" s="63" t="s">
        <v>49</v>
      </c>
      <c r="B45" s="45">
        <v>15</v>
      </c>
      <c r="C45" s="45">
        <v>15</v>
      </c>
      <c r="D45" s="45">
        <v>15</v>
      </c>
      <c r="E45" s="45">
        <v>15</v>
      </c>
      <c r="F45" s="45">
        <v>15</v>
      </c>
      <c r="G45" s="45">
        <v>35</v>
      </c>
      <c r="H45" s="45">
        <v>20</v>
      </c>
      <c r="I45" s="45">
        <v>130</v>
      </c>
      <c r="J45" s="45">
        <v>130</v>
      </c>
      <c r="K45" s="45">
        <v>420</v>
      </c>
      <c r="L45" s="45">
        <v>420</v>
      </c>
      <c r="M45" s="45">
        <v>456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2">
        <v>456</v>
      </c>
      <c r="AH45" s="48">
        <f t="shared" si="2"/>
        <v>456</v>
      </c>
      <c r="AI45" s="49">
        <f t="shared" si="3"/>
        <v>15</v>
      </c>
      <c r="AK45" s="50"/>
    </row>
    <row r="46" spans="1:88" x14ac:dyDescent="0.25">
      <c r="A46" s="64" t="s">
        <v>50</v>
      </c>
      <c r="B46" s="65">
        <v>48</v>
      </c>
      <c r="C46" s="65">
        <v>48</v>
      </c>
      <c r="D46" s="65">
        <v>48</v>
      </c>
      <c r="E46" s="65">
        <v>48</v>
      </c>
      <c r="F46" s="65">
        <v>48</v>
      </c>
      <c r="G46" s="65">
        <v>48</v>
      </c>
      <c r="H46" s="65">
        <v>48</v>
      </c>
      <c r="I46" s="65">
        <v>48</v>
      </c>
      <c r="J46" s="65">
        <v>48</v>
      </c>
      <c r="K46" s="65">
        <v>48</v>
      </c>
      <c r="L46" s="65">
        <v>48</v>
      </c>
      <c r="M46" s="65">
        <v>68.599999999999994</v>
      </c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55">
        <v>60</v>
      </c>
      <c r="AH46" s="48">
        <f t="shared" si="2"/>
        <v>68.599999999999994</v>
      </c>
      <c r="AI46" s="49">
        <f t="shared" si="3"/>
        <v>48</v>
      </c>
      <c r="AK46" s="50"/>
    </row>
    <row r="47" spans="1:88" ht="15.75" thickBot="1" x14ac:dyDescent="0.3">
      <c r="A47" s="66" t="s">
        <v>51</v>
      </c>
      <c r="B47" s="67">
        <v>22.1</v>
      </c>
      <c r="C47" s="67">
        <v>22.1</v>
      </c>
      <c r="D47" s="67">
        <v>22.1</v>
      </c>
      <c r="E47" s="67">
        <v>22.1</v>
      </c>
      <c r="F47" s="67">
        <v>22.1</v>
      </c>
      <c r="G47" s="67">
        <v>22.1</v>
      </c>
      <c r="H47" s="67">
        <v>22.1</v>
      </c>
      <c r="I47" s="67">
        <v>22.1</v>
      </c>
      <c r="J47" s="67">
        <v>22.1</v>
      </c>
      <c r="K47" s="67">
        <v>22.1</v>
      </c>
      <c r="L47" s="67">
        <v>22.1</v>
      </c>
      <c r="M47" s="67">
        <v>17.100000000000001</v>
      </c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8">
        <v>22.1</v>
      </c>
      <c r="AH47" s="48">
        <f t="shared" si="2"/>
        <v>22.1</v>
      </c>
      <c r="AI47" s="49">
        <f t="shared" si="3"/>
        <v>17.100000000000001</v>
      </c>
      <c r="AK47" s="50"/>
    </row>
    <row r="48" spans="1:88" ht="15.75" thickBot="1" x14ac:dyDescent="0.3">
      <c r="A48" s="69" t="s">
        <v>52</v>
      </c>
      <c r="B48" s="61">
        <f t="shared" ref="B48:AG48" si="6">SUM(B45:B47)</f>
        <v>85.1</v>
      </c>
      <c r="C48" s="61">
        <f t="shared" si="6"/>
        <v>85.1</v>
      </c>
      <c r="D48" s="61">
        <f t="shared" si="6"/>
        <v>85.1</v>
      </c>
      <c r="E48" s="61">
        <f t="shared" si="6"/>
        <v>85.1</v>
      </c>
      <c r="F48" s="61">
        <f t="shared" si="6"/>
        <v>85.1</v>
      </c>
      <c r="G48" s="61">
        <f t="shared" si="6"/>
        <v>105.1</v>
      </c>
      <c r="H48" s="61">
        <f t="shared" si="6"/>
        <v>90.1</v>
      </c>
      <c r="I48" s="61">
        <f t="shared" si="6"/>
        <v>200.1</v>
      </c>
      <c r="J48" s="61">
        <f t="shared" si="6"/>
        <v>200.1</v>
      </c>
      <c r="K48" s="61">
        <f t="shared" si="6"/>
        <v>490.1</v>
      </c>
      <c r="L48" s="61">
        <f t="shared" si="6"/>
        <v>490.1</v>
      </c>
      <c r="M48" s="61">
        <f t="shared" si="6"/>
        <v>541.70000000000005</v>
      </c>
      <c r="N48" s="61">
        <f t="shared" si="6"/>
        <v>0</v>
      </c>
      <c r="O48" s="61">
        <f t="shared" si="6"/>
        <v>0</v>
      </c>
      <c r="P48" s="61">
        <f t="shared" si="6"/>
        <v>0</v>
      </c>
      <c r="Q48" s="61">
        <f t="shared" si="6"/>
        <v>0</v>
      </c>
      <c r="R48" s="61">
        <f t="shared" si="6"/>
        <v>0</v>
      </c>
      <c r="S48" s="61">
        <f t="shared" si="6"/>
        <v>0</v>
      </c>
      <c r="T48" s="61">
        <f t="shared" si="6"/>
        <v>0</v>
      </c>
      <c r="U48" s="61">
        <f t="shared" si="6"/>
        <v>0</v>
      </c>
      <c r="V48" s="61">
        <f t="shared" si="6"/>
        <v>0</v>
      </c>
      <c r="W48" s="61">
        <f t="shared" si="6"/>
        <v>0</v>
      </c>
      <c r="X48" s="61">
        <f t="shared" si="6"/>
        <v>0</v>
      </c>
      <c r="Y48" s="61">
        <f t="shared" si="6"/>
        <v>0</v>
      </c>
      <c r="Z48" s="61">
        <f t="shared" si="6"/>
        <v>0</v>
      </c>
      <c r="AA48" s="61">
        <f t="shared" si="6"/>
        <v>0</v>
      </c>
      <c r="AB48" s="61">
        <f t="shared" si="6"/>
        <v>0</v>
      </c>
      <c r="AC48" s="61">
        <f t="shared" si="6"/>
        <v>0</v>
      </c>
      <c r="AD48" s="61">
        <f t="shared" si="6"/>
        <v>0</v>
      </c>
      <c r="AE48" s="61">
        <f t="shared" si="6"/>
        <v>0</v>
      </c>
      <c r="AF48" s="61">
        <f t="shared" si="6"/>
        <v>0</v>
      </c>
      <c r="AG48" s="62">
        <f t="shared" si="6"/>
        <v>538.1</v>
      </c>
      <c r="AH48" s="48">
        <f t="shared" si="2"/>
        <v>541.70000000000005</v>
      </c>
      <c r="AI48" s="49">
        <f t="shared" si="3"/>
        <v>0</v>
      </c>
      <c r="AK48" s="50"/>
    </row>
    <row r="49" spans="1:41" x14ac:dyDescent="0.25">
      <c r="A49" s="44" t="s">
        <v>53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48</v>
      </c>
      <c r="I49" s="45">
        <v>120</v>
      </c>
      <c r="J49" s="45">
        <v>141</v>
      </c>
      <c r="K49" s="45">
        <v>141</v>
      </c>
      <c r="L49" s="45">
        <v>141</v>
      </c>
      <c r="M49" s="45">
        <v>141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2">
        <v>144</v>
      </c>
      <c r="AH49" s="48">
        <f t="shared" si="2"/>
        <v>141</v>
      </c>
      <c r="AI49" s="49">
        <f t="shared" si="3"/>
        <v>0</v>
      </c>
      <c r="AK49" s="50"/>
    </row>
    <row r="50" spans="1:41" x14ac:dyDescent="0.25">
      <c r="A50" s="54" t="s">
        <v>54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35.5</v>
      </c>
      <c r="J50" s="65">
        <v>35.700000000000003</v>
      </c>
      <c r="K50" s="65">
        <v>73</v>
      </c>
      <c r="L50" s="65">
        <v>72.3</v>
      </c>
      <c r="M50" s="65">
        <v>72.3</v>
      </c>
      <c r="N50" s="45"/>
      <c r="O50" s="45"/>
      <c r="P50" s="45"/>
      <c r="Q50" s="45"/>
      <c r="R50" s="4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55">
        <v>70</v>
      </c>
      <c r="AH50" s="48">
        <f t="shared" si="2"/>
        <v>73</v>
      </c>
      <c r="AI50" s="49">
        <f t="shared" si="3"/>
        <v>0</v>
      </c>
      <c r="AK50" s="50"/>
    </row>
    <row r="51" spans="1:41" x14ac:dyDescent="0.25">
      <c r="A51" s="54" t="s">
        <v>55</v>
      </c>
      <c r="B51" s="65">
        <v>35</v>
      </c>
      <c r="C51" s="65">
        <v>35</v>
      </c>
      <c r="D51" s="65">
        <v>16</v>
      </c>
      <c r="E51" s="65">
        <v>21.5</v>
      </c>
      <c r="F51" s="65">
        <v>46</v>
      </c>
      <c r="G51" s="65">
        <v>46</v>
      </c>
      <c r="H51" s="65">
        <v>46</v>
      </c>
      <c r="I51" s="65">
        <v>70</v>
      </c>
      <c r="J51" s="65">
        <v>70</v>
      </c>
      <c r="K51" s="65">
        <v>70</v>
      </c>
      <c r="L51" s="65">
        <v>68.7</v>
      </c>
      <c r="M51" s="65">
        <v>68.7</v>
      </c>
      <c r="N51" s="45"/>
      <c r="O51" s="45"/>
      <c r="P51" s="45"/>
      <c r="Q51" s="45"/>
      <c r="R51" s="4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55">
        <v>69</v>
      </c>
      <c r="AH51" s="48">
        <f t="shared" si="2"/>
        <v>70</v>
      </c>
      <c r="AI51" s="49">
        <f t="shared" si="3"/>
        <v>16</v>
      </c>
      <c r="AK51" s="50"/>
    </row>
    <row r="52" spans="1:41" x14ac:dyDescent="0.25">
      <c r="A52" s="54" t="s">
        <v>56</v>
      </c>
      <c r="B52" s="57">
        <v>61</v>
      </c>
      <c r="C52" s="57">
        <v>61</v>
      </c>
      <c r="D52" s="57">
        <v>61</v>
      </c>
      <c r="E52" s="57">
        <v>61</v>
      </c>
      <c r="F52" s="57">
        <v>61</v>
      </c>
      <c r="G52" s="57">
        <v>61</v>
      </c>
      <c r="H52" s="57">
        <v>61</v>
      </c>
      <c r="I52" s="57">
        <v>61</v>
      </c>
      <c r="J52" s="57">
        <v>61.2</v>
      </c>
      <c r="K52" s="57">
        <v>61.2</v>
      </c>
      <c r="L52" s="57">
        <v>61.2</v>
      </c>
      <c r="M52" s="57">
        <v>61.2</v>
      </c>
      <c r="N52" s="45"/>
      <c r="O52" s="45"/>
      <c r="P52" s="45"/>
      <c r="Q52" s="45"/>
      <c r="R52" s="45"/>
      <c r="S52" s="45"/>
      <c r="T52" s="45"/>
      <c r="U52" s="45"/>
      <c r="V52" s="65"/>
      <c r="W52" s="65"/>
      <c r="X52" s="65"/>
      <c r="Y52" s="65"/>
      <c r="Z52" s="65"/>
      <c r="AA52" s="65"/>
      <c r="AB52" s="57"/>
      <c r="AC52" s="57"/>
      <c r="AD52" s="57"/>
      <c r="AE52" s="57"/>
      <c r="AF52" s="57"/>
      <c r="AG52" s="55">
        <v>60</v>
      </c>
      <c r="AH52" s="48">
        <f t="shared" si="2"/>
        <v>61.2</v>
      </c>
      <c r="AI52" s="49">
        <f t="shared" si="3"/>
        <v>61</v>
      </c>
      <c r="AK52" s="50"/>
    </row>
    <row r="53" spans="1:41" x14ac:dyDescent="0.25">
      <c r="A53" s="54" t="s">
        <v>57</v>
      </c>
      <c r="B53" s="57">
        <v>0</v>
      </c>
      <c r="C53" s="57">
        <v>0</v>
      </c>
      <c r="D53" s="57">
        <v>0</v>
      </c>
      <c r="E53" s="57">
        <v>0</v>
      </c>
      <c r="F53" s="57">
        <v>0</v>
      </c>
      <c r="G53" s="57">
        <v>0</v>
      </c>
      <c r="H53" s="57">
        <v>0</v>
      </c>
      <c r="I53" s="57">
        <v>0</v>
      </c>
      <c r="J53" s="57">
        <v>0</v>
      </c>
      <c r="K53" s="57">
        <v>0</v>
      </c>
      <c r="L53" s="57">
        <v>0</v>
      </c>
      <c r="M53" s="57">
        <v>0</v>
      </c>
      <c r="N53" s="45"/>
      <c r="O53" s="45"/>
      <c r="P53" s="45"/>
      <c r="Q53" s="45"/>
      <c r="R53" s="45"/>
      <c r="S53" s="45"/>
      <c r="T53" s="45"/>
      <c r="U53" s="45"/>
      <c r="V53" s="65"/>
      <c r="W53" s="65"/>
      <c r="X53" s="65"/>
      <c r="Y53" s="65"/>
      <c r="Z53" s="65"/>
      <c r="AA53" s="65"/>
      <c r="AB53" s="57"/>
      <c r="AC53" s="57"/>
      <c r="AD53" s="57"/>
      <c r="AE53" s="57"/>
      <c r="AF53" s="57"/>
      <c r="AG53" s="55">
        <v>30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58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/>
      <c r="O54" s="65"/>
      <c r="P54" s="65"/>
      <c r="Q54" s="6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65"/>
      <c r="AC54" s="65"/>
      <c r="AD54" s="65"/>
      <c r="AE54" s="65"/>
      <c r="AF54" s="65"/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59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/>
      <c r="O55" s="65"/>
      <c r="P55" s="65"/>
      <c r="Q55" s="6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65"/>
      <c r="AC55" s="65"/>
      <c r="AD55" s="65"/>
      <c r="AE55" s="65"/>
      <c r="AF55" s="65"/>
      <c r="AG55" s="55">
        <v>24</v>
      </c>
      <c r="AH55" s="48">
        <f t="shared" si="2"/>
        <v>17.100000000000001</v>
      </c>
      <c r="AI55" s="49">
        <f t="shared" si="3"/>
        <v>17.100000000000001</v>
      </c>
      <c r="AK55" s="50"/>
    </row>
    <row r="56" spans="1:41" x14ac:dyDescent="0.25">
      <c r="A56" s="54" t="s">
        <v>60</v>
      </c>
      <c r="B56" s="65">
        <v>0</v>
      </c>
      <c r="C56" s="65">
        <v>0</v>
      </c>
      <c r="D56" s="65">
        <v>0</v>
      </c>
      <c r="E56" s="65">
        <v>0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/>
      <c r="O56" s="65"/>
      <c r="P56" s="65"/>
      <c r="Q56" s="65"/>
      <c r="R56" s="65"/>
      <c r="S56" s="65"/>
      <c r="T56" s="4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>
        <v>14.6</v>
      </c>
      <c r="C57" s="65">
        <v>14.6</v>
      </c>
      <c r="D57" s="65">
        <v>14.6</v>
      </c>
      <c r="E57" s="65">
        <v>14.6</v>
      </c>
      <c r="F57" s="65">
        <v>14.6</v>
      </c>
      <c r="G57" s="65">
        <v>14.6</v>
      </c>
      <c r="H57" s="65">
        <v>14.6</v>
      </c>
      <c r="I57" s="65">
        <v>14.6</v>
      </c>
      <c r="J57" s="65">
        <v>14.6</v>
      </c>
      <c r="K57" s="65">
        <v>14.6</v>
      </c>
      <c r="L57" s="65">
        <v>14.6</v>
      </c>
      <c r="M57" s="65">
        <v>14.6</v>
      </c>
      <c r="N57" s="65"/>
      <c r="O57" s="65"/>
      <c r="P57" s="65"/>
      <c r="Q57" s="65"/>
      <c r="R57" s="65"/>
      <c r="S57" s="65"/>
      <c r="T57" s="4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5">
        <v>14.1</v>
      </c>
      <c r="AH57" s="48">
        <f t="shared" si="2"/>
        <v>14.6</v>
      </c>
      <c r="AI57" s="49">
        <f t="shared" si="3"/>
        <v>14.6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>
        <v>7</v>
      </c>
      <c r="C58" s="65">
        <v>7</v>
      </c>
      <c r="D58" s="65">
        <v>7</v>
      </c>
      <c r="E58" s="65">
        <v>7</v>
      </c>
      <c r="F58" s="65">
        <v>7</v>
      </c>
      <c r="G58" s="65">
        <v>7</v>
      </c>
      <c r="H58" s="65">
        <v>7</v>
      </c>
      <c r="I58" s="65">
        <v>7</v>
      </c>
      <c r="J58" s="65">
        <v>7</v>
      </c>
      <c r="K58" s="65">
        <v>7</v>
      </c>
      <c r="L58" s="65">
        <v>7</v>
      </c>
      <c r="M58" s="65">
        <v>7</v>
      </c>
      <c r="N58" s="65"/>
      <c r="O58" s="65"/>
      <c r="P58" s="65"/>
      <c r="Q58" s="65"/>
      <c r="R58" s="65"/>
      <c r="S58" s="65"/>
      <c r="T58" s="4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55">
        <v>14</v>
      </c>
      <c r="AH58" s="48">
        <f t="shared" si="2"/>
        <v>7</v>
      </c>
      <c r="AI58" s="49">
        <f t="shared" si="3"/>
        <v>7</v>
      </c>
      <c r="AK58" s="50"/>
    </row>
    <row r="59" spans="1:41" x14ac:dyDescent="0.25">
      <c r="A59" s="54" t="s">
        <v>63</v>
      </c>
      <c r="B59" s="65">
        <v>6.5</v>
      </c>
      <c r="C59" s="65">
        <v>6.5</v>
      </c>
      <c r="D59" s="65">
        <v>6.5</v>
      </c>
      <c r="E59" s="65">
        <v>6.5</v>
      </c>
      <c r="F59" s="65">
        <v>6.5</v>
      </c>
      <c r="G59" s="65">
        <v>6.5</v>
      </c>
      <c r="H59" s="65">
        <v>6.5</v>
      </c>
      <c r="I59" s="65">
        <v>6.5</v>
      </c>
      <c r="J59" s="65">
        <v>6.5</v>
      </c>
      <c r="K59" s="65">
        <v>6.5</v>
      </c>
      <c r="L59" s="65">
        <v>6.5</v>
      </c>
      <c r="M59" s="65">
        <v>6.5</v>
      </c>
      <c r="N59" s="65"/>
      <c r="O59" s="65"/>
      <c r="P59" s="65"/>
      <c r="Q59" s="65"/>
      <c r="R59" s="65"/>
      <c r="S59" s="65"/>
      <c r="T59" s="4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55">
        <v>10.050000000000001</v>
      </c>
      <c r="AH59" s="48">
        <f t="shared" si="2"/>
        <v>6.5</v>
      </c>
      <c r="AI59" s="49">
        <f t="shared" si="3"/>
        <v>6.5</v>
      </c>
      <c r="AK59" s="50"/>
    </row>
    <row r="60" spans="1:41" x14ac:dyDescent="0.25">
      <c r="A60" s="54" t="s">
        <v>64</v>
      </c>
      <c r="B60" s="65">
        <v>3.6</v>
      </c>
      <c r="C60" s="65">
        <v>3.6</v>
      </c>
      <c r="D60" s="65">
        <v>3.6</v>
      </c>
      <c r="E60" s="65">
        <v>3.6</v>
      </c>
      <c r="F60" s="65">
        <v>3.6</v>
      </c>
      <c r="G60" s="65">
        <v>3.6</v>
      </c>
      <c r="H60" s="65">
        <v>3.6</v>
      </c>
      <c r="I60" s="65">
        <v>3.6</v>
      </c>
      <c r="J60" s="65">
        <v>3.6</v>
      </c>
      <c r="K60" s="65">
        <v>3.6</v>
      </c>
      <c r="L60" s="65">
        <v>3.6</v>
      </c>
      <c r="M60" s="65">
        <v>3.6</v>
      </c>
      <c r="N60" s="65"/>
      <c r="O60" s="65"/>
      <c r="P60" s="65"/>
      <c r="Q60" s="65"/>
      <c r="R60" s="65"/>
      <c r="S60" s="65"/>
      <c r="T60" s="4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6.2</v>
      </c>
      <c r="AH60" s="48">
        <f t="shared" si="2"/>
        <v>3.6</v>
      </c>
      <c r="AI60" s="49">
        <f t="shared" si="3"/>
        <v>3.6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7">SUM(B49:B61)</f>
        <v>148.33999999999997</v>
      </c>
      <c r="C62" s="61">
        <f t="shared" si="7"/>
        <v>148.33999999999997</v>
      </c>
      <c r="D62" s="61">
        <f t="shared" si="7"/>
        <v>129.33999999999997</v>
      </c>
      <c r="E62" s="61">
        <f t="shared" si="7"/>
        <v>134.83999999999997</v>
      </c>
      <c r="F62" s="61">
        <f t="shared" si="7"/>
        <v>159.33999999999997</v>
      </c>
      <c r="G62" s="61">
        <f t="shared" si="7"/>
        <v>159.33999999999997</v>
      </c>
      <c r="H62" s="61">
        <f t="shared" si="7"/>
        <v>207.33999999999997</v>
      </c>
      <c r="I62" s="61">
        <f t="shared" si="7"/>
        <v>338.84000000000009</v>
      </c>
      <c r="J62" s="61">
        <f t="shared" si="7"/>
        <v>360.24000000000007</v>
      </c>
      <c r="K62" s="61">
        <f t="shared" si="7"/>
        <v>397.54000000000008</v>
      </c>
      <c r="L62" s="61">
        <f t="shared" si="7"/>
        <v>395.54000000000008</v>
      </c>
      <c r="M62" s="61">
        <f t="shared" si="7"/>
        <v>395.54000000000008</v>
      </c>
      <c r="N62" s="61">
        <f t="shared" si="7"/>
        <v>3.54</v>
      </c>
      <c r="O62" s="61">
        <f t="shared" si="7"/>
        <v>3.54</v>
      </c>
      <c r="P62" s="61">
        <f t="shared" si="7"/>
        <v>3.54</v>
      </c>
      <c r="Q62" s="61">
        <f t="shared" si="7"/>
        <v>3.54</v>
      </c>
      <c r="R62" s="61">
        <f t="shared" si="7"/>
        <v>3.54</v>
      </c>
      <c r="S62" s="61">
        <f t="shared" si="7"/>
        <v>3.54</v>
      </c>
      <c r="T62" s="61">
        <f t="shared" si="7"/>
        <v>3.54</v>
      </c>
      <c r="U62" s="61">
        <f t="shared" si="7"/>
        <v>3.54</v>
      </c>
      <c r="V62" s="61">
        <f t="shared" si="7"/>
        <v>3.54</v>
      </c>
      <c r="W62" s="61">
        <f t="shared" si="7"/>
        <v>3.54</v>
      </c>
      <c r="X62" s="61">
        <f t="shared" si="7"/>
        <v>3.54</v>
      </c>
      <c r="Y62" s="61">
        <f t="shared" si="7"/>
        <v>3.54</v>
      </c>
      <c r="Z62" s="61">
        <f t="shared" si="7"/>
        <v>3.54</v>
      </c>
      <c r="AA62" s="61">
        <f t="shared" si="7"/>
        <v>3.54</v>
      </c>
      <c r="AB62" s="61">
        <f t="shared" si="7"/>
        <v>3.54</v>
      </c>
      <c r="AC62" s="61">
        <f t="shared" si="7"/>
        <v>3.54</v>
      </c>
      <c r="AD62" s="61">
        <f t="shared" si="7"/>
        <v>3.54</v>
      </c>
      <c r="AE62" s="61">
        <f t="shared" si="7"/>
        <v>3.54</v>
      </c>
      <c r="AF62" s="61">
        <f t="shared" si="7"/>
        <v>3.54</v>
      </c>
      <c r="AG62" s="62">
        <f t="shared" si="7"/>
        <v>489.91</v>
      </c>
      <c r="AH62" s="48">
        <f t="shared" si="2"/>
        <v>397.54000000000008</v>
      </c>
      <c r="AI62" s="49">
        <f t="shared" si="3"/>
        <v>3.54</v>
      </c>
      <c r="AK62" s="50"/>
    </row>
    <row r="63" spans="1:41" x14ac:dyDescent="0.25">
      <c r="A63" s="44" t="s">
        <v>67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61</v>
      </c>
      <c r="L63" s="45">
        <v>59.1</v>
      </c>
      <c r="M63" s="45">
        <v>58.8</v>
      </c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60</v>
      </c>
      <c r="AH63" s="48">
        <f t="shared" si="2"/>
        <v>61</v>
      </c>
      <c r="AI63" s="49">
        <f t="shared" si="3"/>
        <v>0</v>
      </c>
      <c r="AK63" s="50"/>
    </row>
    <row r="64" spans="1:41" x14ac:dyDescent="0.25">
      <c r="A64" s="54" t="s">
        <v>68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14.5</v>
      </c>
      <c r="L64" s="65">
        <v>27.4</v>
      </c>
      <c r="M64" s="65">
        <v>26.2</v>
      </c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55">
        <v>32</v>
      </c>
      <c r="AH64" s="48">
        <f t="shared" si="2"/>
        <v>27.4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5.5</v>
      </c>
      <c r="L65" s="67">
        <v>10</v>
      </c>
      <c r="M65" s="67">
        <v>9.6</v>
      </c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8">
        <v>14</v>
      </c>
      <c r="AH65" s="48">
        <f t="shared" si="2"/>
        <v>10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8">SUM(B63:B65)</f>
        <v>0</v>
      </c>
      <c r="C66" s="61">
        <f t="shared" si="8"/>
        <v>0</v>
      </c>
      <c r="D66" s="61">
        <f t="shared" si="8"/>
        <v>0</v>
      </c>
      <c r="E66" s="61">
        <f t="shared" si="8"/>
        <v>0</v>
      </c>
      <c r="F66" s="61">
        <f t="shared" si="8"/>
        <v>0</v>
      </c>
      <c r="G66" s="61">
        <f t="shared" si="8"/>
        <v>0</v>
      </c>
      <c r="H66" s="61">
        <f t="shared" si="8"/>
        <v>0</v>
      </c>
      <c r="I66" s="61">
        <f t="shared" si="8"/>
        <v>0</v>
      </c>
      <c r="J66" s="61">
        <f t="shared" si="8"/>
        <v>0</v>
      </c>
      <c r="K66" s="61">
        <f t="shared" si="8"/>
        <v>81</v>
      </c>
      <c r="L66" s="61">
        <f t="shared" si="8"/>
        <v>96.5</v>
      </c>
      <c r="M66" s="61">
        <f t="shared" si="8"/>
        <v>94.6</v>
      </c>
      <c r="N66" s="61">
        <f t="shared" si="8"/>
        <v>0</v>
      </c>
      <c r="O66" s="61">
        <f t="shared" si="8"/>
        <v>0</v>
      </c>
      <c r="P66" s="61">
        <f t="shared" si="8"/>
        <v>0</v>
      </c>
      <c r="Q66" s="61">
        <f t="shared" si="8"/>
        <v>0</v>
      </c>
      <c r="R66" s="61">
        <f t="shared" si="8"/>
        <v>0</v>
      </c>
      <c r="S66" s="61">
        <f t="shared" si="8"/>
        <v>0</v>
      </c>
      <c r="T66" s="61">
        <f t="shared" si="8"/>
        <v>0</v>
      </c>
      <c r="U66" s="61">
        <f t="shared" si="8"/>
        <v>0</v>
      </c>
      <c r="V66" s="61">
        <f t="shared" si="8"/>
        <v>0</v>
      </c>
      <c r="W66" s="61">
        <f t="shared" si="8"/>
        <v>0</v>
      </c>
      <c r="X66" s="61">
        <f t="shared" si="8"/>
        <v>0</v>
      </c>
      <c r="Y66" s="61">
        <f t="shared" si="8"/>
        <v>0</v>
      </c>
      <c r="Z66" s="61">
        <f t="shared" si="8"/>
        <v>0</v>
      </c>
      <c r="AA66" s="61">
        <f t="shared" si="8"/>
        <v>0</v>
      </c>
      <c r="AB66" s="61">
        <f t="shared" si="8"/>
        <v>0</v>
      </c>
      <c r="AC66" s="61">
        <f t="shared" si="8"/>
        <v>0</v>
      </c>
      <c r="AD66" s="61">
        <f t="shared" si="8"/>
        <v>0</v>
      </c>
      <c r="AE66" s="61">
        <f t="shared" si="8"/>
        <v>0</v>
      </c>
      <c r="AF66" s="61">
        <f t="shared" si="8"/>
        <v>0</v>
      </c>
      <c r="AG66" s="62">
        <f t="shared" si="8"/>
        <v>106</v>
      </c>
      <c r="AH66" s="48">
        <f t="shared" si="2"/>
        <v>96.5</v>
      </c>
      <c r="AI66" s="49">
        <f t="shared" si="3"/>
        <v>0</v>
      </c>
      <c r="AK66" s="50"/>
    </row>
    <row r="67" spans="1:37" x14ac:dyDescent="0.25">
      <c r="A67" s="44" t="s">
        <v>71</v>
      </c>
      <c r="B67" s="45">
        <v>58</v>
      </c>
      <c r="C67" s="45">
        <v>55</v>
      </c>
      <c r="D67" s="45">
        <v>59</v>
      </c>
      <c r="E67" s="45">
        <v>63</v>
      </c>
      <c r="F67" s="45">
        <v>58</v>
      </c>
      <c r="G67" s="45">
        <v>58.3</v>
      </c>
      <c r="H67" s="45">
        <v>65</v>
      </c>
      <c r="I67" s="45">
        <v>46</v>
      </c>
      <c r="J67" s="45">
        <v>54.9</v>
      </c>
      <c r="K67" s="45">
        <v>0</v>
      </c>
      <c r="L67" s="45">
        <v>0</v>
      </c>
      <c r="M67" s="45">
        <v>0</v>
      </c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2"/>
      <c r="AH67" s="48">
        <f t="shared" si="2"/>
        <v>65</v>
      </c>
      <c r="AI67" s="49">
        <f t="shared" si="3"/>
        <v>0</v>
      </c>
      <c r="AK67" s="50"/>
    </row>
    <row r="68" spans="1:37" x14ac:dyDescent="0.25">
      <c r="A68" s="54" t="s">
        <v>72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>
        <v>107</v>
      </c>
      <c r="C69" s="65">
        <v>102</v>
      </c>
      <c r="D69" s="65">
        <v>112</v>
      </c>
      <c r="E69" s="65">
        <v>115</v>
      </c>
      <c r="F69" s="65">
        <v>115</v>
      </c>
      <c r="G69" s="65">
        <v>113.5</v>
      </c>
      <c r="H69" s="65">
        <v>113.3</v>
      </c>
      <c r="I69" s="65">
        <v>45</v>
      </c>
      <c r="J69" s="65">
        <v>0</v>
      </c>
      <c r="K69" s="65">
        <v>-100</v>
      </c>
      <c r="L69" s="65">
        <v>-101</v>
      </c>
      <c r="M69" s="65">
        <v>-74.900000000000006</v>
      </c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75"/>
      <c r="AH69" s="48">
        <f t="shared" si="2"/>
        <v>115</v>
      </c>
      <c r="AI69" s="49">
        <f t="shared" si="3"/>
        <v>-101</v>
      </c>
      <c r="AK69" s="50"/>
    </row>
    <row r="70" spans="1:37" x14ac:dyDescent="0.25">
      <c r="A70" s="54" t="s">
        <v>74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6">
        <v>0</v>
      </c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6">
        <v>0</v>
      </c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9">
        <v>0</v>
      </c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9">
        <v>0</v>
      </c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9">SUMIF(B67:B77,"&gt;0")</f>
        <v>165</v>
      </c>
      <c r="C78" s="61">
        <f t="shared" si="9"/>
        <v>157</v>
      </c>
      <c r="D78" s="61">
        <f t="shared" si="9"/>
        <v>171</v>
      </c>
      <c r="E78" s="61">
        <f t="shared" si="9"/>
        <v>178</v>
      </c>
      <c r="F78" s="61">
        <f t="shared" si="9"/>
        <v>173</v>
      </c>
      <c r="G78" s="61">
        <f t="shared" si="9"/>
        <v>171.8</v>
      </c>
      <c r="H78" s="61">
        <f t="shared" si="9"/>
        <v>178.3</v>
      </c>
      <c r="I78" s="61">
        <f t="shared" si="9"/>
        <v>91</v>
      </c>
      <c r="J78" s="61">
        <f t="shared" si="9"/>
        <v>54.9</v>
      </c>
      <c r="K78" s="61">
        <f t="shared" si="9"/>
        <v>0</v>
      </c>
      <c r="L78" s="61">
        <f t="shared" si="9"/>
        <v>0</v>
      </c>
      <c r="M78" s="61">
        <f t="shared" si="9"/>
        <v>0</v>
      </c>
      <c r="N78" s="61">
        <f t="shared" si="9"/>
        <v>0</v>
      </c>
      <c r="O78" s="61">
        <f t="shared" si="9"/>
        <v>0</v>
      </c>
      <c r="P78" s="61">
        <f t="shared" si="9"/>
        <v>0</v>
      </c>
      <c r="Q78" s="61">
        <f t="shared" si="9"/>
        <v>0</v>
      </c>
      <c r="R78" s="61">
        <f t="shared" si="9"/>
        <v>0</v>
      </c>
      <c r="S78" s="61">
        <f t="shared" si="9"/>
        <v>0</v>
      </c>
      <c r="T78" s="61">
        <f t="shared" si="9"/>
        <v>0</v>
      </c>
      <c r="U78" s="61">
        <f t="shared" si="9"/>
        <v>0</v>
      </c>
      <c r="V78" s="61">
        <f t="shared" si="9"/>
        <v>0</v>
      </c>
      <c r="W78" s="61">
        <f t="shared" si="9"/>
        <v>0</v>
      </c>
      <c r="X78" s="61">
        <f t="shared" si="9"/>
        <v>0</v>
      </c>
      <c r="Y78" s="61">
        <f t="shared" si="9"/>
        <v>0</v>
      </c>
      <c r="Z78" s="61">
        <f t="shared" si="9"/>
        <v>0</v>
      </c>
      <c r="AA78" s="61">
        <f t="shared" si="9"/>
        <v>0</v>
      </c>
      <c r="AB78" s="61">
        <f t="shared" si="9"/>
        <v>0</v>
      </c>
      <c r="AC78" s="61">
        <f t="shared" si="9"/>
        <v>0</v>
      </c>
      <c r="AD78" s="61">
        <f t="shared" si="9"/>
        <v>0</v>
      </c>
      <c r="AE78" s="61">
        <f t="shared" si="9"/>
        <v>0</v>
      </c>
      <c r="AF78" s="61">
        <f t="shared" si="9"/>
        <v>0</v>
      </c>
      <c r="AG78" s="81">
        <f>SUM(AG67:AG77)</f>
        <v>0</v>
      </c>
      <c r="AH78" s="48">
        <f t="shared" si="2"/>
        <v>178.3</v>
      </c>
      <c r="AI78" s="49">
        <f t="shared" si="3"/>
        <v>0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>
        <v>14.4</v>
      </c>
      <c r="AH80" s="48">
        <f t="shared" ref="AH80:AH113" si="10">MAX(B80:AF80)</f>
        <v>0</v>
      </c>
      <c r="AI80" s="49">
        <f t="shared" ref="AI80:AI113" si="11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>
        <v>0</v>
      </c>
      <c r="N81" s="79">
        <v>0</v>
      </c>
      <c r="O81" s="79">
        <v>0</v>
      </c>
      <c r="P81" s="79">
        <v>0</v>
      </c>
      <c r="Q81" s="79">
        <v>0</v>
      </c>
      <c r="R81" s="79">
        <v>0</v>
      </c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80">
        <v>2</v>
      </c>
      <c r="AH81" s="48">
        <f t="shared" si="10"/>
        <v>0</v>
      </c>
      <c r="AI81" s="49">
        <f t="shared" si="11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0"/>
        <v>0</v>
      </c>
      <c r="AI82" s="49">
        <f t="shared" si="11"/>
        <v>0</v>
      </c>
    </row>
    <row r="83" spans="1:37" ht="15.75" thickBot="1" x14ac:dyDescent="0.3">
      <c r="A83" s="74" t="s">
        <v>87</v>
      </c>
      <c r="B83" s="83">
        <f t="shared" ref="B83:AG83" si="12">B44+B48+B66+B62+B78+B82</f>
        <v>952.84000000000015</v>
      </c>
      <c r="C83" s="83">
        <f t="shared" si="12"/>
        <v>944.84000000000015</v>
      </c>
      <c r="D83" s="83">
        <f t="shared" si="12"/>
        <v>939.84000000000015</v>
      </c>
      <c r="E83" s="83">
        <f t="shared" si="12"/>
        <v>953.83999999999992</v>
      </c>
      <c r="F83" s="83">
        <f t="shared" si="12"/>
        <v>973.33999999999992</v>
      </c>
      <c r="G83" s="83">
        <f t="shared" si="12"/>
        <v>992.13999999999987</v>
      </c>
      <c r="H83" s="83">
        <f t="shared" si="12"/>
        <v>1031.6399999999999</v>
      </c>
      <c r="I83" s="83">
        <f t="shared" si="12"/>
        <v>1185.8400000000001</v>
      </c>
      <c r="J83" s="83">
        <f t="shared" si="12"/>
        <v>1171.1400000000001</v>
      </c>
      <c r="K83" s="83">
        <f t="shared" si="12"/>
        <v>1524.54</v>
      </c>
      <c r="L83" s="83">
        <f t="shared" si="12"/>
        <v>1538.04</v>
      </c>
      <c r="M83" s="83">
        <f t="shared" si="12"/>
        <v>1587.7399999999998</v>
      </c>
      <c r="N83" s="83">
        <f t="shared" si="12"/>
        <v>203.54</v>
      </c>
      <c r="O83" s="83">
        <f t="shared" si="12"/>
        <v>203.54</v>
      </c>
      <c r="P83" s="83">
        <f t="shared" si="12"/>
        <v>203.54</v>
      </c>
      <c r="Q83" s="83">
        <f t="shared" si="12"/>
        <v>203.54</v>
      </c>
      <c r="R83" s="83">
        <f t="shared" si="12"/>
        <v>203.54</v>
      </c>
      <c r="S83" s="83">
        <f t="shared" si="12"/>
        <v>203.54</v>
      </c>
      <c r="T83" s="83">
        <f t="shared" si="12"/>
        <v>203.54</v>
      </c>
      <c r="U83" s="83">
        <f t="shared" si="12"/>
        <v>203.54</v>
      </c>
      <c r="V83" s="83">
        <f t="shared" si="12"/>
        <v>203.54</v>
      </c>
      <c r="W83" s="83">
        <f t="shared" si="12"/>
        <v>203.54</v>
      </c>
      <c r="X83" s="83">
        <f t="shared" si="12"/>
        <v>203.54</v>
      </c>
      <c r="Y83" s="83">
        <f t="shared" si="12"/>
        <v>203.54</v>
      </c>
      <c r="Z83" s="83">
        <f t="shared" si="12"/>
        <v>203.54</v>
      </c>
      <c r="AA83" s="83">
        <f t="shared" si="12"/>
        <v>203.54</v>
      </c>
      <c r="AB83" s="83">
        <f t="shared" si="12"/>
        <v>203.54</v>
      </c>
      <c r="AC83" s="83">
        <f t="shared" si="12"/>
        <v>203.54</v>
      </c>
      <c r="AD83" s="83">
        <f t="shared" si="12"/>
        <v>203.54</v>
      </c>
      <c r="AE83" s="83">
        <f t="shared" si="12"/>
        <v>203.54</v>
      </c>
      <c r="AF83" s="83">
        <f t="shared" si="12"/>
        <v>203.54</v>
      </c>
      <c r="AG83" s="62">
        <f t="shared" si="12"/>
        <v>2004.1900000000003</v>
      </c>
      <c r="AH83" s="48">
        <f t="shared" si="10"/>
        <v>1587.7399999999998</v>
      </c>
      <c r="AI83" s="49">
        <f t="shared" si="11"/>
        <v>203.54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0"/>
        <v>0</v>
      </c>
      <c r="AI84" s="49">
        <f t="shared" si="11"/>
        <v>0</v>
      </c>
    </row>
    <row r="85" spans="1:37" ht="15.75" thickBot="1" x14ac:dyDescent="0.3">
      <c r="A85" s="74" t="s">
        <v>89</v>
      </c>
      <c r="B85" s="83">
        <f t="shared" ref="B85:AF85" si="13">B83+B84</f>
        <v>952.84000000000015</v>
      </c>
      <c r="C85" s="83">
        <f t="shared" si="13"/>
        <v>944.84000000000015</v>
      </c>
      <c r="D85" s="83">
        <f t="shared" si="13"/>
        <v>939.84000000000015</v>
      </c>
      <c r="E85" s="83">
        <f t="shared" si="13"/>
        <v>953.83999999999992</v>
      </c>
      <c r="F85" s="83">
        <f t="shared" si="13"/>
        <v>973.33999999999992</v>
      </c>
      <c r="G85" s="83">
        <f t="shared" si="13"/>
        <v>992.13999999999987</v>
      </c>
      <c r="H85" s="83">
        <f t="shared" si="13"/>
        <v>1031.6399999999999</v>
      </c>
      <c r="I85" s="83">
        <f t="shared" si="13"/>
        <v>1185.8400000000001</v>
      </c>
      <c r="J85" s="83">
        <f t="shared" si="13"/>
        <v>1171.1400000000001</v>
      </c>
      <c r="K85" s="83">
        <f t="shared" si="13"/>
        <v>1524.54</v>
      </c>
      <c r="L85" s="83">
        <f t="shared" si="13"/>
        <v>1538.04</v>
      </c>
      <c r="M85" s="83">
        <f t="shared" si="13"/>
        <v>1587.7399999999998</v>
      </c>
      <c r="N85" s="83">
        <f t="shared" si="13"/>
        <v>203.54</v>
      </c>
      <c r="O85" s="83">
        <f t="shared" si="13"/>
        <v>203.54</v>
      </c>
      <c r="P85" s="83">
        <f t="shared" si="13"/>
        <v>203.54</v>
      </c>
      <c r="Q85" s="83">
        <f t="shared" si="13"/>
        <v>203.54</v>
      </c>
      <c r="R85" s="83">
        <f t="shared" si="13"/>
        <v>203.54</v>
      </c>
      <c r="S85" s="83">
        <f t="shared" si="13"/>
        <v>203.54</v>
      </c>
      <c r="T85" s="83">
        <f t="shared" si="13"/>
        <v>203.54</v>
      </c>
      <c r="U85" s="83">
        <f t="shared" si="13"/>
        <v>203.54</v>
      </c>
      <c r="V85" s="83">
        <f t="shared" si="13"/>
        <v>203.54</v>
      </c>
      <c r="W85" s="83">
        <f t="shared" si="13"/>
        <v>203.54</v>
      </c>
      <c r="X85" s="83">
        <f t="shared" si="13"/>
        <v>203.54</v>
      </c>
      <c r="Y85" s="83">
        <f t="shared" si="13"/>
        <v>203.54</v>
      </c>
      <c r="Z85" s="83">
        <f t="shared" si="13"/>
        <v>203.54</v>
      </c>
      <c r="AA85" s="83">
        <f t="shared" si="13"/>
        <v>203.54</v>
      </c>
      <c r="AB85" s="83">
        <f t="shared" si="13"/>
        <v>203.54</v>
      </c>
      <c r="AC85" s="83">
        <f t="shared" si="13"/>
        <v>203.54</v>
      </c>
      <c r="AD85" s="83">
        <f t="shared" si="13"/>
        <v>203.54</v>
      </c>
      <c r="AE85" s="83">
        <f t="shared" si="13"/>
        <v>203.54</v>
      </c>
      <c r="AF85" s="83">
        <f t="shared" si="13"/>
        <v>203.54</v>
      </c>
      <c r="AG85" s="81">
        <f>AG82+AG78+AG66+AG62+AG44+AG84</f>
        <v>1466.0900000000001</v>
      </c>
      <c r="AH85" s="48">
        <f t="shared" si="10"/>
        <v>1587.7399999999998</v>
      </c>
      <c r="AI85" s="49">
        <f t="shared" si="11"/>
        <v>203.54</v>
      </c>
    </row>
    <row r="86" spans="1:37" ht="15.75" thickBot="1" x14ac:dyDescent="0.3">
      <c r="A86" s="74" t="s">
        <v>90</v>
      </c>
      <c r="B86" s="83">
        <f t="shared" ref="B86:AF86" si="14">B85-B93</f>
        <v>952.84000000000015</v>
      </c>
      <c r="C86" s="83">
        <f t="shared" si="14"/>
        <v>944.84000000000015</v>
      </c>
      <c r="D86" s="83">
        <f t="shared" si="14"/>
        <v>939.84000000000015</v>
      </c>
      <c r="E86" s="83">
        <f t="shared" si="14"/>
        <v>953.83999999999992</v>
      </c>
      <c r="F86" s="83">
        <f t="shared" si="14"/>
        <v>973.33999999999992</v>
      </c>
      <c r="G86" s="83">
        <f t="shared" si="14"/>
        <v>992.13999999999987</v>
      </c>
      <c r="H86" s="83">
        <f t="shared" si="14"/>
        <v>1031.6399999999999</v>
      </c>
      <c r="I86" s="83">
        <f t="shared" si="14"/>
        <v>1185.8400000000001</v>
      </c>
      <c r="J86" s="83">
        <f t="shared" si="14"/>
        <v>1171.1400000000001</v>
      </c>
      <c r="K86" s="83">
        <f t="shared" si="14"/>
        <v>1424.54</v>
      </c>
      <c r="L86" s="83">
        <f t="shared" si="14"/>
        <v>1437.04</v>
      </c>
      <c r="M86" s="83">
        <f t="shared" si="14"/>
        <v>1512.8399999999997</v>
      </c>
      <c r="N86" s="83">
        <f t="shared" si="14"/>
        <v>203.54</v>
      </c>
      <c r="O86" s="83">
        <f t="shared" si="14"/>
        <v>203.54</v>
      </c>
      <c r="P86" s="83">
        <f t="shared" si="14"/>
        <v>203.54</v>
      </c>
      <c r="Q86" s="83">
        <f t="shared" si="14"/>
        <v>203.54</v>
      </c>
      <c r="R86" s="83">
        <f t="shared" si="14"/>
        <v>203.54</v>
      </c>
      <c r="S86" s="83">
        <f t="shared" si="14"/>
        <v>203.54</v>
      </c>
      <c r="T86" s="83">
        <f t="shared" si="14"/>
        <v>203.54</v>
      </c>
      <c r="U86" s="83">
        <f t="shared" si="14"/>
        <v>203.54</v>
      </c>
      <c r="V86" s="83">
        <f t="shared" si="14"/>
        <v>203.54</v>
      </c>
      <c r="W86" s="83">
        <f t="shared" si="14"/>
        <v>203.54</v>
      </c>
      <c r="X86" s="83">
        <f t="shared" si="14"/>
        <v>203.54</v>
      </c>
      <c r="Y86" s="83">
        <f t="shared" si="14"/>
        <v>203.54</v>
      </c>
      <c r="Z86" s="83">
        <f t="shared" si="14"/>
        <v>203.54</v>
      </c>
      <c r="AA86" s="83">
        <f t="shared" si="14"/>
        <v>203.54</v>
      </c>
      <c r="AB86" s="83">
        <f t="shared" si="14"/>
        <v>203.54</v>
      </c>
      <c r="AC86" s="83">
        <f t="shared" si="14"/>
        <v>203.54</v>
      </c>
      <c r="AD86" s="83">
        <f t="shared" si="14"/>
        <v>203.54</v>
      </c>
      <c r="AE86" s="83">
        <f t="shared" si="14"/>
        <v>203.54</v>
      </c>
      <c r="AF86" s="83">
        <f t="shared" si="14"/>
        <v>203.54</v>
      </c>
      <c r="AG86" s="81"/>
      <c r="AH86" s="48">
        <f t="shared" si="10"/>
        <v>1512.8399999999997</v>
      </c>
      <c r="AI86" s="49">
        <f t="shared" si="11"/>
        <v>203.54</v>
      </c>
    </row>
    <row r="87" spans="1:37" x14ac:dyDescent="0.25">
      <c r="A87" s="44" t="s">
        <v>74</v>
      </c>
      <c r="B87" s="76">
        <f t="shared" ref="B87:AF87" si="15">IF(B70&lt;0,B70*-1,0)</f>
        <v>0</v>
      </c>
      <c r="C87" s="76">
        <f t="shared" si="15"/>
        <v>0</v>
      </c>
      <c r="D87" s="76">
        <f t="shared" si="15"/>
        <v>0</v>
      </c>
      <c r="E87" s="76">
        <f t="shared" si="15"/>
        <v>0</v>
      </c>
      <c r="F87" s="76">
        <f t="shared" si="15"/>
        <v>0</v>
      </c>
      <c r="G87" s="76">
        <f t="shared" si="15"/>
        <v>0</v>
      </c>
      <c r="H87" s="76">
        <f t="shared" si="15"/>
        <v>0</v>
      </c>
      <c r="I87" s="76">
        <f t="shared" si="15"/>
        <v>0</v>
      </c>
      <c r="J87" s="76">
        <f t="shared" si="15"/>
        <v>0</v>
      </c>
      <c r="K87" s="76">
        <f t="shared" si="15"/>
        <v>0</v>
      </c>
      <c r="L87" s="76">
        <f t="shared" si="15"/>
        <v>0</v>
      </c>
      <c r="M87" s="76">
        <f t="shared" si="15"/>
        <v>0</v>
      </c>
      <c r="N87" s="76">
        <f t="shared" si="15"/>
        <v>0</v>
      </c>
      <c r="O87" s="76">
        <f t="shared" si="15"/>
        <v>0</v>
      </c>
      <c r="P87" s="76">
        <f t="shared" si="15"/>
        <v>0</v>
      </c>
      <c r="Q87" s="76">
        <f t="shared" si="15"/>
        <v>0</v>
      </c>
      <c r="R87" s="76">
        <f t="shared" si="15"/>
        <v>0</v>
      </c>
      <c r="S87" s="76">
        <f t="shared" si="15"/>
        <v>0</v>
      </c>
      <c r="T87" s="76">
        <f t="shared" si="15"/>
        <v>0</v>
      </c>
      <c r="U87" s="76">
        <f t="shared" si="15"/>
        <v>0</v>
      </c>
      <c r="V87" s="76">
        <f t="shared" si="15"/>
        <v>0</v>
      </c>
      <c r="W87" s="76">
        <f t="shared" si="15"/>
        <v>0</v>
      </c>
      <c r="X87" s="76">
        <f t="shared" si="15"/>
        <v>0</v>
      </c>
      <c r="Y87" s="76">
        <f t="shared" si="15"/>
        <v>0</v>
      </c>
      <c r="Z87" s="76">
        <f t="shared" si="15"/>
        <v>0</v>
      </c>
      <c r="AA87" s="76">
        <f t="shared" si="15"/>
        <v>0</v>
      </c>
      <c r="AB87" s="76">
        <f t="shared" si="15"/>
        <v>0</v>
      </c>
      <c r="AC87" s="76">
        <f t="shared" si="15"/>
        <v>0</v>
      </c>
      <c r="AD87" s="76">
        <f t="shared" si="15"/>
        <v>0</v>
      </c>
      <c r="AE87" s="76">
        <f t="shared" si="15"/>
        <v>0</v>
      </c>
      <c r="AF87" s="76">
        <f t="shared" si="15"/>
        <v>0</v>
      </c>
      <c r="AG87" s="52"/>
      <c r="AH87" s="48">
        <f t="shared" si="10"/>
        <v>0</v>
      </c>
      <c r="AI87" s="49">
        <f t="shared" si="11"/>
        <v>0</v>
      </c>
    </row>
    <row r="88" spans="1:37" x14ac:dyDescent="0.25">
      <c r="A88" s="54" t="s">
        <v>72</v>
      </c>
      <c r="B88" s="76">
        <f t="shared" ref="B88:AF88" si="16">IF(B68&lt;0,B68*-1,0)</f>
        <v>0</v>
      </c>
      <c r="C88" s="76">
        <f t="shared" si="16"/>
        <v>0</v>
      </c>
      <c r="D88" s="76">
        <f t="shared" si="16"/>
        <v>0</v>
      </c>
      <c r="E88" s="76">
        <f t="shared" si="16"/>
        <v>0</v>
      </c>
      <c r="F88" s="76">
        <f t="shared" si="16"/>
        <v>0</v>
      </c>
      <c r="G88" s="76">
        <f t="shared" si="16"/>
        <v>0</v>
      </c>
      <c r="H88" s="76">
        <f t="shared" si="16"/>
        <v>0</v>
      </c>
      <c r="I88" s="76">
        <f t="shared" si="16"/>
        <v>0</v>
      </c>
      <c r="J88" s="76">
        <f t="shared" si="16"/>
        <v>0</v>
      </c>
      <c r="K88" s="76">
        <f t="shared" si="16"/>
        <v>0</v>
      </c>
      <c r="L88" s="76">
        <f t="shared" si="16"/>
        <v>0</v>
      </c>
      <c r="M88" s="76">
        <f t="shared" si="16"/>
        <v>0</v>
      </c>
      <c r="N88" s="76">
        <f t="shared" si="16"/>
        <v>0</v>
      </c>
      <c r="O88" s="76">
        <f t="shared" si="16"/>
        <v>0</v>
      </c>
      <c r="P88" s="76">
        <f t="shared" si="16"/>
        <v>0</v>
      </c>
      <c r="Q88" s="76">
        <f t="shared" si="16"/>
        <v>0</v>
      </c>
      <c r="R88" s="76">
        <f t="shared" si="16"/>
        <v>0</v>
      </c>
      <c r="S88" s="76">
        <f t="shared" si="16"/>
        <v>0</v>
      </c>
      <c r="T88" s="76">
        <f t="shared" si="16"/>
        <v>0</v>
      </c>
      <c r="U88" s="76">
        <f t="shared" si="16"/>
        <v>0</v>
      </c>
      <c r="V88" s="76">
        <f t="shared" si="16"/>
        <v>0</v>
      </c>
      <c r="W88" s="76">
        <f t="shared" si="16"/>
        <v>0</v>
      </c>
      <c r="X88" s="76">
        <f t="shared" si="16"/>
        <v>0</v>
      </c>
      <c r="Y88" s="76">
        <f t="shared" si="16"/>
        <v>0</v>
      </c>
      <c r="Z88" s="76">
        <f t="shared" si="16"/>
        <v>0</v>
      </c>
      <c r="AA88" s="76">
        <f t="shared" si="16"/>
        <v>0</v>
      </c>
      <c r="AB88" s="76">
        <f t="shared" si="16"/>
        <v>0</v>
      </c>
      <c r="AC88" s="76">
        <f t="shared" si="16"/>
        <v>0</v>
      </c>
      <c r="AD88" s="76">
        <f t="shared" si="16"/>
        <v>0</v>
      </c>
      <c r="AE88" s="76">
        <f t="shared" si="16"/>
        <v>0</v>
      </c>
      <c r="AF88" s="76">
        <f t="shared" si="16"/>
        <v>0</v>
      </c>
      <c r="AG88" s="55"/>
      <c r="AH88" s="48">
        <f t="shared" si="10"/>
        <v>0</v>
      </c>
      <c r="AI88" s="49">
        <f t="shared" si="11"/>
        <v>0</v>
      </c>
    </row>
    <row r="89" spans="1:37" x14ac:dyDescent="0.25">
      <c r="A89" s="78" t="s">
        <v>91</v>
      </c>
      <c r="B89" s="76">
        <f t="shared" ref="B89:AF89" si="17">IF(B71&lt;0,B71*-1,0)</f>
        <v>0</v>
      </c>
      <c r="C89" s="76">
        <f t="shared" si="17"/>
        <v>0</v>
      </c>
      <c r="D89" s="76">
        <f t="shared" si="17"/>
        <v>0</v>
      </c>
      <c r="E89" s="76">
        <f t="shared" si="17"/>
        <v>0</v>
      </c>
      <c r="F89" s="76">
        <f t="shared" si="17"/>
        <v>0</v>
      </c>
      <c r="G89" s="76">
        <f t="shared" si="17"/>
        <v>0</v>
      </c>
      <c r="H89" s="76">
        <f t="shared" si="17"/>
        <v>0</v>
      </c>
      <c r="I89" s="76">
        <f t="shared" si="17"/>
        <v>0</v>
      </c>
      <c r="J89" s="76">
        <f t="shared" si="17"/>
        <v>0</v>
      </c>
      <c r="K89" s="76">
        <f t="shared" si="17"/>
        <v>0</v>
      </c>
      <c r="L89" s="76">
        <f t="shared" si="17"/>
        <v>0</v>
      </c>
      <c r="M89" s="76">
        <f t="shared" si="17"/>
        <v>0</v>
      </c>
      <c r="N89" s="76">
        <f t="shared" si="17"/>
        <v>0</v>
      </c>
      <c r="O89" s="76">
        <f t="shared" si="17"/>
        <v>0</v>
      </c>
      <c r="P89" s="76">
        <f t="shared" si="17"/>
        <v>0</v>
      </c>
      <c r="Q89" s="76">
        <f t="shared" si="17"/>
        <v>0</v>
      </c>
      <c r="R89" s="76">
        <f t="shared" si="17"/>
        <v>0</v>
      </c>
      <c r="S89" s="76">
        <f t="shared" si="17"/>
        <v>0</v>
      </c>
      <c r="T89" s="76">
        <f t="shared" si="17"/>
        <v>0</v>
      </c>
      <c r="U89" s="76">
        <f t="shared" si="17"/>
        <v>0</v>
      </c>
      <c r="V89" s="76">
        <f t="shared" si="17"/>
        <v>0</v>
      </c>
      <c r="W89" s="76">
        <f t="shared" si="17"/>
        <v>0</v>
      </c>
      <c r="X89" s="76">
        <f t="shared" si="17"/>
        <v>0</v>
      </c>
      <c r="Y89" s="76">
        <f t="shared" si="17"/>
        <v>0</v>
      </c>
      <c r="Z89" s="76">
        <f t="shared" si="17"/>
        <v>0</v>
      </c>
      <c r="AA89" s="76">
        <f t="shared" si="17"/>
        <v>0</v>
      </c>
      <c r="AB89" s="76">
        <f t="shared" si="17"/>
        <v>0</v>
      </c>
      <c r="AC89" s="76">
        <f t="shared" si="17"/>
        <v>0</v>
      </c>
      <c r="AD89" s="76">
        <f t="shared" si="17"/>
        <v>0</v>
      </c>
      <c r="AE89" s="76">
        <f t="shared" si="17"/>
        <v>0</v>
      </c>
      <c r="AF89" s="76">
        <f t="shared" si="17"/>
        <v>0</v>
      </c>
      <c r="AG89" s="86"/>
      <c r="AH89" s="48">
        <f t="shared" si="10"/>
        <v>0</v>
      </c>
      <c r="AI89" s="49">
        <f t="shared" si="11"/>
        <v>0</v>
      </c>
    </row>
    <row r="90" spans="1:37" x14ac:dyDescent="0.25">
      <c r="A90" s="78" t="s">
        <v>92</v>
      </c>
      <c r="B90" s="76">
        <f t="shared" ref="B90:AF90" si="18">IF(B69&lt;0,B69*-1,0)</f>
        <v>0</v>
      </c>
      <c r="C90" s="76">
        <f t="shared" si="18"/>
        <v>0</v>
      </c>
      <c r="D90" s="76">
        <f t="shared" si="18"/>
        <v>0</v>
      </c>
      <c r="E90" s="76">
        <f t="shared" si="18"/>
        <v>0</v>
      </c>
      <c r="F90" s="76">
        <f t="shared" si="18"/>
        <v>0</v>
      </c>
      <c r="G90" s="76">
        <f t="shared" si="18"/>
        <v>0</v>
      </c>
      <c r="H90" s="76">
        <f t="shared" si="18"/>
        <v>0</v>
      </c>
      <c r="I90" s="76">
        <f t="shared" si="18"/>
        <v>0</v>
      </c>
      <c r="J90" s="76">
        <f t="shared" si="18"/>
        <v>0</v>
      </c>
      <c r="K90" s="76">
        <f t="shared" si="18"/>
        <v>100</v>
      </c>
      <c r="L90" s="76">
        <f t="shared" si="18"/>
        <v>101</v>
      </c>
      <c r="M90" s="76">
        <f t="shared" si="18"/>
        <v>74.900000000000006</v>
      </c>
      <c r="N90" s="76">
        <f t="shared" si="18"/>
        <v>0</v>
      </c>
      <c r="O90" s="76">
        <f t="shared" si="18"/>
        <v>0</v>
      </c>
      <c r="P90" s="76">
        <f t="shared" si="18"/>
        <v>0</v>
      </c>
      <c r="Q90" s="76">
        <f t="shared" si="18"/>
        <v>0</v>
      </c>
      <c r="R90" s="76">
        <f t="shared" si="18"/>
        <v>0</v>
      </c>
      <c r="S90" s="76">
        <f t="shared" si="18"/>
        <v>0</v>
      </c>
      <c r="T90" s="76">
        <f t="shared" si="18"/>
        <v>0</v>
      </c>
      <c r="U90" s="76">
        <f t="shared" si="18"/>
        <v>0</v>
      </c>
      <c r="V90" s="76">
        <f t="shared" si="18"/>
        <v>0</v>
      </c>
      <c r="W90" s="76">
        <f t="shared" si="18"/>
        <v>0</v>
      </c>
      <c r="X90" s="76">
        <f t="shared" si="18"/>
        <v>0</v>
      </c>
      <c r="Y90" s="76">
        <f t="shared" si="18"/>
        <v>0</v>
      </c>
      <c r="Z90" s="76">
        <f t="shared" si="18"/>
        <v>0</v>
      </c>
      <c r="AA90" s="76">
        <f t="shared" si="18"/>
        <v>0</v>
      </c>
      <c r="AB90" s="76">
        <f t="shared" si="18"/>
        <v>0</v>
      </c>
      <c r="AC90" s="76">
        <f t="shared" si="18"/>
        <v>0</v>
      </c>
      <c r="AD90" s="76">
        <f t="shared" si="18"/>
        <v>0</v>
      </c>
      <c r="AE90" s="76">
        <f t="shared" si="18"/>
        <v>0</v>
      </c>
      <c r="AF90" s="76">
        <f t="shared" si="18"/>
        <v>0</v>
      </c>
      <c r="AG90" s="86"/>
      <c r="AH90" s="48">
        <f t="shared" si="10"/>
        <v>101</v>
      </c>
      <c r="AI90" s="49">
        <f t="shared" si="11"/>
        <v>0</v>
      </c>
    </row>
    <row r="91" spans="1:37" x14ac:dyDescent="0.25">
      <c r="A91" s="78" t="s">
        <v>71</v>
      </c>
      <c r="B91" s="76">
        <f t="shared" ref="B91:AF91" si="19">IF(B67&lt;0,B67*-1,0)</f>
        <v>0</v>
      </c>
      <c r="C91" s="76">
        <f t="shared" si="19"/>
        <v>0</v>
      </c>
      <c r="D91" s="76">
        <f t="shared" si="19"/>
        <v>0</v>
      </c>
      <c r="E91" s="76">
        <f t="shared" si="19"/>
        <v>0</v>
      </c>
      <c r="F91" s="76">
        <f t="shared" si="19"/>
        <v>0</v>
      </c>
      <c r="G91" s="76">
        <f t="shared" si="19"/>
        <v>0</v>
      </c>
      <c r="H91" s="76">
        <f t="shared" si="19"/>
        <v>0</v>
      </c>
      <c r="I91" s="76">
        <f t="shared" si="19"/>
        <v>0</v>
      </c>
      <c r="J91" s="76">
        <f t="shared" si="19"/>
        <v>0</v>
      </c>
      <c r="K91" s="76">
        <f t="shared" si="19"/>
        <v>0</v>
      </c>
      <c r="L91" s="76">
        <f t="shared" si="19"/>
        <v>0</v>
      </c>
      <c r="M91" s="76">
        <f t="shared" si="19"/>
        <v>0</v>
      </c>
      <c r="N91" s="76">
        <f t="shared" si="19"/>
        <v>0</v>
      </c>
      <c r="O91" s="76">
        <f t="shared" si="19"/>
        <v>0</v>
      </c>
      <c r="P91" s="76">
        <f t="shared" si="19"/>
        <v>0</v>
      </c>
      <c r="Q91" s="76">
        <f t="shared" si="19"/>
        <v>0</v>
      </c>
      <c r="R91" s="76">
        <f t="shared" si="19"/>
        <v>0</v>
      </c>
      <c r="S91" s="76">
        <f t="shared" si="19"/>
        <v>0</v>
      </c>
      <c r="T91" s="76">
        <f t="shared" si="19"/>
        <v>0</v>
      </c>
      <c r="U91" s="76">
        <f t="shared" si="19"/>
        <v>0</v>
      </c>
      <c r="V91" s="76">
        <f t="shared" si="19"/>
        <v>0</v>
      </c>
      <c r="W91" s="76">
        <f t="shared" si="19"/>
        <v>0</v>
      </c>
      <c r="X91" s="76">
        <f t="shared" si="19"/>
        <v>0</v>
      </c>
      <c r="Y91" s="76">
        <f t="shared" si="19"/>
        <v>0</v>
      </c>
      <c r="Z91" s="76">
        <f t="shared" si="19"/>
        <v>0</v>
      </c>
      <c r="AA91" s="76">
        <f t="shared" si="19"/>
        <v>0</v>
      </c>
      <c r="AB91" s="76">
        <f t="shared" si="19"/>
        <v>0</v>
      </c>
      <c r="AC91" s="76">
        <f t="shared" si="19"/>
        <v>0</v>
      </c>
      <c r="AD91" s="76">
        <f t="shared" si="19"/>
        <v>0</v>
      </c>
      <c r="AE91" s="76">
        <f t="shared" si="19"/>
        <v>0</v>
      </c>
      <c r="AF91" s="76">
        <f t="shared" si="19"/>
        <v>0</v>
      </c>
      <c r="AG91" s="86"/>
      <c r="AH91" s="48">
        <f t="shared" si="10"/>
        <v>0</v>
      </c>
      <c r="AI91" s="49">
        <f t="shared" si="11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0"/>
        <v>0</v>
      </c>
      <c r="AI92" s="49">
        <f t="shared" si="11"/>
        <v>0</v>
      </c>
    </row>
    <row r="93" spans="1:37" ht="15.75" thickBot="1" x14ac:dyDescent="0.3">
      <c r="A93" s="87" t="s">
        <v>94</v>
      </c>
      <c r="B93" s="61">
        <f t="shared" ref="B93:AF93" si="20">SUM(B87:B92)</f>
        <v>0</v>
      </c>
      <c r="C93" s="61">
        <f t="shared" si="20"/>
        <v>0</v>
      </c>
      <c r="D93" s="61">
        <f t="shared" si="20"/>
        <v>0</v>
      </c>
      <c r="E93" s="61">
        <f t="shared" si="20"/>
        <v>0</v>
      </c>
      <c r="F93" s="61">
        <f t="shared" si="20"/>
        <v>0</v>
      </c>
      <c r="G93" s="61">
        <f t="shared" si="20"/>
        <v>0</v>
      </c>
      <c r="H93" s="61">
        <f t="shared" si="20"/>
        <v>0</v>
      </c>
      <c r="I93" s="61">
        <f t="shared" si="20"/>
        <v>0</v>
      </c>
      <c r="J93" s="61">
        <f t="shared" si="20"/>
        <v>0</v>
      </c>
      <c r="K93" s="61">
        <f t="shared" si="20"/>
        <v>100</v>
      </c>
      <c r="L93" s="61">
        <f t="shared" si="20"/>
        <v>101</v>
      </c>
      <c r="M93" s="61">
        <f t="shared" si="20"/>
        <v>74.900000000000006</v>
      </c>
      <c r="N93" s="61">
        <f t="shared" si="20"/>
        <v>0</v>
      </c>
      <c r="O93" s="61">
        <f t="shared" si="20"/>
        <v>0</v>
      </c>
      <c r="P93" s="61">
        <f t="shared" si="20"/>
        <v>0</v>
      </c>
      <c r="Q93" s="61">
        <f t="shared" si="20"/>
        <v>0</v>
      </c>
      <c r="R93" s="61">
        <f t="shared" si="20"/>
        <v>0</v>
      </c>
      <c r="S93" s="61">
        <f t="shared" si="20"/>
        <v>0</v>
      </c>
      <c r="T93" s="61">
        <f t="shared" si="20"/>
        <v>0</v>
      </c>
      <c r="U93" s="61">
        <f t="shared" si="20"/>
        <v>0</v>
      </c>
      <c r="V93" s="61">
        <f t="shared" si="20"/>
        <v>0</v>
      </c>
      <c r="W93" s="61">
        <f t="shared" si="20"/>
        <v>0</v>
      </c>
      <c r="X93" s="61">
        <f t="shared" si="20"/>
        <v>0</v>
      </c>
      <c r="Y93" s="61">
        <f t="shared" si="20"/>
        <v>0</v>
      </c>
      <c r="Z93" s="61">
        <f t="shared" si="20"/>
        <v>0</v>
      </c>
      <c r="AA93" s="61">
        <f t="shared" si="20"/>
        <v>0</v>
      </c>
      <c r="AB93" s="61">
        <f t="shared" si="20"/>
        <v>0</v>
      </c>
      <c r="AC93" s="61">
        <f t="shared" si="20"/>
        <v>0</v>
      </c>
      <c r="AD93" s="61">
        <f t="shared" si="20"/>
        <v>0</v>
      </c>
      <c r="AE93" s="61">
        <f t="shared" si="20"/>
        <v>0</v>
      </c>
      <c r="AF93" s="61">
        <f t="shared" si="20"/>
        <v>0</v>
      </c>
      <c r="AG93" s="81"/>
      <c r="AH93" s="48">
        <f t="shared" si="10"/>
        <v>101</v>
      </c>
      <c r="AI93" s="49">
        <f t="shared" si="11"/>
        <v>0</v>
      </c>
      <c r="AK93" s="50"/>
    </row>
    <row r="94" spans="1:37" ht="15.75" thickBot="1" x14ac:dyDescent="0.3">
      <c r="A94" s="74" t="s">
        <v>95</v>
      </c>
      <c r="B94" s="61">
        <f t="shared" ref="B94:AF94" si="21">B78-B93</f>
        <v>165</v>
      </c>
      <c r="C94" s="61">
        <f t="shared" si="21"/>
        <v>157</v>
      </c>
      <c r="D94" s="61">
        <f t="shared" si="21"/>
        <v>171</v>
      </c>
      <c r="E94" s="61">
        <f t="shared" si="21"/>
        <v>178</v>
      </c>
      <c r="F94" s="61">
        <f t="shared" si="21"/>
        <v>173</v>
      </c>
      <c r="G94" s="61">
        <f t="shared" si="21"/>
        <v>171.8</v>
      </c>
      <c r="H94" s="61">
        <f t="shared" si="21"/>
        <v>178.3</v>
      </c>
      <c r="I94" s="61">
        <f t="shared" si="21"/>
        <v>91</v>
      </c>
      <c r="J94" s="61">
        <f t="shared" si="21"/>
        <v>54.9</v>
      </c>
      <c r="K94" s="61">
        <f t="shared" si="21"/>
        <v>-100</v>
      </c>
      <c r="L94" s="61">
        <f t="shared" si="21"/>
        <v>-101</v>
      </c>
      <c r="M94" s="61">
        <f t="shared" si="21"/>
        <v>-74.900000000000006</v>
      </c>
      <c r="N94" s="61">
        <f t="shared" si="21"/>
        <v>0</v>
      </c>
      <c r="O94" s="61">
        <f t="shared" si="21"/>
        <v>0</v>
      </c>
      <c r="P94" s="61">
        <f t="shared" si="21"/>
        <v>0</v>
      </c>
      <c r="Q94" s="61">
        <f t="shared" si="21"/>
        <v>0</v>
      </c>
      <c r="R94" s="61">
        <f t="shared" si="21"/>
        <v>0</v>
      </c>
      <c r="S94" s="61">
        <f t="shared" si="21"/>
        <v>0</v>
      </c>
      <c r="T94" s="61">
        <f t="shared" si="21"/>
        <v>0</v>
      </c>
      <c r="U94" s="61">
        <f t="shared" si="21"/>
        <v>0</v>
      </c>
      <c r="V94" s="61">
        <f t="shared" si="21"/>
        <v>0</v>
      </c>
      <c r="W94" s="61">
        <f t="shared" si="21"/>
        <v>0</v>
      </c>
      <c r="X94" s="61">
        <f t="shared" si="21"/>
        <v>0</v>
      </c>
      <c r="Y94" s="61">
        <f t="shared" si="21"/>
        <v>0</v>
      </c>
      <c r="Z94" s="61">
        <f t="shared" si="21"/>
        <v>0</v>
      </c>
      <c r="AA94" s="61">
        <f t="shared" si="21"/>
        <v>0</v>
      </c>
      <c r="AB94" s="61">
        <f t="shared" si="21"/>
        <v>0</v>
      </c>
      <c r="AC94" s="61">
        <f t="shared" si="21"/>
        <v>0</v>
      </c>
      <c r="AD94" s="61">
        <f t="shared" si="21"/>
        <v>0</v>
      </c>
      <c r="AE94" s="61">
        <f t="shared" si="21"/>
        <v>0</v>
      </c>
      <c r="AF94" s="61">
        <f t="shared" si="21"/>
        <v>0</v>
      </c>
      <c r="AG94" s="81"/>
      <c r="AH94" s="48">
        <f t="shared" si="10"/>
        <v>178.3</v>
      </c>
      <c r="AI94" s="49">
        <f t="shared" si="11"/>
        <v>-101</v>
      </c>
    </row>
    <row r="95" spans="1:37" x14ac:dyDescent="0.25">
      <c r="A95" s="88" t="s">
        <v>96</v>
      </c>
      <c r="B95" s="89">
        <v>49.8</v>
      </c>
      <c r="C95" s="89">
        <v>49.8</v>
      </c>
      <c r="D95" s="89">
        <v>49.8</v>
      </c>
      <c r="E95" s="89">
        <v>49.9</v>
      </c>
      <c r="F95" s="89">
        <v>49.81</v>
      </c>
      <c r="G95" s="89">
        <v>49.98</v>
      </c>
      <c r="H95" s="89">
        <v>49.86</v>
      </c>
      <c r="I95" s="89">
        <v>49.9</v>
      </c>
      <c r="J95" s="89">
        <v>49.75</v>
      </c>
      <c r="K95" s="89">
        <v>49.6</v>
      </c>
      <c r="L95" s="89">
        <v>49.76</v>
      </c>
      <c r="M95" s="89">
        <v>50.271000000000001</v>
      </c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90"/>
      <c r="AH95" s="48">
        <f t="shared" si="10"/>
        <v>50.271000000000001</v>
      </c>
      <c r="AI95" s="49">
        <f t="shared" si="11"/>
        <v>49.6</v>
      </c>
    </row>
    <row r="96" spans="1:37" x14ac:dyDescent="0.25">
      <c r="A96" s="91" t="s">
        <v>97</v>
      </c>
      <c r="B96" s="65">
        <v>129</v>
      </c>
      <c r="C96" s="65">
        <v>129</v>
      </c>
      <c r="D96" s="65">
        <v>129</v>
      </c>
      <c r="E96" s="65">
        <v>128.5</v>
      </c>
      <c r="F96" s="65">
        <v>127.2</v>
      </c>
      <c r="G96" s="65">
        <v>128.5</v>
      </c>
      <c r="H96" s="65">
        <v>127.1</v>
      </c>
      <c r="I96" s="65">
        <v>125.5</v>
      </c>
      <c r="J96" s="65">
        <v>124.2</v>
      </c>
      <c r="K96" s="65">
        <v>126.6</v>
      </c>
      <c r="L96" s="65">
        <v>127.3</v>
      </c>
      <c r="M96" s="65">
        <v>125.7</v>
      </c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92"/>
      <c r="AH96" s="48">
        <f t="shared" si="10"/>
        <v>129</v>
      </c>
      <c r="AI96" s="49">
        <f t="shared" si="11"/>
        <v>124.2</v>
      </c>
    </row>
    <row r="97" spans="1:35" x14ac:dyDescent="0.25">
      <c r="A97" s="91" t="s">
        <v>98</v>
      </c>
      <c r="B97" s="65">
        <v>133</v>
      </c>
      <c r="C97" s="65">
        <v>133</v>
      </c>
      <c r="D97" s="65">
        <v>133</v>
      </c>
      <c r="E97" s="65">
        <v>132.80000000000001</v>
      </c>
      <c r="F97" s="65">
        <v>131.9</v>
      </c>
      <c r="G97" s="65">
        <v>132.5</v>
      </c>
      <c r="H97" s="65">
        <v>131.69999999999999</v>
      </c>
      <c r="I97" s="65">
        <v>129.69999999999999</v>
      </c>
      <c r="J97" s="65">
        <v>128.69999999999999</v>
      </c>
      <c r="K97" s="65">
        <v>129.69999999999999</v>
      </c>
      <c r="L97" s="65">
        <v>129.5</v>
      </c>
      <c r="M97" s="65">
        <v>129.1</v>
      </c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92"/>
      <c r="AH97" s="48">
        <f t="shared" si="10"/>
        <v>133</v>
      </c>
      <c r="AI97" s="49">
        <f t="shared" si="11"/>
        <v>128.69999999999999</v>
      </c>
    </row>
    <row r="98" spans="1:35" x14ac:dyDescent="0.25">
      <c r="A98" s="91" t="s">
        <v>99</v>
      </c>
      <c r="B98" s="65">
        <v>130</v>
      </c>
      <c r="C98" s="65">
        <v>130</v>
      </c>
      <c r="D98" s="65">
        <v>130</v>
      </c>
      <c r="E98" s="65">
        <v>130.80000000000001</v>
      </c>
      <c r="F98" s="65">
        <v>131</v>
      </c>
      <c r="G98" s="65">
        <v>130</v>
      </c>
      <c r="H98" s="65">
        <v>129.9</v>
      </c>
      <c r="I98" s="65">
        <v>127.8</v>
      </c>
      <c r="J98" s="65">
        <v>125.5</v>
      </c>
      <c r="K98" s="65">
        <v>128</v>
      </c>
      <c r="L98" s="65">
        <v>126.8</v>
      </c>
      <c r="M98" s="65">
        <v>127.4</v>
      </c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0"/>
        <v>131</v>
      </c>
      <c r="AI98" s="49">
        <f t="shared" si="11"/>
        <v>125.5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0"/>
        <v>0</v>
      </c>
      <c r="AI99" s="49">
        <f t="shared" si="11"/>
        <v>0</v>
      </c>
    </row>
    <row r="100" spans="1:35" x14ac:dyDescent="0.25">
      <c r="A100" s="93" t="s">
        <v>101</v>
      </c>
      <c r="B100" s="94">
        <v>131</v>
      </c>
      <c r="C100" s="94">
        <v>131</v>
      </c>
      <c r="D100" s="94">
        <v>131</v>
      </c>
      <c r="E100" s="94">
        <v>133.5</v>
      </c>
      <c r="F100" s="94">
        <v>131.19999999999999</v>
      </c>
      <c r="G100" s="94">
        <v>132.5</v>
      </c>
      <c r="H100" s="94">
        <v>135.69999999999999</v>
      </c>
      <c r="I100" s="94">
        <v>134.5</v>
      </c>
      <c r="J100" s="94">
        <v>132.1</v>
      </c>
      <c r="K100" s="94">
        <v>132.1</v>
      </c>
      <c r="L100" s="94">
        <v>132.4</v>
      </c>
      <c r="M100" s="94">
        <v>132.6</v>
      </c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5"/>
      <c r="AH100" s="48">
        <f t="shared" si="10"/>
        <v>135.69999999999999</v>
      </c>
      <c r="AI100" s="49">
        <f t="shared" si="11"/>
        <v>131</v>
      </c>
    </row>
    <row r="101" spans="1:35" x14ac:dyDescent="0.25">
      <c r="A101" s="91" t="s">
        <v>102</v>
      </c>
      <c r="B101" s="65">
        <v>134</v>
      </c>
      <c r="C101" s="65">
        <v>134</v>
      </c>
      <c r="D101" s="65">
        <v>134</v>
      </c>
      <c r="E101" s="65">
        <v>134.9</v>
      </c>
      <c r="F101" s="65">
        <v>130.30000000000001</v>
      </c>
      <c r="G101" s="65">
        <v>131.69999999999999</v>
      </c>
      <c r="H101" s="65">
        <v>134.5</v>
      </c>
      <c r="I101" s="65">
        <v>133</v>
      </c>
      <c r="J101" s="65">
        <v>129.5</v>
      </c>
      <c r="K101" s="65">
        <v>133.6</v>
      </c>
      <c r="L101" s="65">
        <v>129.19999999999999</v>
      </c>
      <c r="M101" s="65">
        <v>130.69999999999999</v>
      </c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92"/>
      <c r="AH101" s="48">
        <f t="shared" si="10"/>
        <v>134.9</v>
      </c>
      <c r="AI101" s="49">
        <f t="shared" si="11"/>
        <v>129.19999999999999</v>
      </c>
    </row>
    <row r="102" spans="1:35" ht="15.75" thickBot="1" x14ac:dyDescent="0.3">
      <c r="A102" s="91" t="s">
        <v>104</v>
      </c>
      <c r="B102" s="96">
        <v>67</v>
      </c>
      <c r="C102" s="96">
        <v>67</v>
      </c>
      <c r="D102" s="96">
        <v>67</v>
      </c>
      <c r="E102" s="96">
        <v>66.900000000000006</v>
      </c>
      <c r="F102" s="96">
        <v>66.599999999999994</v>
      </c>
      <c r="G102" s="96">
        <v>66.599999999999994</v>
      </c>
      <c r="H102" s="96">
        <v>66.099999999999994</v>
      </c>
      <c r="I102" s="96">
        <v>65.099999999999994</v>
      </c>
      <c r="J102" s="96">
        <v>64.7</v>
      </c>
      <c r="K102" s="96">
        <v>64.900000000000006</v>
      </c>
      <c r="L102" s="96">
        <v>64.8</v>
      </c>
      <c r="M102" s="96">
        <v>64.5</v>
      </c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0"/>
        <v>67</v>
      </c>
      <c r="AI102" s="49">
        <f t="shared" si="11"/>
        <v>64.5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0"/>
        <v>0</v>
      </c>
      <c r="AI103" s="49">
        <f t="shared" si="11"/>
        <v>0</v>
      </c>
    </row>
    <row r="104" spans="1:35" ht="15.75" thickBot="1" x14ac:dyDescent="0.3">
      <c r="A104" s="99" t="s">
        <v>105</v>
      </c>
      <c r="B104" s="100">
        <f t="shared" ref="B104:AF104" si="22">SUM(B16,B22,B25:B26,B52,B54:B55,B57,B59,B105:B109,B131,B137,B143,B152,B154,B166,B173,B176:B177,B184,B186,B188,B192:B194,B196:B198,B203,B209:B210,B212:B214,B222,B227)</f>
        <v>97.699999999999989</v>
      </c>
      <c r="C104" s="100">
        <f t="shared" si="22"/>
        <v>98.639999999999986</v>
      </c>
      <c r="D104" s="100">
        <f t="shared" si="22"/>
        <v>55.539999999999992</v>
      </c>
      <c r="E104" s="100">
        <f t="shared" si="22"/>
        <v>90.039999999999992</v>
      </c>
      <c r="F104" s="100">
        <f t="shared" si="22"/>
        <v>94.54</v>
      </c>
      <c r="G104" s="100">
        <f t="shared" si="22"/>
        <v>116.74000000000001</v>
      </c>
      <c r="H104" s="100">
        <f t="shared" si="22"/>
        <v>158.24</v>
      </c>
      <c r="I104" s="100">
        <f t="shared" si="22"/>
        <v>189.53999999999996</v>
      </c>
      <c r="J104" s="100">
        <f t="shared" si="22"/>
        <v>244.03999999999996</v>
      </c>
      <c r="K104" s="100">
        <f t="shared" si="22"/>
        <v>291.03999999999996</v>
      </c>
      <c r="L104" s="100">
        <f t="shared" si="22"/>
        <v>302.04000000000002</v>
      </c>
      <c r="M104" s="100">
        <f t="shared" si="22"/>
        <v>305.24</v>
      </c>
      <c r="N104" s="100">
        <f t="shared" si="22"/>
        <v>0.94</v>
      </c>
      <c r="O104" s="100">
        <f t="shared" si="22"/>
        <v>0.94</v>
      </c>
      <c r="P104" s="100">
        <f t="shared" si="22"/>
        <v>0.94</v>
      </c>
      <c r="Q104" s="100">
        <f t="shared" si="22"/>
        <v>0</v>
      </c>
      <c r="R104" s="100">
        <f t="shared" si="22"/>
        <v>0</v>
      </c>
      <c r="S104" s="100">
        <f t="shared" si="22"/>
        <v>0</v>
      </c>
      <c r="T104" s="100">
        <f t="shared" si="22"/>
        <v>0</v>
      </c>
      <c r="U104" s="100">
        <f t="shared" si="22"/>
        <v>0</v>
      </c>
      <c r="V104" s="100">
        <f t="shared" si="22"/>
        <v>0</v>
      </c>
      <c r="W104" s="100">
        <f t="shared" si="22"/>
        <v>0</v>
      </c>
      <c r="X104" s="100">
        <f t="shared" si="22"/>
        <v>0</v>
      </c>
      <c r="Y104" s="100">
        <f t="shared" si="22"/>
        <v>0</v>
      </c>
      <c r="Z104" s="100">
        <f t="shared" si="22"/>
        <v>0</v>
      </c>
      <c r="AA104" s="100">
        <f t="shared" si="22"/>
        <v>0</v>
      </c>
      <c r="AB104" s="100">
        <f t="shared" si="22"/>
        <v>0</v>
      </c>
      <c r="AC104" s="100">
        <f t="shared" si="22"/>
        <v>0</v>
      </c>
      <c r="AD104" s="100">
        <f t="shared" si="22"/>
        <v>0</v>
      </c>
      <c r="AE104" s="100">
        <f t="shared" si="22"/>
        <v>0</v>
      </c>
      <c r="AF104" s="100">
        <f t="shared" si="22"/>
        <v>0</v>
      </c>
      <c r="AG104" s="101"/>
      <c r="AH104" s="48">
        <f t="shared" si="10"/>
        <v>305.24</v>
      </c>
      <c r="AI104" s="49">
        <f t="shared" si="11"/>
        <v>0</v>
      </c>
    </row>
    <row r="105" spans="1:35" x14ac:dyDescent="0.25">
      <c r="A105" s="88" t="s">
        <v>106</v>
      </c>
      <c r="B105" s="102">
        <v>4.5</v>
      </c>
      <c r="C105" s="102">
        <v>4.5</v>
      </c>
      <c r="D105" s="102">
        <v>-1</v>
      </c>
      <c r="E105" s="102">
        <v>0.8</v>
      </c>
      <c r="F105" s="102">
        <v>6.8</v>
      </c>
      <c r="G105" s="102">
        <v>6.8</v>
      </c>
      <c r="H105" s="102">
        <v>22.9</v>
      </c>
      <c r="I105" s="102">
        <v>34.799999999999997</v>
      </c>
      <c r="J105" s="102">
        <v>33.1</v>
      </c>
      <c r="K105" s="102">
        <v>24.7</v>
      </c>
      <c r="L105" s="102">
        <v>34.6</v>
      </c>
      <c r="M105" s="102">
        <v>29.4</v>
      </c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3">
        <v>75</v>
      </c>
      <c r="AH105" s="48">
        <f t="shared" si="10"/>
        <v>34.799999999999997</v>
      </c>
      <c r="AI105" s="49">
        <f t="shared" si="11"/>
        <v>-1</v>
      </c>
    </row>
    <row r="106" spans="1:35" x14ac:dyDescent="0.25">
      <c r="A106" s="91" t="s">
        <v>107</v>
      </c>
      <c r="B106" s="104">
        <v>13.6</v>
      </c>
      <c r="C106" s="104">
        <v>13.6</v>
      </c>
      <c r="D106" s="104">
        <v>8</v>
      </c>
      <c r="E106" s="104">
        <v>9.6</v>
      </c>
      <c r="F106" s="104">
        <v>16.899999999999999</v>
      </c>
      <c r="G106" s="104">
        <v>15.8</v>
      </c>
      <c r="H106" s="104">
        <v>39.1</v>
      </c>
      <c r="I106" s="104">
        <v>53</v>
      </c>
      <c r="J106" s="104">
        <v>50.1</v>
      </c>
      <c r="K106" s="104">
        <v>39.6</v>
      </c>
      <c r="L106" s="104">
        <v>53.6</v>
      </c>
      <c r="M106" s="104">
        <v>44.6</v>
      </c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3">
        <v>240</v>
      </c>
      <c r="AH106" s="48">
        <f t="shared" si="10"/>
        <v>53.6</v>
      </c>
      <c r="AI106" s="49">
        <f t="shared" si="11"/>
        <v>8</v>
      </c>
    </row>
    <row r="107" spans="1:35" x14ac:dyDescent="0.25">
      <c r="A107" s="91" t="s">
        <v>108</v>
      </c>
      <c r="B107" s="104">
        <v>-90</v>
      </c>
      <c r="C107" s="104">
        <v>-90</v>
      </c>
      <c r="D107" s="104">
        <v>-90</v>
      </c>
      <c r="E107" s="104">
        <f>-45.4-48.3</f>
        <v>-93.699999999999989</v>
      </c>
      <c r="F107" s="104">
        <f>-46.4-49.7</f>
        <v>-96.1</v>
      </c>
      <c r="G107" s="104">
        <f>-40.7-44.3</f>
        <v>-85</v>
      </c>
      <c r="H107" s="104">
        <f>-39.3-42</f>
        <v>-81.3</v>
      </c>
      <c r="I107" s="104">
        <f>-46.5-42.4</f>
        <v>-88.9</v>
      </c>
      <c r="J107" s="104">
        <f>-29.5-31.9</f>
        <v>-61.4</v>
      </c>
      <c r="K107" s="104">
        <f>-24.4-14.4</f>
        <v>-38.799999999999997</v>
      </c>
      <c r="L107" s="104">
        <f>-48.8-19.7</f>
        <v>-68.5</v>
      </c>
      <c r="M107" s="104">
        <v>-51.8</v>
      </c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3">
        <v>240</v>
      </c>
      <c r="AH107" s="48">
        <f t="shared" si="10"/>
        <v>-38.799999999999997</v>
      </c>
      <c r="AI107" s="49">
        <f t="shared" si="11"/>
        <v>-96.1</v>
      </c>
    </row>
    <row r="108" spans="1:35" x14ac:dyDescent="0.25">
      <c r="A108" s="91" t="s">
        <v>109</v>
      </c>
      <c r="B108" s="104">
        <v>-3</v>
      </c>
      <c r="C108" s="104">
        <v>-3</v>
      </c>
      <c r="D108" s="104">
        <v>-4</v>
      </c>
      <c r="E108" s="104">
        <v>-4.5999999999999996</v>
      </c>
      <c r="F108" s="104">
        <v>-2.4</v>
      </c>
      <c r="G108" s="104">
        <v>-1.7</v>
      </c>
      <c r="H108" s="104">
        <v>-1.8</v>
      </c>
      <c r="I108" s="104">
        <v>2.7</v>
      </c>
      <c r="J108" s="104">
        <v>7.6</v>
      </c>
      <c r="K108" s="104">
        <v>47.2</v>
      </c>
      <c r="L108" s="104">
        <v>46.1</v>
      </c>
      <c r="M108" s="104">
        <v>46.6</v>
      </c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3">
        <v>60</v>
      </c>
      <c r="AH108" s="48">
        <f t="shared" si="10"/>
        <v>47.2</v>
      </c>
      <c r="AI108" s="49">
        <f t="shared" si="11"/>
        <v>-4.5999999999999996</v>
      </c>
    </row>
    <row r="109" spans="1:35" x14ac:dyDescent="0.25">
      <c r="A109" s="105" t="s">
        <v>110</v>
      </c>
      <c r="B109" s="106">
        <v>31</v>
      </c>
      <c r="C109" s="106">
        <v>31</v>
      </c>
      <c r="D109" s="106" t="s">
        <v>283</v>
      </c>
      <c r="E109" s="106">
        <v>34.799999999999997</v>
      </c>
      <c r="F109" s="106">
        <v>26.2</v>
      </c>
      <c r="G109" s="106">
        <v>37.700000000000003</v>
      </c>
      <c r="H109" s="106">
        <v>36.200000000000003</v>
      </c>
      <c r="I109" s="106">
        <v>44.8</v>
      </c>
      <c r="J109" s="106">
        <v>71.3</v>
      </c>
      <c r="K109" s="106">
        <v>75</v>
      </c>
      <c r="L109" s="106">
        <v>92.9</v>
      </c>
      <c r="M109" s="106">
        <v>93.1</v>
      </c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7">
        <v>120</v>
      </c>
      <c r="AH109" s="48">
        <f t="shared" si="10"/>
        <v>93.1</v>
      </c>
      <c r="AI109" s="49">
        <f t="shared" si="11"/>
        <v>26.2</v>
      </c>
    </row>
    <row r="110" spans="1:35" x14ac:dyDescent="0.25">
      <c r="A110" s="105" t="s">
        <v>111</v>
      </c>
      <c r="B110" s="106">
        <v>46</v>
      </c>
      <c r="C110" s="106">
        <v>46</v>
      </c>
      <c r="D110" s="106">
        <v>49</v>
      </c>
      <c r="E110" s="106">
        <v>53.2</v>
      </c>
      <c r="F110" s="106">
        <v>46.2</v>
      </c>
      <c r="G110" s="106">
        <v>48.7</v>
      </c>
      <c r="H110" s="106">
        <v>42.6</v>
      </c>
      <c r="I110" s="106">
        <v>47.9</v>
      </c>
      <c r="J110" s="106">
        <v>57</v>
      </c>
      <c r="K110" s="106">
        <v>97</v>
      </c>
      <c r="L110" s="106">
        <v>67.900000000000006</v>
      </c>
      <c r="M110" s="106">
        <v>91.6</v>
      </c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7"/>
      <c r="AH110" s="48">
        <f t="shared" si="10"/>
        <v>97</v>
      </c>
      <c r="AI110" s="49">
        <f t="shared" si="11"/>
        <v>42.6</v>
      </c>
    </row>
    <row r="111" spans="1:35" x14ac:dyDescent="0.25">
      <c r="A111" s="105" t="s">
        <v>112</v>
      </c>
      <c r="B111" s="106">
        <v>48</v>
      </c>
      <c r="C111" s="106">
        <v>48</v>
      </c>
      <c r="D111" s="106">
        <v>40</v>
      </c>
      <c r="E111" s="106">
        <v>44.9</v>
      </c>
      <c r="F111" s="106">
        <v>43.4</v>
      </c>
      <c r="G111" s="106">
        <v>46.1</v>
      </c>
      <c r="H111" s="106">
        <v>27.2</v>
      </c>
      <c r="I111" s="106">
        <v>11.8</v>
      </c>
      <c r="J111" s="106">
        <v>12.8</v>
      </c>
      <c r="K111" s="106">
        <v>52.1</v>
      </c>
      <c r="L111" s="106">
        <v>31</v>
      </c>
      <c r="M111" s="106">
        <v>41</v>
      </c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8"/>
      <c r="AH111" s="48">
        <f t="shared" si="10"/>
        <v>52.1</v>
      </c>
      <c r="AI111" s="49">
        <f t="shared" si="11"/>
        <v>11.8</v>
      </c>
    </row>
    <row r="112" spans="1:35" x14ac:dyDescent="0.25">
      <c r="A112" s="109" t="s">
        <v>113</v>
      </c>
      <c r="B112" s="94">
        <v>25</v>
      </c>
      <c r="C112" s="94">
        <v>25</v>
      </c>
      <c r="D112" s="94">
        <v>27</v>
      </c>
      <c r="E112" s="94">
        <v>26</v>
      </c>
      <c r="F112" s="94">
        <v>25.8</v>
      </c>
      <c r="G112" s="94">
        <v>24.7</v>
      </c>
      <c r="H112" s="94">
        <v>19.100000000000001</v>
      </c>
      <c r="I112" s="94">
        <v>15.5</v>
      </c>
      <c r="J112" s="94">
        <v>10.3</v>
      </c>
      <c r="K112" s="94">
        <v>5.0999999999999996</v>
      </c>
      <c r="L112" s="94">
        <v>0</v>
      </c>
      <c r="M112" s="94">
        <v>0</v>
      </c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108"/>
      <c r="AH112" s="48">
        <f t="shared" si="10"/>
        <v>27</v>
      </c>
      <c r="AI112" s="49">
        <f t="shared" si="11"/>
        <v>0</v>
      </c>
    </row>
    <row r="113" spans="1:37" ht="15.75" thickBot="1" x14ac:dyDescent="0.3">
      <c r="A113" s="109" t="s">
        <v>114</v>
      </c>
      <c r="B113" s="94">
        <v>51</v>
      </c>
      <c r="C113" s="94">
        <v>51</v>
      </c>
      <c r="D113" s="94">
        <v>48</v>
      </c>
      <c r="E113" s="94">
        <v>51</v>
      </c>
      <c r="F113" s="94">
        <v>57.1</v>
      </c>
      <c r="G113" s="94">
        <v>47.5</v>
      </c>
      <c r="H113" s="94">
        <v>50.2</v>
      </c>
      <c r="I113" s="94">
        <v>61.8</v>
      </c>
      <c r="J113" s="94">
        <v>37.6</v>
      </c>
      <c r="K113" s="94">
        <v>16.399999999999999</v>
      </c>
      <c r="L113" s="94">
        <v>41.6</v>
      </c>
      <c r="M113" s="94">
        <v>26.2</v>
      </c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108"/>
      <c r="AH113" s="48">
        <f t="shared" si="10"/>
        <v>61.8</v>
      </c>
      <c r="AI113" s="49">
        <f t="shared" si="11"/>
        <v>16.399999999999999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3">SUM(B115:B219)</f>
        <v>0</v>
      </c>
      <c r="C220" s="125">
        <f t="shared" si="23"/>
        <v>0</v>
      </c>
      <c r="D220" s="125">
        <f t="shared" si="23"/>
        <v>0</v>
      </c>
      <c r="E220" s="125">
        <f t="shared" si="23"/>
        <v>0</v>
      </c>
      <c r="F220" s="125">
        <f t="shared" si="23"/>
        <v>0</v>
      </c>
      <c r="G220" s="125">
        <f t="shared" si="23"/>
        <v>0</v>
      </c>
      <c r="H220" s="125">
        <f t="shared" si="23"/>
        <v>0</v>
      </c>
      <c r="I220" s="125">
        <f t="shared" si="23"/>
        <v>0</v>
      </c>
      <c r="J220" s="125">
        <f t="shared" si="23"/>
        <v>0</v>
      </c>
      <c r="K220" s="125">
        <f t="shared" si="23"/>
        <v>0</v>
      </c>
      <c r="L220" s="125">
        <f t="shared" si="23"/>
        <v>0</v>
      </c>
      <c r="M220" s="125">
        <f t="shared" si="23"/>
        <v>0</v>
      </c>
      <c r="N220" s="125">
        <f t="shared" si="23"/>
        <v>0</v>
      </c>
      <c r="O220" s="125">
        <f t="shared" si="23"/>
        <v>0</v>
      </c>
      <c r="P220" s="125">
        <f t="shared" si="23"/>
        <v>0</v>
      </c>
      <c r="Q220" s="125">
        <f t="shared" si="23"/>
        <v>0</v>
      </c>
      <c r="R220" s="125">
        <f t="shared" si="23"/>
        <v>0</v>
      </c>
      <c r="S220" s="125">
        <f t="shared" si="23"/>
        <v>0</v>
      </c>
      <c r="T220" s="125">
        <f t="shared" si="23"/>
        <v>0</v>
      </c>
      <c r="U220" s="125">
        <f t="shared" si="23"/>
        <v>0</v>
      </c>
      <c r="V220" s="125">
        <f t="shared" si="23"/>
        <v>0</v>
      </c>
      <c r="W220" s="125">
        <f t="shared" si="23"/>
        <v>0</v>
      </c>
      <c r="X220" s="125">
        <f t="shared" si="23"/>
        <v>0</v>
      </c>
      <c r="Y220" s="125">
        <f t="shared" si="23"/>
        <v>0</v>
      </c>
      <c r="Z220" s="125">
        <f t="shared" si="23"/>
        <v>0</v>
      </c>
      <c r="AA220" s="125">
        <f t="shared" si="23"/>
        <v>0</v>
      </c>
      <c r="AB220" s="125">
        <f t="shared" si="23"/>
        <v>0</v>
      </c>
      <c r="AC220" s="125">
        <f t="shared" si="23"/>
        <v>0</v>
      </c>
      <c r="AD220" s="125">
        <f t="shared" si="23"/>
        <v>0</v>
      </c>
      <c r="AE220" s="125">
        <f t="shared" si="23"/>
        <v>0</v>
      </c>
      <c r="AF220" s="126">
        <f t="shared" si="23"/>
        <v>0</v>
      </c>
      <c r="AG220" s="127">
        <f t="shared" si="23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4">AF222</f>
        <v>0</v>
      </c>
      <c r="C222" s="129">
        <v>0.3</v>
      </c>
      <c r="D222" s="129">
        <f t="shared" ref="D222:P227" si="25">C222</f>
        <v>0.3</v>
      </c>
      <c r="E222" s="129">
        <f t="shared" si="25"/>
        <v>0.3</v>
      </c>
      <c r="F222" s="129">
        <f t="shared" si="25"/>
        <v>0.3</v>
      </c>
      <c r="G222" s="129">
        <f t="shared" si="25"/>
        <v>0.3</v>
      </c>
      <c r="H222" s="129">
        <f t="shared" si="25"/>
        <v>0.3</v>
      </c>
      <c r="I222" s="129">
        <f t="shared" si="25"/>
        <v>0.3</v>
      </c>
      <c r="J222" s="129">
        <f t="shared" si="25"/>
        <v>0.3</v>
      </c>
      <c r="K222" s="129">
        <f t="shared" si="25"/>
        <v>0.3</v>
      </c>
      <c r="L222" s="129">
        <f t="shared" si="25"/>
        <v>0.3</v>
      </c>
      <c r="M222" s="129">
        <f t="shared" si="25"/>
        <v>0.3</v>
      </c>
      <c r="N222" s="129">
        <f t="shared" si="25"/>
        <v>0.3</v>
      </c>
      <c r="O222" s="129">
        <f t="shared" si="25"/>
        <v>0.3</v>
      </c>
      <c r="P222" s="129">
        <f t="shared" si="25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4"/>
        <v>0</v>
      </c>
      <c r="C223" s="117">
        <v>0.4</v>
      </c>
      <c r="D223" s="117">
        <f t="shared" si="25"/>
        <v>0.4</v>
      </c>
      <c r="E223" s="117">
        <f t="shared" si="25"/>
        <v>0.4</v>
      </c>
      <c r="F223" s="117">
        <f t="shared" si="25"/>
        <v>0.4</v>
      </c>
      <c r="G223" s="117">
        <f t="shared" si="25"/>
        <v>0.4</v>
      </c>
      <c r="H223" s="117">
        <f t="shared" si="25"/>
        <v>0.4</v>
      </c>
      <c r="I223" s="117">
        <f t="shared" si="25"/>
        <v>0.4</v>
      </c>
      <c r="J223" s="117">
        <f t="shared" si="25"/>
        <v>0.4</v>
      </c>
      <c r="K223" s="117">
        <f t="shared" si="25"/>
        <v>0.4</v>
      </c>
      <c r="L223" s="117">
        <f t="shared" si="25"/>
        <v>0.4</v>
      </c>
      <c r="M223" s="117">
        <f t="shared" si="25"/>
        <v>0.4</v>
      </c>
      <c r="N223" s="117">
        <f t="shared" si="25"/>
        <v>0.4</v>
      </c>
      <c r="O223" s="117">
        <f t="shared" si="25"/>
        <v>0.4</v>
      </c>
      <c r="P223" s="117">
        <f t="shared" si="25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4"/>
        <v>0</v>
      </c>
      <c r="C224" s="117">
        <v>1.5</v>
      </c>
      <c r="D224" s="117">
        <f t="shared" si="25"/>
        <v>1.5</v>
      </c>
      <c r="E224" s="117">
        <f t="shared" si="25"/>
        <v>1.5</v>
      </c>
      <c r="F224" s="117">
        <f t="shared" si="25"/>
        <v>1.5</v>
      </c>
      <c r="G224" s="117">
        <f t="shared" si="25"/>
        <v>1.5</v>
      </c>
      <c r="H224" s="117">
        <f t="shared" si="25"/>
        <v>1.5</v>
      </c>
      <c r="I224" s="117">
        <f t="shared" si="25"/>
        <v>1.5</v>
      </c>
      <c r="J224" s="117">
        <f t="shared" si="25"/>
        <v>1.5</v>
      </c>
      <c r="K224" s="117">
        <f t="shared" si="25"/>
        <v>1.5</v>
      </c>
      <c r="L224" s="117">
        <f t="shared" si="25"/>
        <v>1.5</v>
      </c>
      <c r="M224" s="117">
        <f t="shared" si="25"/>
        <v>1.5</v>
      </c>
      <c r="N224" s="117">
        <f t="shared" si="25"/>
        <v>1.5</v>
      </c>
      <c r="O224" s="117">
        <f t="shared" si="25"/>
        <v>1.5</v>
      </c>
      <c r="P224" s="117">
        <f t="shared" si="25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4"/>
        <v>0</v>
      </c>
      <c r="C225" s="117">
        <v>0.3</v>
      </c>
      <c r="D225" s="117">
        <f t="shared" si="25"/>
        <v>0.3</v>
      </c>
      <c r="E225" s="117">
        <f t="shared" si="25"/>
        <v>0.3</v>
      </c>
      <c r="F225" s="117">
        <f t="shared" si="25"/>
        <v>0.3</v>
      </c>
      <c r="G225" s="117">
        <f t="shared" si="25"/>
        <v>0.3</v>
      </c>
      <c r="H225" s="117">
        <f t="shared" si="25"/>
        <v>0.3</v>
      </c>
      <c r="I225" s="117">
        <f t="shared" si="25"/>
        <v>0.3</v>
      </c>
      <c r="J225" s="117">
        <f t="shared" si="25"/>
        <v>0.3</v>
      </c>
      <c r="K225" s="117">
        <f t="shared" si="25"/>
        <v>0.3</v>
      </c>
      <c r="L225" s="117">
        <f t="shared" si="25"/>
        <v>0.3</v>
      </c>
      <c r="M225" s="117">
        <f t="shared" si="25"/>
        <v>0.3</v>
      </c>
      <c r="N225" s="117">
        <f t="shared" si="25"/>
        <v>0.3</v>
      </c>
      <c r="O225" s="117">
        <f t="shared" si="25"/>
        <v>0.3</v>
      </c>
      <c r="P225" s="117">
        <f t="shared" si="25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4"/>
        <v>0</v>
      </c>
      <c r="C226" s="117">
        <v>0.4</v>
      </c>
      <c r="D226" s="117">
        <f t="shared" si="25"/>
        <v>0.4</v>
      </c>
      <c r="E226" s="117">
        <f t="shared" si="25"/>
        <v>0.4</v>
      </c>
      <c r="F226" s="117">
        <f t="shared" si="25"/>
        <v>0.4</v>
      </c>
      <c r="G226" s="117">
        <f t="shared" si="25"/>
        <v>0.4</v>
      </c>
      <c r="H226" s="117">
        <f t="shared" si="25"/>
        <v>0.4</v>
      </c>
      <c r="I226" s="117">
        <f t="shared" si="25"/>
        <v>0.4</v>
      </c>
      <c r="J226" s="117">
        <f t="shared" si="25"/>
        <v>0.4</v>
      </c>
      <c r="K226" s="117">
        <f t="shared" si="25"/>
        <v>0.4</v>
      </c>
      <c r="L226" s="117">
        <f t="shared" si="25"/>
        <v>0.4</v>
      </c>
      <c r="M226" s="117">
        <f t="shared" si="25"/>
        <v>0.4</v>
      </c>
      <c r="N226" s="117">
        <f t="shared" si="25"/>
        <v>0.4</v>
      </c>
      <c r="O226" s="117">
        <f t="shared" si="25"/>
        <v>0.4</v>
      </c>
      <c r="P226" s="117">
        <f t="shared" si="25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4"/>
        <v>0</v>
      </c>
      <c r="C227" s="121">
        <v>0.64</v>
      </c>
      <c r="D227" s="121">
        <f t="shared" si="25"/>
        <v>0.64</v>
      </c>
      <c r="E227" s="121">
        <f t="shared" si="25"/>
        <v>0.64</v>
      </c>
      <c r="F227" s="121">
        <f t="shared" si="25"/>
        <v>0.64</v>
      </c>
      <c r="G227" s="121">
        <f t="shared" si="25"/>
        <v>0.64</v>
      </c>
      <c r="H227" s="121">
        <f t="shared" si="25"/>
        <v>0.64</v>
      </c>
      <c r="I227" s="121">
        <f t="shared" si="25"/>
        <v>0.64</v>
      </c>
      <c r="J227" s="121">
        <f t="shared" si="25"/>
        <v>0.64</v>
      </c>
      <c r="K227" s="121">
        <f t="shared" si="25"/>
        <v>0.64</v>
      </c>
      <c r="L227" s="121">
        <f t="shared" si="25"/>
        <v>0.64</v>
      </c>
      <c r="M227" s="121">
        <f t="shared" si="25"/>
        <v>0.64</v>
      </c>
      <c r="N227" s="121">
        <f t="shared" si="25"/>
        <v>0.64</v>
      </c>
      <c r="O227" s="121">
        <f t="shared" si="25"/>
        <v>0.64</v>
      </c>
      <c r="P227" s="121">
        <f t="shared" si="25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6">SUM(B222:B227)</f>
        <v>0</v>
      </c>
      <c r="C228" s="125">
        <f t="shared" si="26"/>
        <v>3.54</v>
      </c>
      <c r="D228" s="125">
        <f t="shared" si="26"/>
        <v>3.54</v>
      </c>
      <c r="E228" s="125">
        <f t="shared" si="26"/>
        <v>3.54</v>
      </c>
      <c r="F228" s="125">
        <f t="shared" si="26"/>
        <v>3.54</v>
      </c>
      <c r="G228" s="125">
        <f t="shared" si="26"/>
        <v>3.54</v>
      </c>
      <c r="H228" s="125">
        <f t="shared" si="26"/>
        <v>3.54</v>
      </c>
      <c r="I228" s="125">
        <f t="shared" si="26"/>
        <v>3.54</v>
      </c>
      <c r="J228" s="125">
        <f t="shared" si="26"/>
        <v>3.54</v>
      </c>
      <c r="K228" s="125">
        <f t="shared" si="26"/>
        <v>3.54</v>
      </c>
      <c r="L228" s="125">
        <f t="shared" si="26"/>
        <v>3.54</v>
      </c>
      <c r="M228" s="125">
        <f t="shared" si="26"/>
        <v>3.54</v>
      </c>
      <c r="N228" s="125">
        <f t="shared" si="26"/>
        <v>3.54</v>
      </c>
      <c r="O228" s="125">
        <f t="shared" si="26"/>
        <v>3.54</v>
      </c>
      <c r="P228" s="125">
        <f t="shared" si="26"/>
        <v>3.54</v>
      </c>
      <c r="Q228" s="125">
        <f t="shared" si="26"/>
        <v>0</v>
      </c>
      <c r="R228" s="125">
        <f t="shared" si="26"/>
        <v>0</v>
      </c>
      <c r="S228" s="125">
        <f t="shared" si="26"/>
        <v>0</v>
      </c>
      <c r="T228" s="125">
        <f t="shared" si="26"/>
        <v>0</v>
      </c>
      <c r="U228" s="125">
        <f t="shared" si="26"/>
        <v>0</v>
      </c>
      <c r="V228" s="125">
        <f t="shared" si="26"/>
        <v>0</v>
      </c>
      <c r="W228" s="125">
        <f t="shared" si="26"/>
        <v>0</v>
      </c>
      <c r="X228" s="125">
        <f t="shared" si="26"/>
        <v>0</v>
      </c>
      <c r="Y228" s="125">
        <f t="shared" si="26"/>
        <v>0</v>
      </c>
      <c r="Z228" s="125">
        <f t="shared" si="26"/>
        <v>0</v>
      </c>
      <c r="AA228" s="125">
        <f t="shared" si="26"/>
        <v>0</v>
      </c>
      <c r="AB228" s="125">
        <f t="shared" si="26"/>
        <v>0</v>
      </c>
      <c r="AC228" s="125">
        <f t="shared" si="26"/>
        <v>0</v>
      </c>
      <c r="AD228" s="125">
        <f t="shared" si="26"/>
        <v>0</v>
      </c>
      <c r="AE228" s="125">
        <f t="shared" si="26"/>
        <v>0</v>
      </c>
      <c r="AF228" s="125">
        <f t="shared" si="26"/>
        <v>0</v>
      </c>
      <c r="AG228" s="134">
        <f t="shared" si="26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1587.7399999999998</v>
      </c>
      <c r="C237" s="150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paush1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e">
        <f ca="1">"Pie Chart of Daily Peak Demand(Inclusive of Export) of Nepal ("&amp;A4&amp;" "&amp;B4&amp;")"</f>
        <v>#VALUE!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e">
        <f ca="1">"Daily Load Curve(Excluding of Export) of Nepal ("&amp;A4&amp;" "&amp;B4&amp;")"</f>
        <v>#VALUE!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27">B85</f>
        <v>952.84000000000015</v>
      </c>
      <c r="U242" s="159">
        <f t="shared" si="27"/>
        <v>944.84000000000015</v>
      </c>
      <c r="V242" s="159">
        <f t="shared" si="27"/>
        <v>939.84000000000015</v>
      </c>
      <c r="W242" s="159">
        <f t="shared" si="27"/>
        <v>953.83999999999992</v>
      </c>
      <c r="X242" s="159">
        <f t="shared" si="27"/>
        <v>973.33999999999992</v>
      </c>
      <c r="Y242" s="159">
        <f t="shared" si="27"/>
        <v>992.13999999999987</v>
      </c>
      <c r="Z242" s="159">
        <f t="shared" si="27"/>
        <v>1031.6399999999999</v>
      </c>
      <c r="AA242" s="159">
        <f t="shared" si="27"/>
        <v>1185.8400000000001</v>
      </c>
      <c r="AB242" s="159">
        <f t="shared" si="27"/>
        <v>1171.1400000000001</v>
      </c>
      <c r="AC242" s="159">
        <f t="shared" si="27"/>
        <v>1524.54</v>
      </c>
      <c r="AD242" s="159">
        <f t="shared" si="27"/>
        <v>1538.04</v>
      </c>
      <c r="AE242" s="159">
        <f t="shared" si="27"/>
        <v>1587.7399999999998</v>
      </c>
      <c r="AF242" s="159">
        <f t="shared" si="27"/>
        <v>203.54</v>
      </c>
      <c r="AG242" s="159">
        <f t="shared" si="27"/>
        <v>203.54</v>
      </c>
      <c r="AH242" s="159">
        <f t="shared" si="27"/>
        <v>203.54</v>
      </c>
      <c r="AI242" s="159">
        <f t="shared" si="27"/>
        <v>203.54</v>
      </c>
      <c r="AJ242" s="159">
        <f t="shared" si="27"/>
        <v>203.54</v>
      </c>
      <c r="AK242" s="159">
        <f t="shared" si="27"/>
        <v>203.54</v>
      </c>
      <c r="AL242" s="159">
        <f t="shared" si="27"/>
        <v>203.54</v>
      </c>
      <c r="AM242" s="159">
        <f t="shared" si="27"/>
        <v>203.54</v>
      </c>
      <c r="AN242" s="159">
        <f t="shared" si="27"/>
        <v>203.54</v>
      </c>
      <c r="AO242" s="159">
        <f t="shared" si="27"/>
        <v>203.54</v>
      </c>
      <c r="AP242" s="159">
        <f t="shared" si="27"/>
        <v>203.54</v>
      </c>
      <c r="AQ242" s="159">
        <f t="shared" si="27"/>
        <v>203.54</v>
      </c>
      <c r="AR242" s="159">
        <f t="shared" si="27"/>
        <v>203.54</v>
      </c>
      <c r="AS242" s="159">
        <f t="shared" si="27"/>
        <v>203.54</v>
      </c>
      <c r="AT242" s="159">
        <f t="shared" si="27"/>
        <v>203.54</v>
      </c>
      <c r="AU242" s="159">
        <f t="shared" si="27"/>
        <v>203.54</v>
      </c>
      <c r="AV242" s="159">
        <f t="shared" si="27"/>
        <v>203.54</v>
      </c>
      <c r="AW242" s="159">
        <f t="shared" si="27"/>
        <v>203.54</v>
      </c>
      <c r="AX242" s="159">
        <f t="shared" si="27"/>
        <v>203.54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28">C227</f>
        <v>0.64</v>
      </c>
      <c r="C263" s="162">
        <f t="shared" si="28"/>
        <v>0.64</v>
      </c>
      <c r="D263" s="162">
        <f t="shared" si="28"/>
        <v>0.64</v>
      </c>
      <c r="E263" s="162">
        <f t="shared" si="28"/>
        <v>0.64</v>
      </c>
      <c r="F263" s="162">
        <f t="shared" si="28"/>
        <v>0.64</v>
      </c>
      <c r="G263" s="162">
        <f t="shared" si="28"/>
        <v>0.64</v>
      </c>
      <c r="H263" s="162">
        <f t="shared" si="28"/>
        <v>0.64</v>
      </c>
      <c r="I263" s="162">
        <f t="shared" si="28"/>
        <v>0.64</v>
      </c>
      <c r="J263" s="162">
        <f t="shared" si="28"/>
        <v>0.64</v>
      </c>
      <c r="K263" s="162">
        <f t="shared" si="28"/>
        <v>0.64</v>
      </c>
      <c r="L263" s="162">
        <f t="shared" si="28"/>
        <v>0.64</v>
      </c>
      <c r="M263" s="162">
        <f t="shared" si="28"/>
        <v>0.64</v>
      </c>
      <c r="N263" s="162">
        <f t="shared" si="28"/>
        <v>0.64</v>
      </c>
      <c r="O263" s="162">
        <f t="shared" si="28"/>
        <v>0.64</v>
      </c>
      <c r="P263" s="162">
        <f t="shared" si="28"/>
        <v>0</v>
      </c>
      <c r="Q263" s="162">
        <f t="shared" si="28"/>
        <v>0</v>
      </c>
      <c r="R263" s="162">
        <f t="shared" si="28"/>
        <v>0</v>
      </c>
      <c r="S263" s="162">
        <f t="shared" si="28"/>
        <v>0</v>
      </c>
      <c r="T263" s="162">
        <f t="shared" si="28"/>
        <v>0</v>
      </c>
      <c r="U263" s="162">
        <f t="shared" si="28"/>
        <v>0</v>
      </c>
      <c r="V263" s="162">
        <f t="shared" si="28"/>
        <v>0</v>
      </c>
      <c r="W263" s="162">
        <f t="shared" si="28"/>
        <v>0</v>
      </c>
      <c r="X263" s="162">
        <f t="shared" si="28"/>
        <v>0</v>
      </c>
      <c r="Y263" s="162">
        <f t="shared" si="28"/>
        <v>0</v>
      </c>
      <c r="Z263" s="162">
        <f t="shared" si="28"/>
        <v>0</v>
      </c>
      <c r="AA263" s="162">
        <f t="shared" si="28"/>
        <v>0</v>
      </c>
      <c r="AB263" s="162">
        <f t="shared" si="28"/>
        <v>0</v>
      </c>
      <c r="AC263" s="162">
        <f t="shared" si="28"/>
        <v>0</v>
      </c>
      <c r="AD263" s="162">
        <f t="shared" si="28"/>
        <v>0</v>
      </c>
      <c r="AE263" s="162">
        <f t="shared" si="28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29">IF(B231&lt;100,"",B231-520)</f>
        <v/>
      </c>
      <c r="C264" s="163" t="str">
        <f t="shared" si="29"/>
        <v/>
      </c>
      <c r="D264" s="163" t="str">
        <f t="shared" si="29"/>
        <v/>
      </c>
      <c r="E264" s="163" t="str">
        <f t="shared" si="29"/>
        <v/>
      </c>
      <c r="F264" s="163" t="str">
        <f t="shared" si="29"/>
        <v/>
      </c>
      <c r="G264" s="163" t="str">
        <f t="shared" si="29"/>
        <v/>
      </c>
      <c r="H264" s="163" t="str">
        <f t="shared" si="29"/>
        <v/>
      </c>
      <c r="I264" s="163" t="str">
        <f t="shared" si="29"/>
        <v/>
      </c>
      <c r="J264" s="163" t="str">
        <f t="shared" si="29"/>
        <v/>
      </c>
      <c r="K264" s="163" t="str">
        <f t="shared" si="29"/>
        <v/>
      </c>
      <c r="L264" s="163" t="str">
        <f t="shared" si="29"/>
        <v/>
      </c>
      <c r="M264" s="163" t="str">
        <f t="shared" si="29"/>
        <v/>
      </c>
      <c r="N264" s="163" t="str">
        <f t="shared" si="29"/>
        <v/>
      </c>
      <c r="O264" s="163" t="str">
        <f t="shared" si="29"/>
        <v/>
      </c>
      <c r="P264" s="163" t="str">
        <f t="shared" si="29"/>
        <v/>
      </c>
      <c r="Q264" s="163" t="str">
        <f t="shared" si="29"/>
        <v/>
      </c>
      <c r="R264" s="163" t="str">
        <f t="shared" si="29"/>
        <v/>
      </c>
      <c r="S264" s="163" t="str">
        <f t="shared" si="29"/>
        <v/>
      </c>
      <c r="T264" s="163" t="str">
        <f t="shared" si="29"/>
        <v/>
      </c>
      <c r="U264" s="163" t="str">
        <f t="shared" si="29"/>
        <v/>
      </c>
      <c r="V264" s="163" t="str">
        <f t="shared" si="29"/>
        <v/>
      </c>
      <c r="W264" s="163" t="str">
        <f t="shared" si="29"/>
        <v/>
      </c>
      <c r="X264" s="163" t="str">
        <f t="shared" si="29"/>
        <v/>
      </c>
      <c r="Y264" s="163" t="str">
        <f t="shared" si="29"/>
        <v/>
      </c>
      <c r="Z264" s="163" t="str">
        <f t="shared" si="29"/>
        <v/>
      </c>
      <c r="AA264" s="163" t="str">
        <f t="shared" si="29"/>
        <v/>
      </c>
      <c r="AB264" s="163" t="str">
        <f t="shared" si="29"/>
        <v/>
      </c>
      <c r="AC264" s="163" t="str">
        <f t="shared" si="29"/>
        <v/>
      </c>
      <c r="AD264" s="163" t="str">
        <f t="shared" si="29"/>
        <v/>
      </c>
      <c r="AE264" s="163" t="str">
        <f t="shared" si="29"/>
        <v/>
      </c>
      <c r="AF264" s="163" t="str">
        <f t="shared" si="29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0">IF(B232&lt;100,"",B232-620)</f>
        <v/>
      </c>
      <c r="C265" s="163" t="str">
        <f t="shared" si="30"/>
        <v/>
      </c>
      <c r="D265" s="163" t="str">
        <f t="shared" si="30"/>
        <v/>
      </c>
      <c r="E265" s="163" t="str">
        <f t="shared" si="30"/>
        <v/>
      </c>
      <c r="F265" s="163" t="str">
        <f t="shared" si="30"/>
        <v/>
      </c>
      <c r="G265" s="163" t="str">
        <f t="shared" si="30"/>
        <v/>
      </c>
      <c r="H265" s="163" t="str">
        <f t="shared" si="30"/>
        <v/>
      </c>
      <c r="I265" s="163" t="str">
        <f t="shared" si="30"/>
        <v/>
      </c>
      <c r="J265" s="163" t="str">
        <f t="shared" si="30"/>
        <v/>
      </c>
      <c r="K265" s="163" t="str">
        <f t="shared" si="30"/>
        <v/>
      </c>
      <c r="L265" s="163" t="str">
        <f t="shared" si="30"/>
        <v/>
      </c>
      <c r="M265" s="163" t="str">
        <f t="shared" si="30"/>
        <v/>
      </c>
      <c r="N265" s="163" t="str">
        <f t="shared" si="30"/>
        <v/>
      </c>
      <c r="O265" s="163" t="str">
        <f t="shared" si="30"/>
        <v/>
      </c>
      <c r="P265" s="163" t="str">
        <f t="shared" si="30"/>
        <v/>
      </c>
      <c r="Q265" s="163" t="str">
        <f t="shared" si="30"/>
        <v/>
      </c>
      <c r="R265" s="163" t="str">
        <f t="shared" si="30"/>
        <v/>
      </c>
      <c r="S265" s="163" t="str">
        <f t="shared" si="30"/>
        <v/>
      </c>
      <c r="T265" s="163" t="str">
        <f t="shared" si="30"/>
        <v/>
      </c>
      <c r="U265" s="163" t="str">
        <f t="shared" si="30"/>
        <v/>
      </c>
      <c r="V265" s="163" t="str">
        <f t="shared" si="30"/>
        <v/>
      </c>
      <c r="W265" s="163" t="str">
        <f t="shared" si="30"/>
        <v/>
      </c>
      <c r="X265" s="163" t="str">
        <f t="shared" si="30"/>
        <v/>
      </c>
      <c r="Y265" s="163" t="str">
        <f t="shared" si="30"/>
        <v/>
      </c>
      <c r="Z265" s="163" t="str">
        <f t="shared" si="30"/>
        <v/>
      </c>
      <c r="AA265" s="163" t="str">
        <f t="shared" si="30"/>
        <v/>
      </c>
      <c r="AB265" s="163" t="str">
        <f t="shared" si="30"/>
        <v/>
      </c>
      <c r="AC265" s="163" t="str">
        <f t="shared" si="30"/>
        <v/>
      </c>
      <c r="AD265" s="163" t="str">
        <f t="shared" si="30"/>
        <v/>
      </c>
      <c r="AE265" s="163" t="str">
        <f t="shared" si="30"/>
        <v/>
      </c>
      <c r="AF265" s="163" t="str">
        <f t="shared" si="30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1">IF(B233&lt;100,"",B233-330)</f>
        <v/>
      </c>
      <c r="C266" s="163" t="str">
        <f t="shared" si="31"/>
        <v/>
      </c>
      <c r="D266" s="163" t="str">
        <f t="shared" si="31"/>
        <v/>
      </c>
      <c r="E266" s="163" t="str">
        <f t="shared" si="31"/>
        <v/>
      </c>
      <c r="F266" s="163" t="str">
        <f t="shared" si="31"/>
        <v/>
      </c>
      <c r="G266" s="163" t="str">
        <f t="shared" si="31"/>
        <v/>
      </c>
      <c r="H266" s="163" t="str">
        <f t="shared" si="31"/>
        <v/>
      </c>
      <c r="I266" s="163" t="str">
        <f t="shared" si="31"/>
        <v/>
      </c>
      <c r="J266" s="163" t="str">
        <f t="shared" si="31"/>
        <v/>
      </c>
      <c r="K266" s="163" t="str">
        <f t="shared" si="31"/>
        <v/>
      </c>
      <c r="L266" s="163" t="str">
        <f t="shared" si="31"/>
        <v/>
      </c>
      <c r="M266" s="163" t="str">
        <f t="shared" si="31"/>
        <v/>
      </c>
      <c r="N266" s="163" t="str">
        <f t="shared" si="31"/>
        <v/>
      </c>
      <c r="O266" s="163" t="str">
        <f t="shared" si="31"/>
        <v/>
      </c>
      <c r="P266" s="163" t="str">
        <f t="shared" si="31"/>
        <v/>
      </c>
      <c r="Q266" s="163" t="str">
        <f t="shared" si="31"/>
        <v/>
      </c>
      <c r="R266" s="163" t="str">
        <f t="shared" si="31"/>
        <v/>
      </c>
      <c r="S266" s="163" t="str">
        <f t="shared" si="31"/>
        <v/>
      </c>
      <c r="T266" s="163" t="str">
        <f t="shared" si="31"/>
        <v/>
      </c>
      <c r="U266" s="163" t="str">
        <f t="shared" si="31"/>
        <v/>
      </c>
      <c r="V266" s="163" t="str">
        <f t="shared" si="31"/>
        <v/>
      </c>
      <c r="W266" s="163" t="str">
        <f t="shared" si="31"/>
        <v/>
      </c>
      <c r="X266" s="163" t="str">
        <f t="shared" si="31"/>
        <v/>
      </c>
      <c r="Y266" s="163" t="str">
        <f t="shared" si="31"/>
        <v/>
      </c>
      <c r="Z266" s="163" t="str">
        <f t="shared" si="31"/>
        <v/>
      </c>
      <c r="AA266" s="163" t="str">
        <f t="shared" si="31"/>
        <v/>
      </c>
      <c r="AB266" s="163" t="str">
        <f t="shared" si="31"/>
        <v/>
      </c>
      <c r="AC266" s="163" t="str">
        <f t="shared" si="31"/>
        <v/>
      </c>
      <c r="AD266" s="163" t="str">
        <f t="shared" si="31"/>
        <v/>
      </c>
      <c r="AE266" s="163" t="str">
        <f t="shared" si="31"/>
        <v/>
      </c>
      <c r="AF266" s="163" t="str">
        <f t="shared" si="31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2">IF(B234&lt;100,"",B234-1500)</f>
        <v/>
      </c>
      <c r="C267" s="163" t="str">
        <f t="shared" si="32"/>
        <v/>
      </c>
      <c r="D267" s="163" t="str">
        <f t="shared" si="32"/>
        <v/>
      </c>
      <c r="E267" s="163" t="str">
        <f t="shared" si="32"/>
        <v/>
      </c>
      <c r="F267" s="163" t="str">
        <f t="shared" si="32"/>
        <v/>
      </c>
      <c r="G267" s="163" t="str">
        <f t="shared" si="32"/>
        <v/>
      </c>
      <c r="H267" s="163" t="str">
        <f t="shared" si="32"/>
        <v/>
      </c>
      <c r="I267" s="163" t="str">
        <f t="shared" si="32"/>
        <v/>
      </c>
      <c r="J267" s="163" t="str">
        <f t="shared" si="32"/>
        <v/>
      </c>
      <c r="K267" s="163" t="str">
        <f t="shared" si="32"/>
        <v/>
      </c>
      <c r="L267" s="163" t="str">
        <f t="shared" si="32"/>
        <v/>
      </c>
      <c r="M267" s="163" t="str">
        <f t="shared" si="32"/>
        <v/>
      </c>
      <c r="N267" s="163" t="str">
        <f t="shared" si="32"/>
        <v/>
      </c>
      <c r="O267" s="163" t="str">
        <f t="shared" si="32"/>
        <v/>
      </c>
      <c r="P267" s="163" t="str">
        <f t="shared" si="32"/>
        <v/>
      </c>
      <c r="Q267" s="163" t="str">
        <f t="shared" si="32"/>
        <v/>
      </c>
      <c r="R267" s="163" t="str">
        <f t="shared" si="32"/>
        <v/>
      </c>
      <c r="S267" s="163" t="str">
        <f t="shared" si="32"/>
        <v/>
      </c>
      <c r="T267" s="163" t="str">
        <f t="shared" si="32"/>
        <v/>
      </c>
      <c r="U267" s="163" t="str">
        <f t="shared" si="32"/>
        <v/>
      </c>
      <c r="V267" s="163" t="str">
        <f t="shared" si="32"/>
        <v/>
      </c>
      <c r="W267" s="163" t="str">
        <f t="shared" si="32"/>
        <v/>
      </c>
      <c r="X267" s="163" t="str">
        <f t="shared" si="32"/>
        <v/>
      </c>
      <c r="Y267" s="163" t="str">
        <f t="shared" si="32"/>
        <v/>
      </c>
      <c r="Z267" s="163" t="str">
        <f t="shared" si="32"/>
        <v/>
      </c>
      <c r="AA267" s="163" t="str">
        <f t="shared" si="32"/>
        <v/>
      </c>
      <c r="AB267" s="163" t="str">
        <f t="shared" si="32"/>
        <v/>
      </c>
      <c r="AC267" s="163" t="str">
        <f t="shared" si="32"/>
        <v/>
      </c>
      <c r="AD267" s="163" t="str">
        <f t="shared" si="32"/>
        <v/>
      </c>
      <c r="AE267" s="163" t="str">
        <f t="shared" si="32"/>
        <v/>
      </c>
      <c r="AF267" s="163" t="str">
        <f t="shared" si="3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T11:AF11 D105:AF105 D107:AF112 B22:AF26 B17:AF18 B15:AF15">
    <cfRule type="expression" dxfId="1533" priority="239">
      <formula>B$9&gt;=20/24</formula>
    </cfRule>
    <cfRule type="expression" dxfId="1532" priority="240">
      <formula>AND(B$9&gt;=14/24,B$9&lt;20/24)</formula>
    </cfRule>
    <cfRule type="expression" dxfId="1531" priority="241">
      <formula>AND(B$9&gt;=8/24,B$9&lt;14/24)</formula>
    </cfRule>
    <cfRule type="expression" dxfId="1530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1529" priority="234">
      <formula>S$9&gt;=20/24</formula>
    </cfRule>
    <cfRule type="expression" dxfId="1528" priority="235">
      <formula>AND(S$9&gt;=14/24,S$9&lt;20/24)</formula>
    </cfRule>
    <cfRule type="expression" dxfId="1527" priority="236">
      <formula>AND(S$9&gt;=8/24,S$9&lt;14/24)</formula>
    </cfRule>
    <cfRule type="expression" dxfId="1526" priority="237">
      <formula>S$9&lt;8/24</formula>
    </cfRule>
  </conditionalFormatting>
  <conditionalFormatting sqref="AG61 S43:AF43 R11:AF14 N12:Q14 N15:AF18 B41:AF41 B20:AF20 B22:AF26 B12:M18">
    <cfRule type="expression" dxfId="1525" priority="233">
      <formula>B11&gt;$AG11</formula>
    </cfRule>
  </conditionalFormatting>
  <conditionalFormatting sqref="A95:A105 A55:A82 A91:A93 A198:A228 A42:A53 A114:A185 A38:A39 A87:A89 A84:A85 A107:A109 A35:A36 A17:A18 A11:A15 A20:A33">
    <cfRule type="expression" dxfId="1524" priority="232">
      <formula>$AH11=0</formula>
    </cfRule>
  </conditionalFormatting>
  <conditionalFormatting sqref="A110">
    <cfRule type="expression" dxfId="1523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1522" priority="229">
      <formula>$AH41=0</formula>
    </cfRule>
  </conditionalFormatting>
  <conditionalFormatting sqref="A94">
    <cfRule type="expression" dxfId="1521" priority="228">
      <formula>$AH94=0</formula>
    </cfRule>
  </conditionalFormatting>
  <conditionalFormatting sqref="A16">
    <cfRule type="expression" dxfId="1520" priority="227">
      <formula>$AH16=0</formula>
    </cfRule>
  </conditionalFormatting>
  <conditionalFormatting sqref="A192:A197">
    <cfRule type="expression" dxfId="1519" priority="226">
      <formula>$AH192=0</formula>
    </cfRule>
  </conditionalFormatting>
  <conditionalFormatting sqref="A186:A191">
    <cfRule type="expression" dxfId="1518" priority="225">
      <formula>$AH186=0</formula>
    </cfRule>
  </conditionalFormatting>
  <conditionalFormatting sqref="A54">
    <cfRule type="expression" dxfId="1517" priority="224">
      <formula>$AH54=0</formula>
    </cfRule>
  </conditionalFormatting>
  <conditionalFormatting sqref="A90">
    <cfRule type="expression" dxfId="1516" priority="223">
      <formula>$AH90=0</formula>
    </cfRule>
  </conditionalFormatting>
  <conditionalFormatting sqref="E95:AF95">
    <cfRule type="expression" dxfId="1515" priority="219">
      <formula>E$9&gt;=20/24</formula>
    </cfRule>
    <cfRule type="expression" dxfId="1514" priority="220">
      <formula>AND(E$9&gt;=14/24,E$9&lt;20/24)</formula>
    </cfRule>
    <cfRule type="expression" dxfId="1513" priority="221">
      <formula>AND(E$9&gt;=8/24,E$9&lt;14/24)</formula>
    </cfRule>
    <cfRule type="expression" dxfId="1512" priority="222">
      <formula>E$9&lt;8/24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511" priority="245">
      <formula>C$9&gt;=20/24</formula>
    </cfRule>
    <cfRule type="expression" dxfId="1510" priority="246">
      <formula>AND(C$9&gt;=14/24,C$9&lt;20/24)</formula>
    </cfRule>
    <cfRule type="expression" dxfId="1509" priority="247">
      <formula>AND(C$9&gt;=8/24,C$9&lt;14/24)</formula>
    </cfRule>
    <cfRule type="expression" dxfId="1508" priority="248">
      <formula>C$9&lt;8/24</formula>
    </cfRule>
  </conditionalFormatting>
  <conditionalFormatting sqref="A229">
    <cfRule type="expression" dxfId="1507" priority="249">
      <formula>$AH229=0</formula>
    </cfRule>
  </conditionalFormatting>
  <conditionalFormatting sqref="AG241">
    <cfRule type="expression" dxfId="1506" priority="250">
      <formula>B$9&gt;=20/24</formula>
    </cfRule>
    <cfRule type="expression" dxfId="1505" priority="251">
      <formula>AND(B$9&gt;=14/24,B$9&lt;20/24)</formula>
    </cfRule>
    <cfRule type="expression" dxfId="1504" priority="252">
      <formula>AND(B$9&gt;=8/24,B$9&lt;14/24)</formula>
    </cfRule>
    <cfRule type="expression" dxfId="1503" priority="253">
      <formula>B$9&lt;8/24</formula>
    </cfRule>
  </conditionalFormatting>
  <conditionalFormatting sqref="S8">
    <cfRule type="expression" dxfId="1502" priority="214">
      <formula>U$9&gt;=20/24</formula>
    </cfRule>
    <cfRule type="expression" dxfId="1501" priority="215">
      <formula>AND(U$9&gt;=14/24,U$9&lt;20/24)</formula>
    </cfRule>
    <cfRule type="expression" dxfId="1500" priority="216">
      <formula>AND(U$9&gt;=8/24,U$9&lt;14/24)</formula>
    </cfRule>
    <cfRule type="expression" dxfId="1499" priority="217">
      <formula>U$9&lt;8/24</formula>
    </cfRule>
  </conditionalFormatting>
  <conditionalFormatting sqref="AB8">
    <cfRule type="expression" dxfId="1498" priority="210">
      <formula>AD$9&gt;=20/24</formula>
    </cfRule>
    <cfRule type="expression" dxfId="1497" priority="211">
      <formula>AND(AD$9&gt;=14/24,AD$9&lt;20/24)</formula>
    </cfRule>
    <cfRule type="expression" dxfId="1496" priority="212">
      <formula>AND(AD$9&gt;=8/24,AD$9&lt;14/24)</formula>
    </cfRule>
    <cfRule type="expression" dxfId="1495" priority="213">
      <formula>AD$9&lt;8/24</formula>
    </cfRule>
  </conditionalFormatting>
  <conditionalFormatting sqref="AH241:AX241">
    <cfRule type="expression" dxfId="1494" priority="254">
      <formula>AG$9&gt;=20/24</formula>
    </cfRule>
    <cfRule type="expression" dxfId="1493" priority="255">
      <formula>AND(AG$9&gt;=14/24,AG$9&lt;20/24)</formula>
    </cfRule>
    <cfRule type="expression" dxfId="1492" priority="256">
      <formula>AND(AG$9&gt;=8/24,AG$9&lt;14/24)</formula>
    </cfRule>
    <cfRule type="expression" dxfId="1491" priority="257">
      <formula>AG$9&lt;8/24</formula>
    </cfRule>
  </conditionalFormatting>
  <conditionalFormatting sqref="T241">
    <cfRule type="expression" dxfId="1490" priority="258">
      <formula>AX$9&gt;=20/24</formula>
    </cfRule>
    <cfRule type="expression" dxfId="1489" priority="259">
      <formula>AND(AX$9&gt;=14/24,AX$9&lt;20/24)</formula>
    </cfRule>
    <cfRule type="expression" dxfId="1488" priority="260">
      <formula>AND(AX$9&gt;=8/24,AX$9&lt;14/24)</formula>
    </cfRule>
    <cfRule type="expression" dxfId="1487" priority="261">
      <formula>AX$9&lt;8/24</formula>
    </cfRule>
  </conditionalFormatting>
  <conditionalFormatting sqref="A111:A112">
    <cfRule type="expression" dxfId="1486" priority="209">
      <formula>$AH111=0</formula>
    </cfRule>
  </conditionalFormatting>
  <conditionalFormatting sqref="S50:W51 Y50:AF51 E67:AF67 J50:M51">
    <cfRule type="expression" dxfId="1485" priority="205">
      <formula>E$9&gt;=20/24</formula>
    </cfRule>
    <cfRule type="expression" dxfId="1484" priority="206">
      <formula>AND(E$9&gt;=14/24,E$9&lt;20/24)</formula>
    </cfRule>
    <cfRule type="expression" dxfId="1483" priority="207">
      <formula>AND(E$9&gt;=8/24,E$9&lt;14/24)</formula>
    </cfRule>
    <cfRule type="expression" dxfId="1482" priority="208">
      <formula>E$9&lt;8/24</formula>
    </cfRule>
  </conditionalFormatting>
  <conditionalFormatting sqref="S49:W49 Y49:AF49 J49:M49">
    <cfRule type="expression" dxfId="1481" priority="201">
      <formula>J$9&gt;=20/24</formula>
    </cfRule>
    <cfRule type="expression" dxfId="1480" priority="202">
      <formula>AND(J$9&gt;=14/24,J$9&lt;20/24)</formula>
    </cfRule>
    <cfRule type="expression" dxfId="1479" priority="203">
      <formula>AND(J$9&gt;=8/24,J$9&lt;14/24)</formula>
    </cfRule>
    <cfRule type="expression" dxfId="1478" priority="204">
      <formula>J$9&lt;8/24</formula>
    </cfRule>
  </conditionalFormatting>
  <conditionalFormatting sqref="S49:W51 Y49:AF51 J49:M51">
    <cfRule type="expression" dxfId="1477" priority="200">
      <formula>J49&gt;$AG49</formula>
    </cfRule>
  </conditionalFormatting>
  <conditionalFormatting sqref="C92:AF92 M43:R43 R11:S14 E96:AF102 T28:AF31 T33:AF33 T12:AF14 R20:AF20 S63:AF65 T68:AF77 T35:AF38 E68:S69 C79:AF82">
    <cfRule type="expression" dxfId="1476" priority="196">
      <formula>C$9&gt;=20/24</formula>
    </cfRule>
    <cfRule type="expression" dxfId="1475" priority="197">
      <formula>AND(C$9&gt;=14/24,C$9&lt;20/24)</formula>
    </cfRule>
    <cfRule type="expression" dxfId="1474" priority="198">
      <formula>AND(C$9&gt;=8/24,C$9&lt;14/24)</formula>
    </cfRule>
    <cfRule type="expression" dxfId="1473" priority="199">
      <formula>C$9&lt;8/24</formula>
    </cfRule>
  </conditionalFormatting>
  <conditionalFormatting sqref="T39:AF39">
    <cfRule type="expression" dxfId="1472" priority="192">
      <formula>T$9&gt;=20/24</formula>
    </cfRule>
    <cfRule type="expression" dxfId="1471" priority="193">
      <formula>AND(T$9&gt;=14/24,T$9&lt;20/24)</formula>
    </cfRule>
    <cfRule type="expression" dxfId="1470" priority="194">
      <formula>AND(T$9&gt;=8/24,T$9&lt;14/24)</formula>
    </cfRule>
    <cfRule type="expression" dxfId="1469" priority="195">
      <formula>T$9&lt;8/24</formula>
    </cfRule>
  </conditionalFormatting>
  <conditionalFormatting sqref="AB52:AF53 C61:AF61 M43:R43 R11:S11 T28:AF33 S63:AF65 T35:AF39 J52:M52">
    <cfRule type="expression" dxfId="1468" priority="191">
      <formula>C11&gt;$AG11</formula>
    </cfRule>
  </conditionalFormatting>
  <conditionalFormatting sqref="T41:AF41">
    <cfRule type="expression" dxfId="1467" priority="187">
      <formula>T$9&gt;=20/24</formula>
    </cfRule>
    <cfRule type="expression" dxfId="1466" priority="188">
      <formula>AND(T$9&gt;=14/24,T$9&lt;20/24)</formula>
    </cfRule>
    <cfRule type="expression" dxfId="1465" priority="189">
      <formula>AND(T$9&gt;=8/24,T$9&lt;14/24)</formula>
    </cfRule>
    <cfRule type="expression" dxfId="1464" priority="190">
      <formula>T$9&lt;8/24</formula>
    </cfRule>
  </conditionalFormatting>
  <conditionalFormatting sqref="R16:AF16">
    <cfRule type="expression" dxfId="1463" priority="183">
      <formula>R$9&gt;=20/24</formula>
    </cfRule>
    <cfRule type="expression" dxfId="1462" priority="184">
      <formula>AND(R$9&gt;=14/24,R$9&lt;20/24)</formula>
    </cfRule>
    <cfRule type="expression" dxfId="1461" priority="185">
      <formula>AND(R$9&gt;=8/24,R$9&lt;14/24)</formula>
    </cfRule>
    <cfRule type="expression" dxfId="1460" priority="186">
      <formula>R$9&lt;8/24</formula>
    </cfRule>
  </conditionalFormatting>
  <conditionalFormatting sqref="T40:AF40">
    <cfRule type="expression" dxfId="1459" priority="179">
      <formula>T$9&gt;=20/24</formula>
    </cfRule>
    <cfRule type="expression" dxfId="1458" priority="180">
      <formula>AND(T$9&gt;=14/24,T$9&lt;20/24)</formula>
    </cfRule>
    <cfRule type="expression" dxfId="1457" priority="181">
      <formula>AND(T$9&gt;=8/24,T$9&lt;14/24)</formula>
    </cfRule>
    <cfRule type="expression" dxfId="1456" priority="182">
      <formula>T$9&lt;8/24</formula>
    </cfRule>
  </conditionalFormatting>
  <conditionalFormatting sqref="T40:AF40">
    <cfRule type="expression" dxfId="1455" priority="178">
      <formula>T40&gt;$AG40</formula>
    </cfRule>
  </conditionalFormatting>
  <conditionalFormatting sqref="AB54:AF60 V52:AA53">
    <cfRule type="expression" dxfId="1454" priority="174">
      <formula>V$9&gt;=20/24</formula>
    </cfRule>
    <cfRule type="expression" dxfId="1453" priority="175">
      <formula>AND(V$9&gt;=14/24,V$9&lt;20/24)</formula>
    </cfRule>
    <cfRule type="expression" dxfId="1452" priority="176">
      <formula>AND(V$9&gt;=8/24,V$9&lt;14/24)</formula>
    </cfRule>
    <cfRule type="expression" dxfId="1451" priority="177">
      <formula>V$9&lt;8/24</formula>
    </cfRule>
  </conditionalFormatting>
  <conditionalFormatting sqref="AB54:AF60 V52:AA53">
    <cfRule type="expression" dxfId="1450" priority="173">
      <formula>V52&gt;$AG52</formula>
    </cfRule>
  </conditionalFormatting>
  <conditionalFormatting sqref="N49:R51 T56:T60 R54:AA55 N52:U53">
    <cfRule type="expression" dxfId="1449" priority="169">
      <formula>N$9&gt;=20/24</formula>
    </cfRule>
    <cfRule type="expression" dxfId="1448" priority="170">
      <formula>AND(N$9&gt;=14/24,N$9&lt;20/24)</formula>
    </cfRule>
    <cfRule type="expression" dxfId="1447" priority="171">
      <formula>AND(N$9&gt;=8/24,N$9&lt;14/24)</formula>
    </cfRule>
    <cfRule type="expression" dxfId="1446" priority="172">
      <formula>N$9&lt;8/24</formula>
    </cfRule>
  </conditionalFormatting>
  <conditionalFormatting sqref="N49:R51 T56:T60 R54:AA55 N52:U53">
    <cfRule type="expression" dxfId="1445" priority="168">
      <formula>N49&gt;$AG49</formula>
    </cfRule>
  </conditionalFormatting>
  <conditionalFormatting sqref="T32:AF32">
    <cfRule type="expression" dxfId="1444" priority="164">
      <formula>T$9&gt;=20/24</formula>
    </cfRule>
    <cfRule type="expression" dxfId="1443" priority="165">
      <formula>AND(T$9&gt;=14/24,T$9&lt;20/24)</formula>
    </cfRule>
    <cfRule type="expression" dxfId="1442" priority="166">
      <formula>AND(T$9&gt;=8/24,T$9&lt;14/24)</formula>
    </cfRule>
    <cfRule type="expression" dxfId="1441" priority="167">
      <formula>T$9&lt;8/24</formula>
    </cfRule>
  </conditionalFormatting>
  <conditionalFormatting sqref="N35:S35 T21:AF21 T27:AF27">
    <cfRule type="expression" dxfId="1440" priority="160">
      <formula>N$9&gt;=20/24</formula>
    </cfRule>
    <cfRule type="expression" dxfId="1439" priority="161">
      <formula>AND(N$9&gt;=14/24,N$9&lt;20/24)</formula>
    </cfRule>
    <cfRule type="expression" dxfId="1438" priority="162">
      <formula>AND(N$9&gt;=8/24,N$9&lt;14/24)</formula>
    </cfRule>
    <cfRule type="expression" dxfId="1437" priority="163">
      <formula>N$9&lt;8/24</formula>
    </cfRule>
  </conditionalFormatting>
  <conditionalFormatting sqref="N35:S35 T21:AF21 T27:AF27">
    <cfRule type="expression" dxfId="1436" priority="159">
      <formula>N21&gt;$AG21</formula>
    </cfRule>
  </conditionalFormatting>
  <conditionalFormatting sqref="X50:X51">
    <cfRule type="expression" dxfId="1435" priority="150">
      <formula>X$9&gt;=20/24</formula>
    </cfRule>
    <cfRule type="expression" dxfId="1434" priority="151">
      <formula>AND(X$9&gt;=14/24,X$9&lt;20/24)</formula>
    </cfRule>
    <cfRule type="expression" dxfId="1433" priority="152">
      <formula>AND(X$9&gt;=8/24,X$9&lt;14/24)</formula>
    </cfRule>
    <cfRule type="expression" dxfId="1432" priority="153">
      <formula>X$9&lt;8/24</formula>
    </cfRule>
  </conditionalFormatting>
  <conditionalFormatting sqref="X49">
    <cfRule type="expression" dxfId="1431" priority="146">
      <formula>X$9&gt;=20/24</formula>
    </cfRule>
    <cfRule type="expression" dxfId="1430" priority="147">
      <formula>AND(X$9&gt;=14/24,X$9&lt;20/24)</formula>
    </cfRule>
    <cfRule type="expression" dxfId="1429" priority="148">
      <formula>AND(X$9&gt;=8/24,X$9&lt;14/24)</formula>
    </cfRule>
    <cfRule type="expression" dxfId="1428" priority="149">
      <formula>X$9&lt;8/24</formula>
    </cfRule>
  </conditionalFormatting>
  <conditionalFormatting sqref="X49:X51">
    <cfRule type="expression" dxfId="1427" priority="145">
      <formula>X49&gt;$AG49</formula>
    </cfRule>
  </conditionalFormatting>
  <conditionalFormatting sqref="B84:AF84 B93:AF93 B105:C105 B107:C112 B11:Q11">
    <cfRule type="expression" dxfId="1426" priority="141">
      <formula>B$9&gt;=20/24</formula>
    </cfRule>
    <cfRule type="expression" dxfId="1425" priority="142">
      <formula>AND(B$9&gt;=14/24,B$9&lt;20/24)</formula>
    </cfRule>
    <cfRule type="expression" dxfId="1424" priority="143">
      <formula>AND(B$9&gt;=8/24,B$9&lt;14/24)</formula>
    </cfRule>
    <cfRule type="expression" dxfId="1423" priority="144">
      <formula>B$9&lt;8/24</formula>
    </cfRule>
  </conditionalFormatting>
  <conditionalFormatting sqref="B43:L43">
    <cfRule type="expression" dxfId="1422" priority="137">
      <formula>B$9&gt;=20/24</formula>
    </cfRule>
    <cfRule type="expression" dxfId="1421" priority="138">
      <formula>AND(B$9&gt;=14/24,B$9&lt;20/24)</formula>
    </cfRule>
    <cfRule type="expression" dxfId="1420" priority="139">
      <formula>AND(B$9&gt;=8/24,B$9&lt;14/24)</formula>
    </cfRule>
    <cfRule type="expression" dxfId="1419" priority="140">
      <formula>B$9&lt;8/24</formula>
    </cfRule>
  </conditionalFormatting>
  <conditionalFormatting sqref="B43:L43 B11:Q11">
    <cfRule type="expression" dxfId="1418" priority="136">
      <formula>B11&gt;$AG11</formula>
    </cfRule>
  </conditionalFormatting>
  <conditionalFormatting sqref="B95:D95">
    <cfRule type="expression" dxfId="1417" priority="132">
      <formula>B$9&gt;=20/24</formula>
    </cfRule>
    <cfRule type="expression" dxfId="1416" priority="133">
      <formula>AND(B$9&gt;=14/24,B$9&lt;20/24)</formula>
    </cfRule>
    <cfRule type="expression" dxfId="1415" priority="134">
      <formula>AND(B$9&gt;=8/24,B$9&lt;14/24)</formula>
    </cfRule>
    <cfRule type="expression" dxfId="1414" priority="135">
      <formula>B$9&lt;8/24</formula>
    </cfRule>
  </conditionalFormatting>
  <conditionalFormatting sqref="B67:D67 B50:I51 B42:AF42">
    <cfRule type="expression" dxfId="1413" priority="128">
      <formula>B$9&gt;=20/24</formula>
    </cfRule>
    <cfRule type="expression" dxfId="1412" priority="129">
      <formula>AND(B$9&gt;=14/24,B$9&lt;20/24)</formula>
    </cfRule>
    <cfRule type="expression" dxfId="1411" priority="130">
      <formula>AND(B$9&gt;=8/24,B$9&lt;14/24)</formula>
    </cfRule>
    <cfRule type="expression" dxfId="1410" priority="131">
      <formula>B$9&lt;8/24</formula>
    </cfRule>
  </conditionalFormatting>
  <conditionalFormatting sqref="B49:I49">
    <cfRule type="expression" dxfId="1409" priority="124">
      <formula>B$9&gt;=20/24</formula>
    </cfRule>
    <cfRule type="expression" dxfId="1408" priority="125">
      <formula>AND(B$9&gt;=14/24,B$9&lt;20/24)</formula>
    </cfRule>
    <cfRule type="expression" dxfId="1407" priority="126">
      <formula>AND(B$9&gt;=8/24,B$9&lt;14/24)</formula>
    </cfRule>
    <cfRule type="expression" dxfId="1406" priority="127">
      <formula>B$9&lt;8/24</formula>
    </cfRule>
  </conditionalFormatting>
  <conditionalFormatting sqref="B49:I51 B42:AF42">
    <cfRule type="expression" dxfId="1405" priority="123">
      <formula>B42&gt;$AG42</formula>
    </cfRule>
  </conditionalFormatting>
  <conditionalFormatting sqref="B63:B66 B79:B83 B85:AF85 B92 C66:AG66 C83:AG83 B94:AF94 N36:S38 B96:D102 B68:D77 C63:R65 E70:S77 B20:Q20 B28:S31 B33:S33 B35:M38 B12:Q14">
    <cfRule type="expression" dxfId="1404" priority="119">
      <formula>B$9&gt;=20/24</formula>
    </cfRule>
    <cfRule type="expression" dxfId="1403" priority="120">
      <formula>AND(B$9&gt;=14/24,B$9&lt;20/24)</formula>
    </cfRule>
    <cfRule type="expression" dxfId="1402" priority="121">
      <formula>AND(B$9&gt;=8/24,B$9&lt;14/24)</formula>
    </cfRule>
    <cfRule type="expression" dxfId="1401" priority="122">
      <formula>B$9&lt;8/24</formula>
    </cfRule>
  </conditionalFormatting>
  <conditionalFormatting sqref="B39:S39">
    <cfRule type="expression" dxfId="1400" priority="115">
      <formula>B$9&gt;=20/24</formula>
    </cfRule>
    <cfRule type="expression" dxfId="1399" priority="116">
      <formula>AND(B$9&gt;=14/24,B$9&lt;20/24)</formula>
    </cfRule>
    <cfRule type="expression" dxfId="1398" priority="117">
      <formula>AND(B$9&gt;=8/24,B$9&lt;14/24)</formula>
    </cfRule>
    <cfRule type="expression" dxfId="1397" priority="118">
      <formula>B$9&lt;8/24</formula>
    </cfRule>
  </conditionalFormatting>
  <conditionalFormatting sqref="B61:B66 B44:AG44 C62:AG62 C66:AG66 N36:S39 B52:I53 C63:R65 B28:S33 B35:M39 J53:M53">
    <cfRule type="expression" dxfId="1396" priority="114">
      <formula>B28&gt;$AG28</formula>
    </cfRule>
  </conditionalFormatting>
  <conditionalFormatting sqref="B41:S41">
    <cfRule type="expression" dxfId="1395" priority="110">
      <formula>B$9&gt;=20/24</formula>
    </cfRule>
    <cfRule type="expression" dxfId="1394" priority="111">
      <formula>AND(B$9&gt;=14/24,B$9&lt;20/24)</formula>
    </cfRule>
    <cfRule type="expression" dxfId="1393" priority="112">
      <formula>AND(B$9&gt;=8/24,B$9&lt;14/24)</formula>
    </cfRule>
    <cfRule type="expression" dxfId="1392" priority="113">
      <formula>B$9&lt;8/24</formula>
    </cfRule>
  </conditionalFormatting>
  <conditionalFormatting sqref="B16:Q16">
    <cfRule type="expression" dxfId="1391" priority="106">
      <formula>B$9&gt;=20/24</formula>
    </cfRule>
    <cfRule type="expression" dxfId="1390" priority="107">
      <formula>AND(B$9&gt;=14/24,B$9&lt;20/24)</formula>
    </cfRule>
    <cfRule type="expression" dxfId="1389" priority="108">
      <formula>AND(B$9&gt;=8/24,B$9&lt;14/24)</formula>
    </cfRule>
    <cfRule type="expression" dxfId="1388" priority="109">
      <formula>B$9&lt;8/24</formula>
    </cfRule>
  </conditionalFormatting>
  <conditionalFormatting sqref="B40:S40">
    <cfRule type="expression" dxfId="1387" priority="102">
      <formula>B$9&gt;=20/24</formula>
    </cfRule>
    <cfRule type="expression" dxfId="1386" priority="103">
      <formula>AND(B$9&gt;=14/24,B$9&lt;20/24)</formula>
    </cfRule>
    <cfRule type="expression" dxfId="1385" priority="104">
      <formula>AND(B$9&gt;=8/24,B$9&lt;14/24)</formula>
    </cfRule>
    <cfRule type="expression" dxfId="1384" priority="105">
      <formula>B$9&lt;8/24</formula>
    </cfRule>
  </conditionalFormatting>
  <conditionalFormatting sqref="B40:S40">
    <cfRule type="expression" dxfId="1383" priority="101">
      <formula>B40&gt;$AG40</formula>
    </cfRule>
  </conditionalFormatting>
  <conditionalFormatting sqref="R56:S60 B54:Q60">
    <cfRule type="expression" dxfId="1382" priority="97">
      <formula>B$9&gt;=20/24</formula>
    </cfRule>
    <cfRule type="expression" dxfId="1381" priority="98">
      <formula>AND(B$9&gt;=14/24,B$9&lt;20/24)</formula>
    </cfRule>
    <cfRule type="expression" dxfId="1380" priority="99">
      <formula>AND(B$9&gt;=8/24,B$9&lt;14/24)</formula>
    </cfRule>
    <cfRule type="expression" dxfId="1379" priority="100">
      <formula>B$9&lt;8/24</formula>
    </cfRule>
  </conditionalFormatting>
  <conditionalFormatting sqref="R56:S60 B54:Q60">
    <cfRule type="expression" dxfId="1378" priority="96">
      <formula>B54&gt;$AG54</formula>
    </cfRule>
  </conditionalFormatting>
  <conditionalFormatting sqref="B32:S32">
    <cfRule type="expression" dxfId="1377" priority="92">
      <formula>B$9&gt;=20/24</formula>
    </cfRule>
    <cfRule type="expression" dxfId="1376" priority="93">
      <formula>AND(B$9&gt;=14/24,B$9&lt;20/24)</formula>
    </cfRule>
    <cfRule type="expression" dxfId="1375" priority="94">
      <formula>AND(B$9&gt;=8/24,B$9&lt;14/24)</formula>
    </cfRule>
    <cfRule type="expression" dxfId="1374" priority="95">
      <formula>B$9&lt;8/24</formula>
    </cfRule>
  </conditionalFormatting>
  <conditionalFormatting sqref="B27:S27 B21:S21">
    <cfRule type="expression" dxfId="1373" priority="88">
      <formula>B$9&gt;=20/24</formula>
    </cfRule>
    <cfRule type="expression" dxfId="1372" priority="89">
      <formula>AND(B$9&gt;=14/24,B$9&lt;20/24)</formula>
    </cfRule>
    <cfRule type="expression" dxfId="1371" priority="90">
      <formula>AND(B$9&gt;=8/24,B$9&lt;14/24)</formula>
    </cfRule>
    <cfRule type="expression" dxfId="1370" priority="91">
      <formula>B$9&lt;8/24</formula>
    </cfRule>
  </conditionalFormatting>
  <conditionalFormatting sqref="B27:S27 B21:S21">
    <cfRule type="expression" dxfId="1369" priority="87">
      <formula>B21&gt;$AG21</formula>
    </cfRule>
  </conditionalFormatting>
  <conditionalFormatting sqref="A40">
    <cfRule type="expression" dxfId="1368" priority="86">
      <formula>$AH40=0</formula>
    </cfRule>
  </conditionalFormatting>
  <conditionalFormatting sqref="B78:AF78">
    <cfRule type="expression" dxfId="1367" priority="82">
      <formula>B$9&gt;=20/24</formula>
    </cfRule>
    <cfRule type="expression" dxfId="1366" priority="83">
      <formula>AND(B$9&gt;=14/24,B$9&lt;20/24)</formula>
    </cfRule>
    <cfRule type="expression" dxfId="1365" priority="84">
      <formula>AND(B$9&gt;=8/24,B$9&lt;14/24)</formula>
    </cfRule>
    <cfRule type="expression" dxfId="1364" priority="85">
      <formula>B$9&lt;8/24</formula>
    </cfRule>
  </conditionalFormatting>
  <conditionalFormatting sqref="B87:AF91">
    <cfRule type="expression" dxfId="1363" priority="78">
      <formula>B$9&gt;=20/24</formula>
    </cfRule>
    <cfRule type="expression" dxfId="1362" priority="79">
      <formula>AND(B$9&gt;=14/24,B$9&lt;20/24)</formula>
    </cfRule>
    <cfRule type="expression" dxfId="1361" priority="80">
      <formula>AND(B$9&gt;=8/24,B$9&lt;14/24)</formula>
    </cfRule>
    <cfRule type="expression" dxfId="1360" priority="81">
      <formula>B$9&lt;8/24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1359" priority="74">
      <formula>E$9&gt;=20/24</formula>
    </cfRule>
    <cfRule type="expression" dxfId="1358" priority="75">
      <formula>AND(E$9&gt;=14/24,E$9&lt;20/24)</formula>
    </cfRule>
    <cfRule type="expression" dxfId="1357" priority="76">
      <formula>AND(E$9&gt;=8/24,E$9&lt;14/24)</formula>
    </cfRule>
    <cfRule type="expression" dxfId="1356" priority="77">
      <formula>E$9&lt;8/24</formula>
    </cfRule>
  </conditionalFormatting>
  <conditionalFormatting sqref="E45:AF47">
    <cfRule type="expression" dxfId="1355" priority="73">
      <formula>E45&gt;$AG45</formula>
    </cfRule>
  </conditionalFormatting>
  <conditionalFormatting sqref="B45:B48 C48:AG48 C45:D47">
    <cfRule type="expression" dxfId="1354" priority="69">
      <formula>B$9&gt;=20/24</formula>
    </cfRule>
    <cfRule type="expression" dxfId="1353" priority="70">
      <formula>AND(B$9&gt;=14/24,B$9&lt;20/24)</formula>
    </cfRule>
    <cfRule type="expression" dxfId="1352" priority="71">
      <formula>AND(B$9&gt;=8/24,B$9&lt;14/24)</formula>
    </cfRule>
    <cfRule type="expression" dxfId="1351" priority="72">
      <formula>B$9&lt;8/24</formula>
    </cfRule>
  </conditionalFormatting>
  <conditionalFormatting sqref="B45:B48 C48:AG48 C45:D47">
    <cfRule type="expression" dxfId="1350" priority="68">
      <formula>B45&gt;$AG45</formula>
    </cfRule>
  </conditionalFormatting>
  <conditionalFormatting sqref="C103:AF103">
    <cfRule type="expression" dxfId="1349" priority="64">
      <formula>C$9&gt;=20/24</formula>
    </cfRule>
    <cfRule type="expression" dxfId="1348" priority="65">
      <formula>AND(C$9&gt;=14/24,C$9&lt;20/24)</formula>
    </cfRule>
    <cfRule type="expression" dxfId="1347" priority="66">
      <formula>AND(C$9&gt;=8/24,C$9&lt;14/24)</formula>
    </cfRule>
    <cfRule type="expression" dxfId="1346" priority="67">
      <formula>C$9&lt;8/24</formula>
    </cfRule>
  </conditionalFormatting>
  <conditionalFormatting sqref="B103">
    <cfRule type="expression" dxfId="1345" priority="60">
      <formula>B$9&gt;=20/24</formula>
    </cfRule>
    <cfRule type="expression" dxfId="1344" priority="61">
      <formula>AND(B$9&gt;=14/24,B$9&lt;20/24)</formula>
    </cfRule>
    <cfRule type="expression" dxfId="1343" priority="62">
      <formula>AND(B$9&gt;=8/24,B$9&lt;14/24)</formula>
    </cfRule>
    <cfRule type="expression" dxfId="1342" priority="63">
      <formula>B$9&lt;8/24</formula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41" priority="54">
      <formula>$AH37=0</formula>
    </cfRule>
  </conditionalFormatting>
  <conditionalFormatting sqref="A86">
    <cfRule type="expression" dxfId="1340" priority="52">
      <formula>$AH86=0</formula>
    </cfRule>
  </conditionalFormatting>
  <conditionalFormatting sqref="A83">
    <cfRule type="expression" dxfId="1339" priority="53">
      <formula>$AH83=0</formula>
    </cfRule>
  </conditionalFormatting>
  <conditionalFormatting sqref="A113">
    <cfRule type="expression" dxfId="1338" priority="43">
      <formula>$AH113=0</formula>
    </cfRule>
  </conditionalFormatting>
  <conditionalFormatting sqref="D106:AF106">
    <cfRule type="expression" dxfId="1337" priority="39">
      <formula>D$9&gt;=20/24</formula>
    </cfRule>
    <cfRule type="expression" dxfId="1336" priority="40">
      <formula>AND(D$9&gt;=14/24,D$9&lt;20/24)</formula>
    </cfRule>
    <cfRule type="expression" dxfId="1335" priority="41">
      <formula>AND(D$9&gt;=8/24,D$9&lt;14/24)</formula>
    </cfRule>
    <cfRule type="expression" dxfId="1334" priority="42">
      <formula>D$9&lt;8/24</formula>
    </cfRule>
  </conditionalFormatting>
  <conditionalFormatting sqref="A106">
    <cfRule type="expression" dxfId="1333" priority="38">
      <formula>$AH106=0</formula>
    </cfRule>
  </conditionalFormatting>
  <conditionalFormatting sqref="B106:C106">
    <cfRule type="expression" dxfId="1332" priority="34">
      <formula>B$9&gt;=20/24</formula>
    </cfRule>
    <cfRule type="expression" dxfId="1331" priority="35">
      <formula>AND(B$9&gt;=14/24,B$9&lt;20/24)</formula>
    </cfRule>
    <cfRule type="expression" dxfId="1330" priority="36">
      <formula>AND(B$9&gt;=8/24,B$9&lt;14/24)</formula>
    </cfRule>
    <cfRule type="expression" dxfId="1329" priority="37">
      <formula>B$9&lt;8/24</formula>
    </cfRule>
  </conditionalFormatting>
  <conditionalFormatting sqref="U56:AA60">
    <cfRule type="expression" dxfId="1328" priority="30">
      <formula>U$9&gt;=20/24</formula>
    </cfRule>
    <cfRule type="expression" dxfId="1327" priority="31">
      <formula>AND(U$9&gt;=14/24,U$9&lt;20/24)</formula>
    </cfRule>
    <cfRule type="expression" dxfId="1326" priority="32">
      <formula>AND(U$9&gt;=8/24,U$9&lt;14/24)</formula>
    </cfRule>
    <cfRule type="expression" dxfId="1325" priority="33">
      <formula>U$9&lt;8/24</formula>
    </cfRule>
  </conditionalFormatting>
  <conditionalFormatting sqref="U56:AA60">
    <cfRule type="expression" dxfId="1324" priority="29">
      <formula>U56&gt;$AG56</formula>
    </cfRule>
  </conditionalFormatting>
  <conditionalFormatting sqref="B19:AF19">
    <cfRule type="expression" dxfId="1323" priority="27">
      <formula>B19&gt;$AG19</formula>
    </cfRule>
  </conditionalFormatting>
  <conditionalFormatting sqref="A19">
    <cfRule type="expression" dxfId="1322" priority="26">
      <formula>$AH19=0</formula>
    </cfRule>
  </conditionalFormatting>
  <conditionalFormatting sqref="R19:AF19">
    <cfRule type="expression" dxfId="1321" priority="22">
      <formula>R$9&gt;=20/24</formula>
    </cfRule>
    <cfRule type="expression" dxfId="1320" priority="23">
      <formula>AND(R$9&gt;=14/24,R$9&lt;20/24)</formula>
    </cfRule>
    <cfRule type="expression" dxfId="1319" priority="24">
      <formula>AND(R$9&gt;=8/24,R$9&lt;14/24)</formula>
    </cfRule>
    <cfRule type="expression" dxfId="1318" priority="25">
      <formula>R$9&lt;8/24</formula>
    </cfRule>
  </conditionalFormatting>
  <conditionalFormatting sqref="B19:Q19">
    <cfRule type="expression" dxfId="1317" priority="18">
      <formula>B$9&gt;=20/24</formula>
    </cfRule>
    <cfRule type="expression" dxfId="1316" priority="19">
      <formula>AND(B$9&gt;=14/24,B$9&lt;20/24)</formula>
    </cfRule>
    <cfRule type="expression" dxfId="1315" priority="20">
      <formula>AND(B$9&gt;=8/24,B$9&lt;14/24)</formula>
    </cfRule>
    <cfRule type="expression" dxfId="1314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313" priority="16">
      <formula>$AH34=0</formula>
    </cfRule>
  </conditionalFormatting>
  <conditionalFormatting sqref="T34:AF34">
    <cfRule type="expression" dxfId="1312" priority="12">
      <formula>T$9&gt;=20/24</formula>
    </cfRule>
    <cfRule type="expression" dxfId="1311" priority="13">
      <formula>AND(T$9&gt;=14/24,T$9&lt;20/24)</formula>
    </cfRule>
    <cfRule type="expression" dxfId="1310" priority="14">
      <formula>AND(T$9&gt;=8/24,T$9&lt;14/24)</formula>
    </cfRule>
    <cfRule type="expression" dxfId="1309" priority="15">
      <formula>T$9&lt;8/24</formula>
    </cfRule>
  </conditionalFormatting>
  <conditionalFormatting sqref="T34:AF34">
    <cfRule type="expression" dxfId="1308" priority="11">
      <formula>T34&gt;$AG34</formula>
    </cfRule>
  </conditionalFormatting>
  <conditionalFormatting sqref="N34:S34">
    <cfRule type="expression" dxfId="1307" priority="7">
      <formula>N$9&gt;=20/24</formula>
    </cfRule>
    <cfRule type="expression" dxfId="1306" priority="8">
      <formula>AND(N$9&gt;=14/24,N$9&lt;20/24)</formula>
    </cfRule>
    <cfRule type="expression" dxfId="1305" priority="9">
      <formula>AND(N$9&gt;=8/24,N$9&lt;14/24)</formula>
    </cfRule>
    <cfRule type="expression" dxfId="1304" priority="10">
      <formula>N$9&lt;8/24</formula>
    </cfRule>
  </conditionalFormatting>
  <conditionalFormatting sqref="N34:S34">
    <cfRule type="expression" dxfId="1303" priority="6">
      <formula>N34&gt;$AG34</formula>
    </cfRule>
  </conditionalFormatting>
  <conditionalFormatting sqref="B34:M34">
    <cfRule type="expression" dxfId="1302" priority="2">
      <formula>B$9&gt;=20/24</formula>
    </cfRule>
    <cfRule type="expression" dxfId="1301" priority="3">
      <formula>AND(B$9&gt;=14/24,B$9&lt;20/24)</formula>
    </cfRule>
    <cfRule type="expression" dxfId="1300" priority="4">
      <formula>AND(B$9&gt;=8/24,B$9&lt;14/24)</formula>
    </cfRule>
    <cfRule type="expression" dxfId="1299" priority="5">
      <formula>B$9&lt;8/24</formula>
    </cfRule>
  </conditionalFormatting>
  <conditionalFormatting sqref="B34:M34">
    <cfRule type="expression" dxfId="1298" priority="1">
      <formula>B34&gt;$AG34</formula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C84C932A-863E-421E-A4EA-9DC20B9AA3E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57B6636D-A349-4138-B720-3DFF2FAD6FC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06BBA927-00B9-4732-9E6D-E46F9894EFF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FA0D7730-B7DC-430D-9A08-2C7FABC7E66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8" id="{6B6AE1DD-8C0C-4879-86B1-8AD4CBE19B7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F2A300A8-30E9-4B44-9F72-C9794D69427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68F55F22-ABE1-4161-8C3F-76E64F77DF4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4F79D2BE-CB3D-4E67-8235-7388E6208BC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44" id="{BE01ADCF-3AE4-4ED6-8751-D9FA4EE0DA9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2CF31BB3-AB41-41BB-9277-2C02976B5B3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8E2C75FD-5C0B-489F-AF69-D3F7554FE0C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D7F7B8A7-86BC-49D4-A986-9070135289E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J274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I33" sqref="I3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4" t="s">
        <v>1</v>
      </c>
      <c r="AH1" s="254"/>
      <c r="AI1" s="254"/>
      <c r="AL1" s="2"/>
    </row>
    <row r="2" spans="1:88" ht="20.25" x14ac:dyDescent="0.25">
      <c r="A2" s="3"/>
      <c r="B2" s="255" t="s">
        <v>2</v>
      </c>
      <c r="C2" s="4"/>
      <c r="D2" s="257" t="s">
        <v>3</v>
      </c>
      <c r="E2" s="4"/>
      <c r="F2" s="257" t="s">
        <v>4</v>
      </c>
      <c r="G2" s="4"/>
      <c r="H2" s="257" t="s">
        <v>5</v>
      </c>
      <c r="I2" s="5"/>
      <c r="J2" s="259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256"/>
      <c r="C3" s="16"/>
      <c r="D3" s="258"/>
      <c r="E3" s="16"/>
      <c r="F3" s="258"/>
      <c r="G3" s="16"/>
      <c r="H3" s="258"/>
      <c r="I3" s="17"/>
      <c r="J3" s="259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248" t="e">
        <f ca="1">"2079/"&amp;"08/"&amp;INT(MID(CELL("filename",D6),FIND("]",CELL("filename",D6))+1,200))</f>
        <v>#VALUE!</v>
      </c>
      <c r="C4" s="248"/>
      <c r="D4" s="248"/>
      <c r="E4" s="249" t="str">
        <f ca="1">IFERROR([1]!DateBStoAD(B4),"")</f>
        <v/>
      </c>
      <c r="F4" s="249"/>
      <c r="G4" s="249"/>
      <c r="H4" s="249" t="str">
        <f ca="1">TEXT(E4,"dddd")</f>
        <v/>
      </c>
      <c r="I4" s="249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204MW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Load=204</v>
      </c>
      <c r="B7" s="35">
        <f t="shared" ref="B7:AF7" si="1">B85</f>
        <v>203.54</v>
      </c>
      <c r="C7" s="35">
        <f t="shared" si="1"/>
        <v>203.54</v>
      </c>
      <c r="D7" s="35">
        <f t="shared" si="1"/>
        <v>203.54</v>
      </c>
      <c r="E7" s="35">
        <f t="shared" si="1"/>
        <v>203.54</v>
      </c>
      <c r="F7" s="35">
        <f t="shared" si="1"/>
        <v>203.54</v>
      </c>
      <c r="G7" s="35">
        <f t="shared" si="1"/>
        <v>203.54</v>
      </c>
      <c r="H7" s="35">
        <f t="shared" si="1"/>
        <v>203.54</v>
      </c>
      <c r="I7" s="35">
        <f t="shared" si="1"/>
        <v>203.54</v>
      </c>
      <c r="J7" s="35">
        <f t="shared" si="1"/>
        <v>203.54</v>
      </c>
      <c r="K7" s="35">
        <f t="shared" si="1"/>
        <v>203.54</v>
      </c>
      <c r="L7" s="35">
        <f t="shared" si="1"/>
        <v>203.54</v>
      </c>
      <c r="M7" s="35">
        <f t="shared" si="1"/>
        <v>203.54</v>
      </c>
      <c r="N7" s="35">
        <f t="shared" si="1"/>
        <v>203.54</v>
      </c>
      <c r="O7" s="35">
        <f t="shared" si="1"/>
        <v>203.54</v>
      </c>
      <c r="P7" s="35">
        <f t="shared" si="1"/>
        <v>203.54</v>
      </c>
      <c r="Q7" s="35">
        <f t="shared" si="1"/>
        <v>203.54</v>
      </c>
      <c r="R7" s="35">
        <f t="shared" si="1"/>
        <v>203.54</v>
      </c>
      <c r="S7" s="35">
        <f t="shared" si="1"/>
        <v>203.54</v>
      </c>
      <c r="T7" s="35">
        <f t="shared" si="1"/>
        <v>203.54</v>
      </c>
      <c r="U7" s="35">
        <f t="shared" si="1"/>
        <v>203.54</v>
      </c>
      <c r="V7" s="35">
        <f t="shared" si="1"/>
        <v>203.54</v>
      </c>
      <c r="W7" s="35">
        <f t="shared" si="1"/>
        <v>203.54</v>
      </c>
      <c r="X7" s="35">
        <f t="shared" si="1"/>
        <v>203.54</v>
      </c>
      <c r="Y7" s="35">
        <f t="shared" si="1"/>
        <v>203.54</v>
      </c>
      <c r="Z7" s="35">
        <f t="shared" si="1"/>
        <v>203.54</v>
      </c>
      <c r="AA7" s="35">
        <f t="shared" si="1"/>
        <v>203.54</v>
      </c>
      <c r="AB7" s="35">
        <f t="shared" si="1"/>
        <v>203.54</v>
      </c>
      <c r="AC7" s="35">
        <f t="shared" si="1"/>
        <v>203.54</v>
      </c>
      <c r="AD7" s="35">
        <f t="shared" si="1"/>
        <v>203.54</v>
      </c>
      <c r="AE7" s="35">
        <f t="shared" si="1"/>
        <v>203.54</v>
      </c>
      <c r="AF7" s="35">
        <f t="shared" si="1"/>
        <v>203.54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250" t="s">
        <v>14</v>
      </c>
      <c r="C8" s="251"/>
      <c r="D8" s="251"/>
      <c r="E8" s="251"/>
      <c r="F8" s="251"/>
      <c r="G8" s="251"/>
      <c r="H8" s="251"/>
      <c r="I8" s="251"/>
      <c r="J8" s="251"/>
      <c r="K8" s="251"/>
      <c r="L8" s="252"/>
      <c r="M8" s="243" t="s">
        <v>15</v>
      </c>
      <c r="N8" s="244"/>
      <c r="O8" s="244"/>
      <c r="P8" s="244"/>
      <c r="Q8" s="244"/>
      <c r="R8" s="245"/>
      <c r="S8" s="243" t="s">
        <v>16</v>
      </c>
      <c r="T8" s="244"/>
      <c r="U8" s="244"/>
      <c r="V8" s="244"/>
      <c r="W8" s="244"/>
      <c r="X8" s="244"/>
      <c r="Y8" s="244"/>
      <c r="Z8" s="244"/>
      <c r="AA8" s="245"/>
      <c r="AB8" s="243" t="s">
        <v>17</v>
      </c>
      <c r="AC8" s="244"/>
      <c r="AD8" s="244"/>
      <c r="AE8" s="244"/>
      <c r="AF8" s="245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246" t="s">
        <v>18</v>
      </c>
      <c r="B9" s="240">
        <v>0</v>
      </c>
      <c r="C9" s="240">
        <v>4.1666666666666664E-2</v>
      </c>
      <c r="D9" s="240">
        <v>8.3333333333333301E-2</v>
      </c>
      <c r="E9" s="240">
        <v>0.125</v>
      </c>
      <c r="F9" s="240">
        <v>0.16666666666666699</v>
      </c>
      <c r="G9" s="240">
        <v>0.20833333333333301</v>
      </c>
      <c r="H9" s="240">
        <v>0.22916666666666666</v>
      </c>
      <c r="I9" s="240">
        <v>0.25</v>
      </c>
      <c r="J9" s="240">
        <v>0.27083333333333331</v>
      </c>
      <c r="K9" s="240">
        <v>0.29166666666666669</v>
      </c>
      <c r="L9" s="240">
        <v>0.3125</v>
      </c>
      <c r="M9" s="238">
        <v>0.33333333333333331</v>
      </c>
      <c r="N9" s="238">
        <v>0.375</v>
      </c>
      <c r="O9" s="238">
        <v>0.41666666666666702</v>
      </c>
      <c r="P9" s="238">
        <v>0.45833333333333298</v>
      </c>
      <c r="Q9" s="238">
        <v>0.5</v>
      </c>
      <c r="R9" s="238">
        <v>0.54166666666666696</v>
      </c>
      <c r="S9" s="236">
        <v>0.58333333333333304</v>
      </c>
      <c r="T9" s="236">
        <v>0.625</v>
      </c>
      <c r="U9" s="236">
        <v>0.66666666666666696</v>
      </c>
      <c r="V9" s="236">
        <v>0.70833333333333304</v>
      </c>
      <c r="W9" s="236">
        <v>0.72916666666666663</v>
      </c>
      <c r="X9" s="236">
        <v>0.75</v>
      </c>
      <c r="Y9" s="236">
        <v>0.77083333333333337</v>
      </c>
      <c r="Z9" s="236">
        <v>0.79166666666666663</v>
      </c>
      <c r="AA9" s="236">
        <v>0.8125</v>
      </c>
      <c r="AB9" s="236">
        <v>0.83333333333333337</v>
      </c>
      <c r="AC9" s="236">
        <v>0.85416666666666663</v>
      </c>
      <c r="AD9" s="236">
        <v>0.875</v>
      </c>
      <c r="AE9" s="236">
        <v>0.91666666666666696</v>
      </c>
      <c r="AF9" s="236">
        <v>0.95833333333333304</v>
      </c>
      <c r="AG9" s="241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247"/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9"/>
      <c r="N10" s="239"/>
      <c r="O10" s="239"/>
      <c r="P10" s="239"/>
      <c r="Q10" s="239"/>
      <c r="R10" s="239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42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7">
        <v>52.4</v>
      </c>
      <c r="AH11" s="48">
        <f>MAX(B11:AF11)</f>
        <v>0</v>
      </c>
      <c r="AI11" s="49">
        <f>MIN(B11:AF11)</f>
        <v>0</v>
      </c>
      <c r="AK11" s="50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1">
        <v>50</v>
      </c>
      <c r="AH12" s="48">
        <f t="shared" ref="AH12:AH79" si="2">MAX(B12:AF12)</f>
        <v>0</v>
      </c>
      <c r="AI12" s="49">
        <f t="shared" ref="AI12:AI79" si="3">MIN(B12:AF12)</f>
        <v>0</v>
      </c>
      <c r="AK12" s="50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51">
        <v>45</v>
      </c>
      <c r="AH13" s="48">
        <f t="shared" si="2"/>
        <v>0</v>
      </c>
      <c r="AI13" s="49">
        <f t="shared" si="3"/>
        <v>0</v>
      </c>
      <c r="AK13" s="50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51">
        <v>42</v>
      </c>
      <c r="AH14" s="48">
        <f t="shared" si="2"/>
        <v>0</v>
      </c>
      <c r="AI14" s="49">
        <f t="shared" si="3"/>
        <v>0</v>
      </c>
      <c r="AK14" s="50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255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1">
        <v>36</v>
      </c>
      <c r="AH15" s="48">
        <f t="shared" ref="AH15:AH23" si="4">MAX(B15:AF15)</f>
        <v>0</v>
      </c>
      <c r="AI15" s="49">
        <f t="shared" ref="AI15:AI23" si="5">MIN(B15:AF15)</f>
        <v>0</v>
      </c>
      <c r="AK15" s="50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23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2">
        <v>30</v>
      </c>
      <c r="AH16" s="48">
        <f t="shared" si="4"/>
        <v>0</v>
      </c>
      <c r="AI16" s="49">
        <f t="shared" si="5"/>
        <v>0</v>
      </c>
      <c r="AK16" s="50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24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1">
        <v>24.2</v>
      </c>
      <c r="AH17" s="48">
        <f t="shared" si="4"/>
        <v>0</v>
      </c>
      <c r="AI17" s="49">
        <f t="shared" si="5"/>
        <v>0</v>
      </c>
      <c r="AK17" s="50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253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1">
        <v>28</v>
      </c>
      <c r="AH18" s="48">
        <f t="shared" si="4"/>
        <v>0</v>
      </c>
      <c r="AI18" s="49">
        <f t="shared" si="5"/>
        <v>0</v>
      </c>
      <c r="AK18" s="50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25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2">
        <v>30</v>
      </c>
      <c r="AH19" s="48">
        <f t="shared" si="4"/>
        <v>0</v>
      </c>
      <c r="AI19" s="49">
        <f t="shared" si="5"/>
        <v>0</v>
      </c>
      <c r="AK19" s="50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26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1">
        <v>25</v>
      </c>
      <c r="AH20" s="48">
        <f t="shared" si="4"/>
        <v>0</v>
      </c>
      <c r="AI20" s="49">
        <f t="shared" si="5"/>
        <v>0</v>
      </c>
      <c r="AK20" s="50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27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1">
        <v>25</v>
      </c>
      <c r="AH21" s="48">
        <f t="shared" si="4"/>
        <v>0</v>
      </c>
      <c r="AI21" s="49">
        <f t="shared" si="5"/>
        <v>0</v>
      </c>
      <c r="AK21" s="50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28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1">
        <v>25</v>
      </c>
      <c r="AH22" s="48">
        <f t="shared" si="4"/>
        <v>0</v>
      </c>
      <c r="AI22" s="49">
        <f t="shared" si="5"/>
        <v>0</v>
      </c>
      <c r="AK22" s="50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251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1">
        <v>25</v>
      </c>
      <c r="AH23" s="48">
        <f t="shared" si="4"/>
        <v>0</v>
      </c>
      <c r="AI23" s="49">
        <f t="shared" si="5"/>
        <v>0</v>
      </c>
      <c r="AK23" s="50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29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1">
        <v>23.5</v>
      </c>
      <c r="AH24" s="48">
        <f t="shared" si="2"/>
        <v>0</v>
      </c>
      <c r="AI24" s="49">
        <f t="shared" si="3"/>
        <v>0</v>
      </c>
      <c r="AK24" s="50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30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1">
        <v>22.2</v>
      </c>
      <c r="AH25" s="48">
        <f t="shared" si="2"/>
        <v>0</v>
      </c>
      <c r="AI25" s="49">
        <f t="shared" si="3"/>
        <v>0</v>
      </c>
      <c r="AK25" s="50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31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1">
        <v>22.1</v>
      </c>
      <c r="AH26" s="48">
        <f t="shared" si="2"/>
        <v>0</v>
      </c>
      <c r="AI26" s="49">
        <f t="shared" si="3"/>
        <v>0</v>
      </c>
      <c r="AK26" s="50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32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1">
        <v>22</v>
      </c>
      <c r="AH27" s="48">
        <f t="shared" si="2"/>
        <v>0</v>
      </c>
      <c r="AI27" s="49">
        <f t="shared" si="3"/>
        <v>0</v>
      </c>
      <c r="AK27" s="50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33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1">
        <v>22</v>
      </c>
      <c r="AH28" s="48">
        <f t="shared" si="2"/>
        <v>0</v>
      </c>
      <c r="AI28" s="49">
        <f t="shared" si="3"/>
        <v>0</v>
      </c>
      <c r="AK28" s="50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34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1">
        <v>20</v>
      </c>
      <c r="AH29" s="48">
        <f t="shared" si="2"/>
        <v>0</v>
      </c>
      <c r="AI29" s="49">
        <f t="shared" si="3"/>
        <v>0</v>
      </c>
      <c r="AK29" s="50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277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1">
        <v>18</v>
      </c>
      <c r="AH30" s="48">
        <f t="shared" ref="AH30" si="6">MAX(B30:AF30)</f>
        <v>0</v>
      </c>
      <c r="AI30" s="49">
        <f t="shared" ref="AI30" si="7">MIN(B30:AF30)</f>
        <v>0</v>
      </c>
      <c r="AK30" s="50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35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1">
        <v>14.9</v>
      </c>
      <c r="AH31" s="48">
        <f t="shared" si="2"/>
        <v>0</v>
      </c>
      <c r="AI31" s="49">
        <f t="shared" si="3"/>
        <v>0</v>
      </c>
      <c r="AK31" s="50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36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1">
        <v>13.6</v>
      </c>
      <c r="AH32" s="48">
        <f t="shared" si="2"/>
        <v>0</v>
      </c>
      <c r="AI32" s="49">
        <f t="shared" si="3"/>
        <v>0</v>
      </c>
      <c r="AK32" s="50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37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1">
        <v>13</v>
      </c>
      <c r="AH33" s="48">
        <f t="shared" si="2"/>
        <v>0</v>
      </c>
      <c r="AI33" s="49">
        <f t="shared" si="3"/>
        <v>0</v>
      </c>
      <c r="AK33" s="50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38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1">
        <v>12</v>
      </c>
      <c r="AH34" s="48">
        <f t="shared" si="2"/>
        <v>0</v>
      </c>
      <c r="AI34" s="49">
        <f t="shared" si="3"/>
        <v>0</v>
      </c>
      <c r="AK34" s="50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39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1">
        <v>12</v>
      </c>
      <c r="AH35" s="48">
        <f t="shared" si="2"/>
        <v>0</v>
      </c>
      <c r="AI35" s="49">
        <f t="shared" si="3"/>
        <v>0</v>
      </c>
      <c r="AK35" s="50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40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1">
        <v>12</v>
      </c>
      <c r="AH36" s="48">
        <f t="shared" si="2"/>
        <v>0</v>
      </c>
      <c r="AI36" s="49">
        <f t="shared" si="3"/>
        <v>0</v>
      </c>
      <c r="AK36" s="50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41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3">
        <v>22</v>
      </c>
      <c r="AH37" s="48">
        <f t="shared" si="2"/>
        <v>0</v>
      </c>
      <c r="AI37" s="49">
        <f t="shared" si="3"/>
        <v>0</v>
      </c>
      <c r="AK37" s="50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42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2">
        <v>11.88</v>
      </c>
      <c r="AH38" s="48">
        <f t="shared" si="2"/>
        <v>0</v>
      </c>
      <c r="AI38" s="49">
        <f t="shared" si="3"/>
        <v>0</v>
      </c>
      <c r="AK38" s="50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4" t="s">
        <v>43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5">
        <v>11</v>
      </c>
      <c r="AH39" s="48">
        <f t="shared" si="2"/>
        <v>0</v>
      </c>
      <c r="AI39" s="49">
        <f t="shared" si="3"/>
        <v>0</v>
      </c>
      <c r="AK39" s="50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4" t="s">
        <v>44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5">
        <v>10</v>
      </c>
      <c r="AH40" s="48">
        <f t="shared" si="2"/>
        <v>0</v>
      </c>
      <c r="AI40" s="49">
        <f t="shared" si="3"/>
        <v>0</v>
      </c>
      <c r="AK40" s="50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4" t="s">
        <v>45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5">
        <v>10</v>
      </c>
      <c r="AH41" s="48">
        <f t="shared" si="2"/>
        <v>0</v>
      </c>
      <c r="AI41" s="49">
        <f t="shared" si="3"/>
        <v>0</v>
      </c>
      <c r="AK41" s="50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6" t="s">
        <v>46</v>
      </c>
      <c r="B42" s="57">
        <v>200</v>
      </c>
      <c r="C42" s="57">
        <v>200</v>
      </c>
      <c r="D42" s="57">
        <v>200</v>
      </c>
      <c r="E42" s="57">
        <v>200</v>
      </c>
      <c r="F42" s="57">
        <v>200</v>
      </c>
      <c r="G42" s="57">
        <v>200</v>
      </c>
      <c r="H42" s="57">
        <v>200</v>
      </c>
      <c r="I42" s="57">
        <v>200</v>
      </c>
      <c r="J42" s="57">
        <v>200</v>
      </c>
      <c r="K42" s="57">
        <v>200</v>
      </c>
      <c r="L42" s="57">
        <v>200</v>
      </c>
      <c r="M42" s="57">
        <v>200</v>
      </c>
      <c r="N42" s="57">
        <v>200</v>
      </c>
      <c r="O42" s="57">
        <v>200</v>
      </c>
      <c r="P42" s="57">
        <v>200</v>
      </c>
      <c r="Q42" s="57">
        <v>200</v>
      </c>
      <c r="R42" s="57">
        <v>200</v>
      </c>
      <c r="S42" s="57">
        <v>200</v>
      </c>
      <c r="T42" s="57">
        <v>200</v>
      </c>
      <c r="U42" s="57">
        <v>200</v>
      </c>
      <c r="V42" s="57">
        <v>200</v>
      </c>
      <c r="W42" s="57">
        <v>200</v>
      </c>
      <c r="X42" s="57">
        <v>200</v>
      </c>
      <c r="Y42" s="57">
        <v>200</v>
      </c>
      <c r="Z42" s="57">
        <v>200</v>
      </c>
      <c r="AA42" s="57">
        <v>200</v>
      </c>
      <c r="AB42" s="57">
        <v>200</v>
      </c>
      <c r="AC42" s="57">
        <v>200</v>
      </c>
      <c r="AD42" s="57">
        <v>200</v>
      </c>
      <c r="AE42" s="57">
        <v>200</v>
      </c>
      <c r="AF42" s="57">
        <v>200</v>
      </c>
      <c r="AG42" s="55">
        <v>85</v>
      </c>
      <c r="AH42" s="48">
        <f t="shared" si="2"/>
        <v>200</v>
      </c>
      <c r="AI42" s="49">
        <f t="shared" si="3"/>
        <v>200</v>
      </c>
      <c r="AK42" s="50"/>
    </row>
    <row r="43" spans="1:88" ht="15.75" thickBot="1" x14ac:dyDescent="0.3">
      <c r="A43" s="58" t="s">
        <v>47</v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7"/>
      <c r="M43" s="57"/>
      <c r="N43" s="57"/>
      <c r="O43" s="57"/>
      <c r="P43" s="57"/>
      <c r="Q43" s="57"/>
      <c r="R43" s="57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5">
        <v>240</v>
      </c>
      <c r="AH43" s="48">
        <f t="shared" si="2"/>
        <v>0</v>
      </c>
      <c r="AI43" s="49">
        <f t="shared" si="3"/>
        <v>0</v>
      </c>
      <c r="AK43" s="50"/>
    </row>
    <row r="44" spans="1:88" ht="15.75" thickBot="1" x14ac:dyDescent="0.3">
      <c r="A44" s="60" t="s">
        <v>48</v>
      </c>
      <c r="B44" s="61">
        <f t="shared" ref="B44:AG44" si="8">SUM(B11:B42)</f>
        <v>200</v>
      </c>
      <c r="C44" s="61">
        <f t="shared" si="8"/>
        <v>200</v>
      </c>
      <c r="D44" s="61">
        <f t="shared" si="8"/>
        <v>200</v>
      </c>
      <c r="E44" s="61">
        <f t="shared" si="8"/>
        <v>200</v>
      </c>
      <c r="F44" s="61">
        <f t="shared" si="8"/>
        <v>200</v>
      </c>
      <c r="G44" s="61">
        <f t="shared" si="8"/>
        <v>200</v>
      </c>
      <c r="H44" s="61">
        <f t="shared" si="8"/>
        <v>200</v>
      </c>
      <c r="I44" s="61">
        <f t="shared" si="8"/>
        <v>200</v>
      </c>
      <c r="J44" s="61">
        <f t="shared" si="8"/>
        <v>200</v>
      </c>
      <c r="K44" s="61">
        <f t="shared" si="8"/>
        <v>200</v>
      </c>
      <c r="L44" s="61">
        <f t="shared" si="8"/>
        <v>200</v>
      </c>
      <c r="M44" s="61">
        <f t="shared" si="8"/>
        <v>200</v>
      </c>
      <c r="N44" s="61">
        <f t="shared" si="8"/>
        <v>200</v>
      </c>
      <c r="O44" s="61">
        <f t="shared" si="8"/>
        <v>200</v>
      </c>
      <c r="P44" s="61">
        <f t="shared" si="8"/>
        <v>200</v>
      </c>
      <c r="Q44" s="61">
        <f t="shared" si="8"/>
        <v>200</v>
      </c>
      <c r="R44" s="61">
        <f t="shared" si="8"/>
        <v>200</v>
      </c>
      <c r="S44" s="61">
        <f t="shared" si="8"/>
        <v>200</v>
      </c>
      <c r="T44" s="61">
        <f t="shared" si="8"/>
        <v>200</v>
      </c>
      <c r="U44" s="61">
        <f t="shared" si="8"/>
        <v>200</v>
      </c>
      <c r="V44" s="61">
        <f t="shared" si="8"/>
        <v>200</v>
      </c>
      <c r="W44" s="61">
        <f t="shared" si="8"/>
        <v>200</v>
      </c>
      <c r="X44" s="61">
        <f t="shared" si="8"/>
        <v>200</v>
      </c>
      <c r="Y44" s="61">
        <f t="shared" si="8"/>
        <v>200</v>
      </c>
      <c r="Z44" s="61">
        <f t="shared" si="8"/>
        <v>200</v>
      </c>
      <c r="AA44" s="61">
        <f t="shared" si="8"/>
        <v>200</v>
      </c>
      <c r="AB44" s="61">
        <f t="shared" si="8"/>
        <v>200</v>
      </c>
      <c r="AC44" s="61">
        <f t="shared" si="8"/>
        <v>200</v>
      </c>
      <c r="AD44" s="61">
        <f t="shared" si="8"/>
        <v>200</v>
      </c>
      <c r="AE44" s="61">
        <f t="shared" si="8"/>
        <v>200</v>
      </c>
      <c r="AF44" s="61">
        <f t="shared" si="8"/>
        <v>200</v>
      </c>
      <c r="AG44" s="62">
        <f t="shared" si="8"/>
        <v>814.78000000000009</v>
      </c>
      <c r="AH44" s="48">
        <f t="shared" si="2"/>
        <v>200</v>
      </c>
      <c r="AI44" s="49">
        <f t="shared" si="3"/>
        <v>200</v>
      </c>
      <c r="AK44" s="50"/>
    </row>
    <row r="45" spans="1:88" x14ac:dyDescent="0.25">
      <c r="A45" s="63" t="s">
        <v>49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2">
        <v>456</v>
      </c>
      <c r="AH45" s="48">
        <f t="shared" si="2"/>
        <v>0</v>
      </c>
      <c r="AI45" s="49">
        <f t="shared" si="3"/>
        <v>0</v>
      </c>
      <c r="AK45" s="50"/>
    </row>
    <row r="46" spans="1:88" x14ac:dyDescent="0.25">
      <c r="A46" s="64" t="s">
        <v>50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55">
        <v>60</v>
      </c>
      <c r="AH46" s="48">
        <f t="shared" si="2"/>
        <v>0</v>
      </c>
      <c r="AI46" s="49">
        <f t="shared" si="3"/>
        <v>0</v>
      </c>
      <c r="AK46" s="50"/>
    </row>
    <row r="47" spans="1:88" ht="15.75" thickBot="1" x14ac:dyDescent="0.3">
      <c r="A47" s="66" t="s">
        <v>51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8">
        <v>22.1</v>
      </c>
      <c r="AH47" s="48">
        <f t="shared" si="2"/>
        <v>0</v>
      </c>
      <c r="AI47" s="49">
        <f t="shared" si="3"/>
        <v>0</v>
      </c>
      <c r="AK47" s="50"/>
    </row>
    <row r="48" spans="1:88" ht="15.75" thickBot="1" x14ac:dyDescent="0.3">
      <c r="A48" s="69" t="s">
        <v>52</v>
      </c>
      <c r="B48" s="61">
        <f t="shared" ref="B48:AG48" si="9">SUM(B45:B47)</f>
        <v>0</v>
      </c>
      <c r="C48" s="61">
        <f t="shared" si="9"/>
        <v>0</v>
      </c>
      <c r="D48" s="61">
        <f t="shared" si="9"/>
        <v>0</v>
      </c>
      <c r="E48" s="61">
        <f t="shared" si="9"/>
        <v>0</v>
      </c>
      <c r="F48" s="61">
        <f t="shared" si="9"/>
        <v>0</v>
      </c>
      <c r="G48" s="61">
        <f t="shared" si="9"/>
        <v>0</v>
      </c>
      <c r="H48" s="61">
        <f t="shared" si="9"/>
        <v>0</v>
      </c>
      <c r="I48" s="61">
        <f t="shared" si="9"/>
        <v>0</v>
      </c>
      <c r="J48" s="61">
        <f t="shared" si="9"/>
        <v>0</v>
      </c>
      <c r="K48" s="61">
        <f t="shared" si="9"/>
        <v>0</v>
      </c>
      <c r="L48" s="61">
        <f t="shared" si="9"/>
        <v>0</v>
      </c>
      <c r="M48" s="61">
        <f t="shared" si="9"/>
        <v>0</v>
      </c>
      <c r="N48" s="61">
        <f t="shared" si="9"/>
        <v>0</v>
      </c>
      <c r="O48" s="61">
        <f t="shared" si="9"/>
        <v>0</v>
      </c>
      <c r="P48" s="61">
        <f t="shared" si="9"/>
        <v>0</v>
      </c>
      <c r="Q48" s="61">
        <f t="shared" si="9"/>
        <v>0</v>
      </c>
      <c r="R48" s="61">
        <f t="shared" si="9"/>
        <v>0</v>
      </c>
      <c r="S48" s="61">
        <f t="shared" si="9"/>
        <v>0</v>
      </c>
      <c r="T48" s="61">
        <f t="shared" si="9"/>
        <v>0</v>
      </c>
      <c r="U48" s="61">
        <f t="shared" si="9"/>
        <v>0</v>
      </c>
      <c r="V48" s="61">
        <f t="shared" si="9"/>
        <v>0</v>
      </c>
      <c r="W48" s="61">
        <f t="shared" si="9"/>
        <v>0</v>
      </c>
      <c r="X48" s="61">
        <f t="shared" si="9"/>
        <v>0</v>
      </c>
      <c r="Y48" s="61">
        <f t="shared" si="9"/>
        <v>0</v>
      </c>
      <c r="Z48" s="61">
        <f t="shared" si="9"/>
        <v>0</v>
      </c>
      <c r="AA48" s="61">
        <f t="shared" si="9"/>
        <v>0</v>
      </c>
      <c r="AB48" s="61">
        <f t="shared" si="9"/>
        <v>0</v>
      </c>
      <c r="AC48" s="61">
        <f t="shared" si="9"/>
        <v>0</v>
      </c>
      <c r="AD48" s="61">
        <f t="shared" si="9"/>
        <v>0</v>
      </c>
      <c r="AE48" s="61">
        <f t="shared" si="9"/>
        <v>0</v>
      </c>
      <c r="AF48" s="61">
        <f t="shared" si="9"/>
        <v>0</v>
      </c>
      <c r="AG48" s="62">
        <f t="shared" si="9"/>
        <v>538.1</v>
      </c>
      <c r="AH48" s="48">
        <f t="shared" si="2"/>
        <v>0</v>
      </c>
      <c r="AI48" s="49">
        <f t="shared" si="3"/>
        <v>0</v>
      </c>
      <c r="AK48" s="50"/>
    </row>
    <row r="49" spans="1:41" x14ac:dyDescent="0.25">
      <c r="A49" s="44" t="s">
        <v>53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2">
        <v>144</v>
      </c>
      <c r="AH49" s="48">
        <f t="shared" si="2"/>
        <v>0</v>
      </c>
      <c r="AI49" s="49">
        <f t="shared" si="3"/>
        <v>0</v>
      </c>
      <c r="AK49" s="50"/>
    </row>
    <row r="50" spans="1:41" x14ac:dyDescent="0.25">
      <c r="A50" s="54" t="s">
        <v>54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45"/>
      <c r="O50" s="45"/>
      <c r="P50" s="45"/>
      <c r="Q50" s="45"/>
      <c r="R50" s="4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55">
        <v>70</v>
      </c>
      <c r="AH50" s="48">
        <f t="shared" si="2"/>
        <v>0</v>
      </c>
      <c r="AI50" s="49">
        <f t="shared" si="3"/>
        <v>0</v>
      </c>
      <c r="AK50" s="50"/>
    </row>
    <row r="51" spans="1:41" x14ac:dyDescent="0.25">
      <c r="A51" s="54" t="s">
        <v>55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45"/>
      <c r="O51" s="45"/>
      <c r="P51" s="45"/>
      <c r="Q51" s="45"/>
      <c r="R51" s="4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55">
        <v>69</v>
      </c>
      <c r="AH51" s="48">
        <f t="shared" si="2"/>
        <v>0</v>
      </c>
      <c r="AI51" s="49">
        <f t="shared" si="3"/>
        <v>0</v>
      </c>
      <c r="AK51" s="50"/>
    </row>
    <row r="52" spans="1:41" x14ac:dyDescent="0.25">
      <c r="A52" s="54" t="s">
        <v>56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65"/>
      <c r="N52" s="45"/>
      <c r="O52" s="45"/>
      <c r="P52" s="45"/>
      <c r="Q52" s="45"/>
      <c r="R52" s="45"/>
      <c r="S52" s="45"/>
      <c r="T52" s="45"/>
      <c r="U52" s="45"/>
      <c r="V52" s="65"/>
      <c r="W52" s="65"/>
      <c r="X52" s="65"/>
      <c r="Y52" s="65"/>
      <c r="Z52" s="65"/>
      <c r="AA52" s="65"/>
      <c r="AB52" s="57"/>
      <c r="AC52" s="57"/>
      <c r="AD52" s="57"/>
      <c r="AE52" s="57"/>
      <c r="AF52" s="57"/>
      <c r="AG52" s="55">
        <v>60</v>
      </c>
      <c r="AH52" s="48">
        <f t="shared" si="2"/>
        <v>0</v>
      </c>
      <c r="AI52" s="49">
        <f t="shared" si="3"/>
        <v>0</v>
      </c>
      <c r="AK52" s="50"/>
    </row>
    <row r="53" spans="1:41" x14ac:dyDescent="0.25">
      <c r="A53" s="54" t="s">
        <v>57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65"/>
      <c r="N53" s="45"/>
      <c r="O53" s="45"/>
      <c r="P53" s="45"/>
      <c r="Q53" s="45"/>
      <c r="R53" s="45"/>
      <c r="S53" s="45"/>
      <c r="T53" s="45"/>
      <c r="U53" s="45"/>
      <c r="V53" s="65"/>
      <c r="W53" s="65"/>
      <c r="X53" s="65"/>
      <c r="Y53" s="65"/>
      <c r="Z53" s="65"/>
      <c r="AA53" s="65"/>
      <c r="AB53" s="57"/>
      <c r="AC53" s="57"/>
      <c r="AD53" s="57"/>
      <c r="AE53" s="57"/>
      <c r="AF53" s="57"/>
      <c r="AG53" s="55">
        <v>30</v>
      </c>
      <c r="AH53" s="48">
        <f t="shared" si="2"/>
        <v>0</v>
      </c>
      <c r="AI53" s="49">
        <f t="shared" si="3"/>
        <v>0</v>
      </c>
      <c r="AK53" s="50"/>
    </row>
    <row r="54" spans="1:41" x14ac:dyDescent="0.25">
      <c r="A54" s="54" t="s">
        <v>58</v>
      </c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65"/>
      <c r="AC54" s="65"/>
      <c r="AD54" s="65"/>
      <c r="AE54" s="65"/>
      <c r="AF54" s="65"/>
      <c r="AG54" s="55">
        <v>25</v>
      </c>
      <c r="AH54" s="48">
        <f t="shared" si="2"/>
        <v>0</v>
      </c>
      <c r="AI54" s="49">
        <f t="shared" si="3"/>
        <v>0</v>
      </c>
      <c r="AK54" s="50"/>
    </row>
    <row r="55" spans="1:41" x14ac:dyDescent="0.25">
      <c r="A55" s="54" t="s">
        <v>59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65"/>
      <c r="AC55" s="65"/>
      <c r="AD55" s="65"/>
      <c r="AE55" s="65"/>
      <c r="AF55" s="65"/>
      <c r="AG55" s="55">
        <v>24</v>
      </c>
      <c r="AH55" s="48">
        <f t="shared" si="2"/>
        <v>0</v>
      </c>
      <c r="AI55" s="49">
        <f t="shared" si="3"/>
        <v>0</v>
      </c>
      <c r="AK55" s="50"/>
    </row>
    <row r="56" spans="1:41" x14ac:dyDescent="0.25">
      <c r="A56" s="54" t="s">
        <v>60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4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5">
        <v>15</v>
      </c>
      <c r="AH56" s="48">
        <f t="shared" si="2"/>
        <v>0</v>
      </c>
      <c r="AI56" s="49">
        <f t="shared" si="3"/>
        <v>0</v>
      </c>
      <c r="AK56" s="50"/>
      <c r="AL56" s="70"/>
      <c r="AO56" s="70"/>
    </row>
    <row r="57" spans="1:41" s="70" customFormat="1" x14ac:dyDescent="0.25">
      <c r="A57" s="54" t="s">
        <v>61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4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5">
        <v>14.1</v>
      </c>
      <c r="AH57" s="48">
        <f t="shared" si="2"/>
        <v>0</v>
      </c>
      <c r="AI57" s="49">
        <f t="shared" si="3"/>
        <v>0</v>
      </c>
      <c r="AJ57" s="1"/>
      <c r="AK57" s="50"/>
      <c r="AL57" s="1"/>
      <c r="AM57" s="1"/>
      <c r="AN57" s="1"/>
      <c r="AO57" s="1"/>
    </row>
    <row r="58" spans="1:41" x14ac:dyDescent="0.25">
      <c r="A58" s="71" t="s">
        <v>62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4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55">
        <v>14</v>
      </c>
      <c r="AH58" s="48">
        <f t="shared" si="2"/>
        <v>0</v>
      </c>
      <c r="AI58" s="49">
        <f t="shared" si="3"/>
        <v>0</v>
      </c>
      <c r="AK58" s="50"/>
    </row>
    <row r="59" spans="1:41" x14ac:dyDescent="0.25">
      <c r="A59" s="54" t="s">
        <v>63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4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55">
        <v>10.050000000000001</v>
      </c>
      <c r="AH59" s="48">
        <f t="shared" si="2"/>
        <v>0</v>
      </c>
      <c r="AI59" s="49">
        <f t="shared" si="3"/>
        <v>0</v>
      </c>
      <c r="AK59" s="50"/>
    </row>
    <row r="60" spans="1:41" x14ac:dyDescent="0.25">
      <c r="A60" s="54" t="s">
        <v>64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4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5">
        <v>6.2</v>
      </c>
      <c r="AH60" s="48">
        <f t="shared" si="2"/>
        <v>0</v>
      </c>
      <c r="AI60" s="49">
        <f t="shared" si="3"/>
        <v>0</v>
      </c>
      <c r="AK60" s="50"/>
    </row>
    <row r="61" spans="1:41" ht="15.75" thickBot="1" x14ac:dyDescent="0.3">
      <c r="A61" s="56" t="s">
        <v>65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8">
        <f t="shared" si="2"/>
        <v>3.54</v>
      </c>
      <c r="AI61" s="49">
        <f t="shared" si="3"/>
        <v>3.54</v>
      </c>
      <c r="AK61" s="50"/>
    </row>
    <row r="62" spans="1:41" ht="15.75" thickBot="1" x14ac:dyDescent="0.3">
      <c r="A62" s="74" t="s">
        <v>66</v>
      </c>
      <c r="B62" s="61">
        <f t="shared" ref="B62:AG62" si="10">SUM(B49:B61)</f>
        <v>3.54</v>
      </c>
      <c r="C62" s="61">
        <f t="shared" si="10"/>
        <v>3.54</v>
      </c>
      <c r="D62" s="61">
        <f t="shared" si="10"/>
        <v>3.54</v>
      </c>
      <c r="E62" s="61">
        <f t="shared" si="10"/>
        <v>3.54</v>
      </c>
      <c r="F62" s="61">
        <f t="shared" si="10"/>
        <v>3.54</v>
      </c>
      <c r="G62" s="61">
        <f t="shared" si="10"/>
        <v>3.54</v>
      </c>
      <c r="H62" s="61">
        <f t="shared" si="10"/>
        <v>3.54</v>
      </c>
      <c r="I62" s="61">
        <f t="shared" si="10"/>
        <v>3.54</v>
      </c>
      <c r="J62" s="61">
        <f t="shared" si="10"/>
        <v>3.54</v>
      </c>
      <c r="K62" s="61">
        <f t="shared" si="10"/>
        <v>3.54</v>
      </c>
      <c r="L62" s="61">
        <f t="shared" si="10"/>
        <v>3.54</v>
      </c>
      <c r="M62" s="61">
        <f t="shared" si="10"/>
        <v>3.54</v>
      </c>
      <c r="N62" s="61">
        <f t="shared" si="10"/>
        <v>3.54</v>
      </c>
      <c r="O62" s="61">
        <f t="shared" si="10"/>
        <v>3.54</v>
      </c>
      <c r="P62" s="61">
        <f t="shared" si="10"/>
        <v>3.54</v>
      </c>
      <c r="Q62" s="61">
        <f t="shared" si="10"/>
        <v>3.54</v>
      </c>
      <c r="R62" s="61">
        <f t="shared" si="10"/>
        <v>3.54</v>
      </c>
      <c r="S62" s="61">
        <f t="shared" si="10"/>
        <v>3.54</v>
      </c>
      <c r="T62" s="61">
        <f t="shared" si="10"/>
        <v>3.54</v>
      </c>
      <c r="U62" s="61">
        <f t="shared" si="10"/>
        <v>3.54</v>
      </c>
      <c r="V62" s="61">
        <f t="shared" si="10"/>
        <v>3.54</v>
      </c>
      <c r="W62" s="61">
        <f t="shared" si="10"/>
        <v>3.54</v>
      </c>
      <c r="X62" s="61">
        <f t="shared" si="10"/>
        <v>3.54</v>
      </c>
      <c r="Y62" s="61">
        <f t="shared" si="10"/>
        <v>3.54</v>
      </c>
      <c r="Z62" s="61">
        <f t="shared" si="10"/>
        <v>3.54</v>
      </c>
      <c r="AA62" s="61">
        <f t="shared" si="10"/>
        <v>3.54</v>
      </c>
      <c r="AB62" s="61">
        <f t="shared" si="10"/>
        <v>3.54</v>
      </c>
      <c r="AC62" s="61">
        <f t="shared" si="10"/>
        <v>3.54</v>
      </c>
      <c r="AD62" s="61">
        <f t="shared" si="10"/>
        <v>3.54</v>
      </c>
      <c r="AE62" s="61">
        <f t="shared" si="10"/>
        <v>3.54</v>
      </c>
      <c r="AF62" s="61">
        <f t="shared" si="10"/>
        <v>3.54</v>
      </c>
      <c r="AG62" s="62">
        <f t="shared" si="10"/>
        <v>489.91</v>
      </c>
      <c r="AH62" s="48">
        <f t="shared" si="2"/>
        <v>3.54</v>
      </c>
      <c r="AI62" s="49">
        <f t="shared" si="3"/>
        <v>3.54</v>
      </c>
      <c r="AK62" s="50"/>
    </row>
    <row r="63" spans="1:41" x14ac:dyDescent="0.25">
      <c r="A63" s="44" t="s">
        <v>67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2">
        <v>60</v>
      </c>
      <c r="AH63" s="48">
        <f t="shared" si="2"/>
        <v>0</v>
      </c>
      <c r="AI63" s="49">
        <f t="shared" si="3"/>
        <v>0</v>
      </c>
      <c r="AK63" s="50"/>
    </row>
    <row r="64" spans="1:41" x14ac:dyDescent="0.25">
      <c r="A64" s="54" t="s">
        <v>68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55">
        <v>32</v>
      </c>
      <c r="AH64" s="48">
        <f t="shared" si="2"/>
        <v>0</v>
      </c>
      <c r="AI64" s="49">
        <f t="shared" si="3"/>
        <v>0</v>
      </c>
      <c r="AK64" s="50"/>
    </row>
    <row r="65" spans="1:37" ht="15.75" thickBot="1" x14ac:dyDescent="0.3">
      <c r="A65" s="71" t="s">
        <v>69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8">
        <v>14</v>
      </c>
      <c r="AH65" s="48">
        <f t="shared" si="2"/>
        <v>0</v>
      </c>
      <c r="AI65" s="49">
        <f t="shared" si="3"/>
        <v>0</v>
      </c>
      <c r="AK65" s="50"/>
    </row>
    <row r="66" spans="1:37" ht="15.75" thickBot="1" x14ac:dyDescent="0.3">
      <c r="A66" s="74" t="s">
        <v>70</v>
      </c>
      <c r="B66" s="61">
        <f t="shared" ref="B66:AG66" si="11">SUM(B63:B65)</f>
        <v>0</v>
      </c>
      <c r="C66" s="61">
        <f t="shared" si="11"/>
        <v>0</v>
      </c>
      <c r="D66" s="61">
        <f t="shared" si="11"/>
        <v>0</v>
      </c>
      <c r="E66" s="61">
        <f t="shared" si="11"/>
        <v>0</v>
      </c>
      <c r="F66" s="61">
        <f t="shared" si="11"/>
        <v>0</v>
      </c>
      <c r="G66" s="61">
        <f t="shared" si="11"/>
        <v>0</v>
      </c>
      <c r="H66" s="61">
        <f t="shared" si="11"/>
        <v>0</v>
      </c>
      <c r="I66" s="61">
        <f t="shared" si="11"/>
        <v>0</v>
      </c>
      <c r="J66" s="61">
        <f t="shared" si="11"/>
        <v>0</v>
      </c>
      <c r="K66" s="61">
        <f t="shared" si="11"/>
        <v>0</v>
      </c>
      <c r="L66" s="61">
        <f t="shared" si="11"/>
        <v>0</v>
      </c>
      <c r="M66" s="61">
        <f t="shared" si="11"/>
        <v>0</v>
      </c>
      <c r="N66" s="61">
        <f t="shared" si="11"/>
        <v>0</v>
      </c>
      <c r="O66" s="61">
        <f t="shared" si="11"/>
        <v>0</v>
      </c>
      <c r="P66" s="61">
        <f t="shared" si="11"/>
        <v>0</v>
      </c>
      <c r="Q66" s="61">
        <f t="shared" si="11"/>
        <v>0</v>
      </c>
      <c r="R66" s="61">
        <f t="shared" si="11"/>
        <v>0</v>
      </c>
      <c r="S66" s="61">
        <f t="shared" si="11"/>
        <v>0</v>
      </c>
      <c r="T66" s="61">
        <f t="shared" si="11"/>
        <v>0</v>
      </c>
      <c r="U66" s="61">
        <f t="shared" si="11"/>
        <v>0</v>
      </c>
      <c r="V66" s="61">
        <f t="shared" si="11"/>
        <v>0</v>
      </c>
      <c r="W66" s="61">
        <f t="shared" si="11"/>
        <v>0</v>
      </c>
      <c r="X66" s="61">
        <f t="shared" si="11"/>
        <v>0</v>
      </c>
      <c r="Y66" s="61">
        <f t="shared" si="11"/>
        <v>0</v>
      </c>
      <c r="Z66" s="61">
        <f t="shared" si="11"/>
        <v>0</v>
      </c>
      <c r="AA66" s="61">
        <f t="shared" si="11"/>
        <v>0</v>
      </c>
      <c r="AB66" s="61">
        <f t="shared" si="11"/>
        <v>0</v>
      </c>
      <c r="AC66" s="61">
        <f t="shared" si="11"/>
        <v>0</v>
      </c>
      <c r="AD66" s="61">
        <f t="shared" si="11"/>
        <v>0</v>
      </c>
      <c r="AE66" s="61">
        <f t="shared" si="11"/>
        <v>0</v>
      </c>
      <c r="AF66" s="61">
        <f t="shared" si="11"/>
        <v>0</v>
      </c>
      <c r="AG66" s="62">
        <f t="shared" si="11"/>
        <v>106</v>
      </c>
      <c r="AH66" s="48">
        <f t="shared" si="2"/>
        <v>0</v>
      </c>
      <c r="AI66" s="49">
        <f t="shared" si="3"/>
        <v>0</v>
      </c>
      <c r="AK66" s="50"/>
    </row>
    <row r="67" spans="1:37" x14ac:dyDescent="0.25">
      <c r="A67" s="44" t="s">
        <v>71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2"/>
      <c r="AH67" s="48">
        <f t="shared" si="2"/>
        <v>0</v>
      </c>
      <c r="AI67" s="49">
        <f t="shared" si="3"/>
        <v>0</v>
      </c>
      <c r="AK67" s="50"/>
    </row>
    <row r="68" spans="1:37" x14ac:dyDescent="0.25">
      <c r="A68" s="54" t="s">
        <v>72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55"/>
      <c r="AH68" s="48">
        <f t="shared" si="2"/>
        <v>0</v>
      </c>
      <c r="AI68" s="49">
        <f t="shared" si="3"/>
        <v>0</v>
      </c>
      <c r="AK68" s="50"/>
    </row>
    <row r="69" spans="1:37" x14ac:dyDescent="0.25">
      <c r="A69" s="54" t="s">
        <v>73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75"/>
      <c r="AH69" s="48">
        <f t="shared" si="2"/>
        <v>0</v>
      </c>
      <c r="AI69" s="49">
        <f t="shared" si="3"/>
        <v>0</v>
      </c>
      <c r="AK69" s="50"/>
    </row>
    <row r="70" spans="1:37" x14ac:dyDescent="0.25">
      <c r="A70" s="54" t="s">
        <v>74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5"/>
      <c r="AH70" s="48">
        <f t="shared" si="2"/>
        <v>0</v>
      </c>
      <c r="AI70" s="49">
        <f t="shared" si="3"/>
        <v>0</v>
      </c>
      <c r="AK70" s="50"/>
    </row>
    <row r="71" spans="1:37" x14ac:dyDescent="0.25">
      <c r="A71" s="54" t="s">
        <v>75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75"/>
      <c r="AH71" s="48">
        <f t="shared" si="2"/>
        <v>0</v>
      </c>
      <c r="AI71" s="49">
        <f t="shared" si="3"/>
        <v>0</v>
      </c>
      <c r="AK71" s="50"/>
    </row>
    <row r="72" spans="1:37" x14ac:dyDescent="0.25">
      <c r="A72" s="54" t="s">
        <v>76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5"/>
      <c r="AH72" s="48">
        <f t="shared" si="2"/>
        <v>0</v>
      </c>
      <c r="AI72" s="49">
        <f t="shared" si="3"/>
        <v>0</v>
      </c>
      <c r="AK72" s="50"/>
    </row>
    <row r="73" spans="1:37" x14ac:dyDescent="0.25">
      <c r="A73" s="54" t="s">
        <v>77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5"/>
      <c r="AH73" s="48">
        <f t="shared" si="2"/>
        <v>0</v>
      </c>
      <c r="AI73" s="49">
        <f t="shared" si="3"/>
        <v>0</v>
      </c>
      <c r="AK73" s="50"/>
    </row>
    <row r="74" spans="1:37" x14ac:dyDescent="0.25">
      <c r="A74" s="54" t="s">
        <v>78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5"/>
      <c r="AH74" s="48">
        <f t="shared" si="2"/>
        <v>0</v>
      </c>
      <c r="AI74" s="49">
        <f t="shared" si="3"/>
        <v>0</v>
      </c>
      <c r="AK74" s="50"/>
    </row>
    <row r="75" spans="1:37" x14ac:dyDescent="0.25">
      <c r="A75" s="54" t="s">
        <v>79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5"/>
      <c r="AH75" s="48">
        <f t="shared" si="2"/>
        <v>0</v>
      </c>
      <c r="AI75" s="49">
        <f t="shared" si="3"/>
        <v>0</v>
      </c>
      <c r="AK75" s="50"/>
    </row>
    <row r="76" spans="1:37" x14ac:dyDescent="0.25">
      <c r="A76" s="78" t="s">
        <v>80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80"/>
      <c r="AH76" s="48">
        <f t="shared" si="2"/>
        <v>0</v>
      </c>
      <c r="AI76" s="49">
        <f t="shared" si="3"/>
        <v>0</v>
      </c>
      <c r="AK76" s="50"/>
    </row>
    <row r="77" spans="1:37" ht="15.75" thickBot="1" x14ac:dyDescent="0.3">
      <c r="A77" s="78" t="s">
        <v>81</v>
      </c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80"/>
      <c r="AH77" s="48">
        <f t="shared" si="2"/>
        <v>0</v>
      </c>
      <c r="AI77" s="49">
        <f t="shared" si="3"/>
        <v>0</v>
      </c>
      <c r="AK77" s="50"/>
    </row>
    <row r="78" spans="1:37" ht="15.75" thickBot="1" x14ac:dyDescent="0.3">
      <c r="A78" s="74" t="s">
        <v>82</v>
      </c>
      <c r="B78" s="61">
        <f t="shared" ref="B78:AF78" si="12">SUMIF(B67:B77,"&gt;0")</f>
        <v>0</v>
      </c>
      <c r="C78" s="61">
        <f t="shared" si="12"/>
        <v>0</v>
      </c>
      <c r="D78" s="61">
        <f t="shared" si="12"/>
        <v>0</v>
      </c>
      <c r="E78" s="61">
        <f t="shared" si="12"/>
        <v>0</v>
      </c>
      <c r="F78" s="61">
        <f t="shared" si="12"/>
        <v>0</v>
      </c>
      <c r="G78" s="61">
        <f t="shared" si="12"/>
        <v>0</v>
      </c>
      <c r="H78" s="61">
        <f t="shared" si="12"/>
        <v>0</v>
      </c>
      <c r="I78" s="61">
        <f t="shared" si="12"/>
        <v>0</v>
      </c>
      <c r="J78" s="61">
        <f t="shared" si="12"/>
        <v>0</v>
      </c>
      <c r="K78" s="61">
        <f t="shared" si="12"/>
        <v>0</v>
      </c>
      <c r="L78" s="61">
        <f t="shared" si="12"/>
        <v>0</v>
      </c>
      <c r="M78" s="61">
        <f t="shared" si="12"/>
        <v>0</v>
      </c>
      <c r="N78" s="61">
        <f t="shared" si="12"/>
        <v>0</v>
      </c>
      <c r="O78" s="61">
        <f t="shared" si="12"/>
        <v>0</v>
      </c>
      <c r="P78" s="61">
        <f t="shared" si="12"/>
        <v>0</v>
      </c>
      <c r="Q78" s="61">
        <f t="shared" si="12"/>
        <v>0</v>
      </c>
      <c r="R78" s="61">
        <f t="shared" si="12"/>
        <v>0</v>
      </c>
      <c r="S78" s="61">
        <f t="shared" si="12"/>
        <v>0</v>
      </c>
      <c r="T78" s="61">
        <f t="shared" si="12"/>
        <v>0</v>
      </c>
      <c r="U78" s="61">
        <f t="shared" si="12"/>
        <v>0</v>
      </c>
      <c r="V78" s="61">
        <f t="shared" si="12"/>
        <v>0</v>
      </c>
      <c r="W78" s="61">
        <f t="shared" si="12"/>
        <v>0</v>
      </c>
      <c r="X78" s="61">
        <f t="shared" si="12"/>
        <v>0</v>
      </c>
      <c r="Y78" s="61">
        <f t="shared" si="12"/>
        <v>0</v>
      </c>
      <c r="Z78" s="61">
        <f t="shared" si="12"/>
        <v>0</v>
      </c>
      <c r="AA78" s="61">
        <f t="shared" si="12"/>
        <v>0</v>
      </c>
      <c r="AB78" s="61">
        <f t="shared" si="12"/>
        <v>0</v>
      </c>
      <c r="AC78" s="61">
        <f t="shared" si="12"/>
        <v>0</v>
      </c>
      <c r="AD78" s="61">
        <f t="shared" si="12"/>
        <v>0</v>
      </c>
      <c r="AE78" s="61">
        <f t="shared" si="12"/>
        <v>0</v>
      </c>
      <c r="AF78" s="61">
        <f t="shared" si="12"/>
        <v>0</v>
      </c>
      <c r="AG78" s="81">
        <f>SUM(AG67:AG77)</f>
        <v>0</v>
      </c>
      <c r="AH78" s="48">
        <f t="shared" si="2"/>
        <v>0</v>
      </c>
      <c r="AI78" s="49">
        <f t="shared" si="3"/>
        <v>0</v>
      </c>
      <c r="AK78" s="50"/>
    </row>
    <row r="79" spans="1:37" x14ac:dyDescent="0.25">
      <c r="A79" s="44" t="s">
        <v>83</v>
      </c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82">
        <v>39</v>
      </c>
      <c r="AH79" s="48">
        <f t="shared" si="2"/>
        <v>0</v>
      </c>
      <c r="AI79" s="49">
        <f t="shared" si="3"/>
        <v>0</v>
      </c>
      <c r="AK79" s="50"/>
    </row>
    <row r="80" spans="1:37" x14ac:dyDescent="0.25">
      <c r="A80" s="54" t="s">
        <v>84</v>
      </c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5">
        <v>14.4</v>
      </c>
      <c r="AH80" s="48">
        <f t="shared" ref="AH80:AH113" si="13">MAX(B80:AF80)</f>
        <v>0</v>
      </c>
      <c r="AI80" s="49">
        <f t="shared" ref="AI80:AI113" si="14">MIN(B80:AF80)</f>
        <v>0</v>
      </c>
      <c r="AK80" s="50"/>
    </row>
    <row r="81" spans="1:37" ht="15.75" thickBot="1" x14ac:dyDescent="0.3">
      <c r="A81" s="78" t="s">
        <v>85</v>
      </c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80">
        <v>2</v>
      </c>
      <c r="AH81" s="48">
        <f t="shared" si="13"/>
        <v>0</v>
      </c>
      <c r="AI81" s="49">
        <f t="shared" si="14"/>
        <v>0</v>
      </c>
    </row>
    <row r="82" spans="1:37" ht="15.75" thickBot="1" x14ac:dyDescent="0.3">
      <c r="A82" s="74" t="s">
        <v>86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81">
        <f>SUM(AG79:AG81)</f>
        <v>55.4</v>
      </c>
      <c r="AH82" s="48">
        <f t="shared" si="13"/>
        <v>0</v>
      </c>
      <c r="AI82" s="49">
        <f t="shared" si="14"/>
        <v>0</v>
      </c>
    </row>
    <row r="83" spans="1:37" ht="15.75" thickBot="1" x14ac:dyDescent="0.3">
      <c r="A83" s="74" t="s">
        <v>87</v>
      </c>
      <c r="B83" s="83">
        <f t="shared" ref="B83:AG83" si="15">B44+B48+B66+B62+B78+B82</f>
        <v>203.54</v>
      </c>
      <c r="C83" s="83">
        <f t="shared" si="15"/>
        <v>203.54</v>
      </c>
      <c r="D83" s="83">
        <f t="shared" si="15"/>
        <v>203.54</v>
      </c>
      <c r="E83" s="83">
        <f t="shared" si="15"/>
        <v>203.54</v>
      </c>
      <c r="F83" s="83">
        <f t="shared" si="15"/>
        <v>203.54</v>
      </c>
      <c r="G83" s="83">
        <f t="shared" si="15"/>
        <v>203.54</v>
      </c>
      <c r="H83" s="83">
        <f t="shared" si="15"/>
        <v>203.54</v>
      </c>
      <c r="I83" s="83">
        <f t="shared" si="15"/>
        <v>203.54</v>
      </c>
      <c r="J83" s="83">
        <f t="shared" si="15"/>
        <v>203.54</v>
      </c>
      <c r="K83" s="83">
        <f t="shared" si="15"/>
        <v>203.54</v>
      </c>
      <c r="L83" s="83">
        <f t="shared" si="15"/>
        <v>203.54</v>
      </c>
      <c r="M83" s="83">
        <f t="shared" si="15"/>
        <v>203.54</v>
      </c>
      <c r="N83" s="83">
        <f t="shared" si="15"/>
        <v>203.54</v>
      </c>
      <c r="O83" s="83">
        <f t="shared" si="15"/>
        <v>203.54</v>
      </c>
      <c r="P83" s="83">
        <f t="shared" si="15"/>
        <v>203.54</v>
      </c>
      <c r="Q83" s="83">
        <f t="shared" si="15"/>
        <v>203.54</v>
      </c>
      <c r="R83" s="83">
        <f t="shared" si="15"/>
        <v>203.54</v>
      </c>
      <c r="S83" s="83">
        <f t="shared" si="15"/>
        <v>203.54</v>
      </c>
      <c r="T83" s="83">
        <f t="shared" si="15"/>
        <v>203.54</v>
      </c>
      <c r="U83" s="83">
        <f t="shared" si="15"/>
        <v>203.54</v>
      </c>
      <c r="V83" s="83">
        <f t="shared" si="15"/>
        <v>203.54</v>
      </c>
      <c r="W83" s="83">
        <f t="shared" si="15"/>
        <v>203.54</v>
      </c>
      <c r="X83" s="83">
        <f t="shared" si="15"/>
        <v>203.54</v>
      </c>
      <c r="Y83" s="83">
        <f t="shared" si="15"/>
        <v>203.54</v>
      </c>
      <c r="Z83" s="83">
        <f t="shared" si="15"/>
        <v>203.54</v>
      </c>
      <c r="AA83" s="83">
        <f t="shared" si="15"/>
        <v>203.54</v>
      </c>
      <c r="AB83" s="83">
        <f t="shared" si="15"/>
        <v>203.54</v>
      </c>
      <c r="AC83" s="83">
        <f t="shared" si="15"/>
        <v>203.54</v>
      </c>
      <c r="AD83" s="83">
        <f t="shared" si="15"/>
        <v>203.54</v>
      </c>
      <c r="AE83" s="83">
        <f t="shared" si="15"/>
        <v>203.54</v>
      </c>
      <c r="AF83" s="83">
        <f t="shared" si="15"/>
        <v>203.54</v>
      </c>
      <c r="AG83" s="62">
        <f t="shared" si="15"/>
        <v>2004.1900000000003</v>
      </c>
      <c r="AH83" s="48">
        <f t="shared" si="13"/>
        <v>203.54</v>
      </c>
      <c r="AI83" s="49">
        <f t="shared" si="14"/>
        <v>203.54</v>
      </c>
    </row>
    <row r="84" spans="1:37" ht="15.75" thickBot="1" x14ac:dyDescent="0.3">
      <c r="A84" s="84" t="s">
        <v>88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1"/>
      <c r="AH84" s="48">
        <f t="shared" si="13"/>
        <v>0</v>
      </c>
      <c r="AI84" s="49">
        <f t="shared" si="14"/>
        <v>0</v>
      </c>
    </row>
    <row r="85" spans="1:37" ht="15.75" thickBot="1" x14ac:dyDescent="0.3">
      <c r="A85" s="74" t="s">
        <v>89</v>
      </c>
      <c r="B85" s="83">
        <f t="shared" ref="B85:AF85" si="16">B83+B84</f>
        <v>203.54</v>
      </c>
      <c r="C85" s="83">
        <f t="shared" si="16"/>
        <v>203.54</v>
      </c>
      <c r="D85" s="83">
        <f t="shared" si="16"/>
        <v>203.54</v>
      </c>
      <c r="E85" s="83">
        <f t="shared" si="16"/>
        <v>203.54</v>
      </c>
      <c r="F85" s="83">
        <f t="shared" si="16"/>
        <v>203.54</v>
      </c>
      <c r="G85" s="83">
        <f t="shared" si="16"/>
        <v>203.54</v>
      </c>
      <c r="H85" s="83">
        <f t="shared" si="16"/>
        <v>203.54</v>
      </c>
      <c r="I85" s="83">
        <f t="shared" si="16"/>
        <v>203.54</v>
      </c>
      <c r="J85" s="83">
        <f t="shared" si="16"/>
        <v>203.54</v>
      </c>
      <c r="K85" s="83">
        <f t="shared" si="16"/>
        <v>203.54</v>
      </c>
      <c r="L85" s="83">
        <f t="shared" si="16"/>
        <v>203.54</v>
      </c>
      <c r="M85" s="83">
        <f t="shared" si="16"/>
        <v>203.54</v>
      </c>
      <c r="N85" s="83">
        <f t="shared" si="16"/>
        <v>203.54</v>
      </c>
      <c r="O85" s="83">
        <f t="shared" si="16"/>
        <v>203.54</v>
      </c>
      <c r="P85" s="83">
        <f t="shared" si="16"/>
        <v>203.54</v>
      </c>
      <c r="Q85" s="83">
        <f t="shared" si="16"/>
        <v>203.54</v>
      </c>
      <c r="R85" s="83">
        <f t="shared" si="16"/>
        <v>203.54</v>
      </c>
      <c r="S85" s="83">
        <f t="shared" si="16"/>
        <v>203.54</v>
      </c>
      <c r="T85" s="83">
        <f t="shared" si="16"/>
        <v>203.54</v>
      </c>
      <c r="U85" s="83">
        <f t="shared" si="16"/>
        <v>203.54</v>
      </c>
      <c r="V85" s="83">
        <f t="shared" si="16"/>
        <v>203.54</v>
      </c>
      <c r="W85" s="83">
        <f t="shared" si="16"/>
        <v>203.54</v>
      </c>
      <c r="X85" s="83">
        <f t="shared" si="16"/>
        <v>203.54</v>
      </c>
      <c r="Y85" s="83">
        <f t="shared" si="16"/>
        <v>203.54</v>
      </c>
      <c r="Z85" s="83">
        <f t="shared" si="16"/>
        <v>203.54</v>
      </c>
      <c r="AA85" s="83">
        <f t="shared" si="16"/>
        <v>203.54</v>
      </c>
      <c r="AB85" s="83">
        <f t="shared" si="16"/>
        <v>203.54</v>
      </c>
      <c r="AC85" s="83">
        <f t="shared" si="16"/>
        <v>203.54</v>
      </c>
      <c r="AD85" s="83">
        <f t="shared" si="16"/>
        <v>203.54</v>
      </c>
      <c r="AE85" s="83">
        <f t="shared" si="16"/>
        <v>203.54</v>
      </c>
      <c r="AF85" s="83">
        <f t="shared" si="16"/>
        <v>203.54</v>
      </c>
      <c r="AG85" s="81">
        <f>AG82+AG78+AG66+AG62+AG44+AG84</f>
        <v>1466.0900000000001</v>
      </c>
      <c r="AH85" s="48">
        <f t="shared" si="13"/>
        <v>203.54</v>
      </c>
      <c r="AI85" s="49">
        <f t="shared" si="14"/>
        <v>203.54</v>
      </c>
    </row>
    <row r="86" spans="1:37" ht="15.75" thickBot="1" x14ac:dyDescent="0.3">
      <c r="A86" s="74" t="s">
        <v>90</v>
      </c>
      <c r="B86" s="83">
        <f t="shared" ref="B86:AF86" si="17">B85-B93</f>
        <v>203.54</v>
      </c>
      <c r="C86" s="83">
        <f t="shared" si="17"/>
        <v>203.54</v>
      </c>
      <c r="D86" s="83">
        <f t="shared" si="17"/>
        <v>203.54</v>
      </c>
      <c r="E86" s="83">
        <f t="shared" si="17"/>
        <v>203.54</v>
      </c>
      <c r="F86" s="83">
        <f t="shared" si="17"/>
        <v>203.54</v>
      </c>
      <c r="G86" s="83">
        <f t="shared" si="17"/>
        <v>203.54</v>
      </c>
      <c r="H86" s="83">
        <f t="shared" si="17"/>
        <v>203.54</v>
      </c>
      <c r="I86" s="83">
        <f t="shared" si="17"/>
        <v>203.54</v>
      </c>
      <c r="J86" s="83">
        <f t="shared" si="17"/>
        <v>203.54</v>
      </c>
      <c r="K86" s="83">
        <f t="shared" si="17"/>
        <v>203.54</v>
      </c>
      <c r="L86" s="83">
        <f t="shared" si="17"/>
        <v>203.54</v>
      </c>
      <c r="M86" s="83">
        <f t="shared" si="17"/>
        <v>203.54</v>
      </c>
      <c r="N86" s="83">
        <f t="shared" si="17"/>
        <v>203.54</v>
      </c>
      <c r="O86" s="83">
        <f t="shared" si="17"/>
        <v>203.54</v>
      </c>
      <c r="P86" s="83">
        <f t="shared" si="17"/>
        <v>203.54</v>
      </c>
      <c r="Q86" s="83">
        <f t="shared" si="17"/>
        <v>203.54</v>
      </c>
      <c r="R86" s="83">
        <f t="shared" si="17"/>
        <v>203.54</v>
      </c>
      <c r="S86" s="83">
        <f t="shared" si="17"/>
        <v>203.54</v>
      </c>
      <c r="T86" s="83">
        <f t="shared" si="17"/>
        <v>203.54</v>
      </c>
      <c r="U86" s="83">
        <f t="shared" si="17"/>
        <v>203.54</v>
      </c>
      <c r="V86" s="83">
        <f t="shared" si="17"/>
        <v>203.54</v>
      </c>
      <c r="W86" s="83">
        <f t="shared" si="17"/>
        <v>203.54</v>
      </c>
      <c r="X86" s="83">
        <f t="shared" si="17"/>
        <v>203.54</v>
      </c>
      <c r="Y86" s="83">
        <f t="shared" si="17"/>
        <v>203.54</v>
      </c>
      <c r="Z86" s="83">
        <f t="shared" si="17"/>
        <v>203.54</v>
      </c>
      <c r="AA86" s="83">
        <f t="shared" si="17"/>
        <v>203.54</v>
      </c>
      <c r="AB86" s="83">
        <f t="shared" si="17"/>
        <v>203.54</v>
      </c>
      <c r="AC86" s="83">
        <f t="shared" si="17"/>
        <v>203.54</v>
      </c>
      <c r="AD86" s="83">
        <f t="shared" si="17"/>
        <v>203.54</v>
      </c>
      <c r="AE86" s="83">
        <f t="shared" si="17"/>
        <v>203.54</v>
      </c>
      <c r="AF86" s="83">
        <f t="shared" si="17"/>
        <v>203.54</v>
      </c>
      <c r="AG86" s="81"/>
      <c r="AH86" s="48">
        <f t="shared" si="13"/>
        <v>203.54</v>
      </c>
      <c r="AI86" s="49">
        <f t="shared" si="14"/>
        <v>203.54</v>
      </c>
    </row>
    <row r="87" spans="1:37" x14ac:dyDescent="0.25">
      <c r="A87" s="44" t="s">
        <v>74</v>
      </c>
      <c r="B87" s="76">
        <f t="shared" ref="B87:AF87" si="18">IF(B70&lt;0,B70*-1,0)</f>
        <v>0</v>
      </c>
      <c r="C87" s="76">
        <f t="shared" si="18"/>
        <v>0</v>
      </c>
      <c r="D87" s="76">
        <f t="shared" si="18"/>
        <v>0</v>
      </c>
      <c r="E87" s="76">
        <f t="shared" si="18"/>
        <v>0</v>
      </c>
      <c r="F87" s="76">
        <f t="shared" si="18"/>
        <v>0</v>
      </c>
      <c r="G87" s="76">
        <f t="shared" si="18"/>
        <v>0</v>
      </c>
      <c r="H87" s="76">
        <f t="shared" si="18"/>
        <v>0</v>
      </c>
      <c r="I87" s="76">
        <f t="shared" si="18"/>
        <v>0</v>
      </c>
      <c r="J87" s="76">
        <f t="shared" si="18"/>
        <v>0</v>
      </c>
      <c r="K87" s="76">
        <f t="shared" si="18"/>
        <v>0</v>
      </c>
      <c r="L87" s="76">
        <f t="shared" si="18"/>
        <v>0</v>
      </c>
      <c r="M87" s="76">
        <f t="shared" si="18"/>
        <v>0</v>
      </c>
      <c r="N87" s="76">
        <f t="shared" si="18"/>
        <v>0</v>
      </c>
      <c r="O87" s="76">
        <f t="shared" si="18"/>
        <v>0</v>
      </c>
      <c r="P87" s="76">
        <f t="shared" si="18"/>
        <v>0</v>
      </c>
      <c r="Q87" s="76">
        <f t="shared" si="18"/>
        <v>0</v>
      </c>
      <c r="R87" s="76">
        <f t="shared" si="18"/>
        <v>0</v>
      </c>
      <c r="S87" s="76">
        <f t="shared" si="18"/>
        <v>0</v>
      </c>
      <c r="T87" s="76">
        <f t="shared" si="18"/>
        <v>0</v>
      </c>
      <c r="U87" s="76">
        <f t="shared" si="18"/>
        <v>0</v>
      </c>
      <c r="V87" s="76">
        <f t="shared" si="18"/>
        <v>0</v>
      </c>
      <c r="W87" s="76">
        <f t="shared" si="18"/>
        <v>0</v>
      </c>
      <c r="X87" s="76">
        <f t="shared" si="18"/>
        <v>0</v>
      </c>
      <c r="Y87" s="76">
        <f t="shared" si="18"/>
        <v>0</v>
      </c>
      <c r="Z87" s="76">
        <f t="shared" si="18"/>
        <v>0</v>
      </c>
      <c r="AA87" s="76">
        <f t="shared" si="18"/>
        <v>0</v>
      </c>
      <c r="AB87" s="76">
        <f t="shared" si="18"/>
        <v>0</v>
      </c>
      <c r="AC87" s="76">
        <f t="shared" si="18"/>
        <v>0</v>
      </c>
      <c r="AD87" s="76">
        <f t="shared" si="18"/>
        <v>0</v>
      </c>
      <c r="AE87" s="76">
        <f t="shared" si="18"/>
        <v>0</v>
      </c>
      <c r="AF87" s="76">
        <f t="shared" si="18"/>
        <v>0</v>
      </c>
      <c r="AG87" s="52"/>
      <c r="AH87" s="48">
        <f t="shared" si="13"/>
        <v>0</v>
      </c>
      <c r="AI87" s="49">
        <f t="shared" si="14"/>
        <v>0</v>
      </c>
    </row>
    <row r="88" spans="1:37" x14ac:dyDescent="0.25">
      <c r="A88" s="54" t="s">
        <v>72</v>
      </c>
      <c r="B88" s="76">
        <f t="shared" ref="B88:AF88" si="19">IF(B68&lt;0,B68*-1,0)</f>
        <v>0</v>
      </c>
      <c r="C88" s="76">
        <f t="shared" si="19"/>
        <v>0</v>
      </c>
      <c r="D88" s="76">
        <f t="shared" si="19"/>
        <v>0</v>
      </c>
      <c r="E88" s="76">
        <f t="shared" si="19"/>
        <v>0</v>
      </c>
      <c r="F88" s="76">
        <f t="shared" si="19"/>
        <v>0</v>
      </c>
      <c r="G88" s="76">
        <f t="shared" si="19"/>
        <v>0</v>
      </c>
      <c r="H88" s="76">
        <f t="shared" si="19"/>
        <v>0</v>
      </c>
      <c r="I88" s="76">
        <f t="shared" si="19"/>
        <v>0</v>
      </c>
      <c r="J88" s="76">
        <f t="shared" si="19"/>
        <v>0</v>
      </c>
      <c r="K88" s="76">
        <f t="shared" si="19"/>
        <v>0</v>
      </c>
      <c r="L88" s="76">
        <f t="shared" si="19"/>
        <v>0</v>
      </c>
      <c r="M88" s="76">
        <f t="shared" si="19"/>
        <v>0</v>
      </c>
      <c r="N88" s="76">
        <f t="shared" si="19"/>
        <v>0</v>
      </c>
      <c r="O88" s="76">
        <f t="shared" si="19"/>
        <v>0</v>
      </c>
      <c r="P88" s="76">
        <f t="shared" si="19"/>
        <v>0</v>
      </c>
      <c r="Q88" s="76">
        <f t="shared" si="19"/>
        <v>0</v>
      </c>
      <c r="R88" s="76">
        <f t="shared" si="19"/>
        <v>0</v>
      </c>
      <c r="S88" s="76">
        <f t="shared" si="19"/>
        <v>0</v>
      </c>
      <c r="T88" s="76">
        <f t="shared" si="19"/>
        <v>0</v>
      </c>
      <c r="U88" s="76">
        <f t="shared" si="19"/>
        <v>0</v>
      </c>
      <c r="V88" s="76">
        <f t="shared" si="19"/>
        <v>0</v>
      </c>
      <c r="W88" s="76">
        <f t="shared" si="19"/>
        <v>0</v>
      </c>
      <c r="X88" s="76">
        <f t="shared" si="19"/>
        <v>0</v>
      </c>
      <c r="Y88" s="76">
        <f t="shared" si="19"/>
        <v>0</v>
      </c>
      <c r="Z88" s="76">
        <f t="shared" si="19"/>
        <v>0</v>
      </c>
      <c r="AA88" s="76">
        <f t="shared" si="19"/>
        <v>0</v>
      </c>
      <c r="AB88" s="76">
        <f t="shared" si="19"/>
        <v>0</v>
      </c>
      <c r="AC88" s="76">
        <f t="shared" si="19"/>
        <v>0</v>
      </c>
      <c r="AD88" s="76">
        <f t="shared" si="19"/>
        <v>0</v>
      </c>
      <c r="AE88" s="76">
        <f t="shared" si="19"/>
        <v>0</v>
      </c>
      <c r="AF88" s="76">
        <f t="shared" si="19"/>
        <v>0</v>
      </c>
      <c r="AG88" s="55"/>
      <c r="AH88" s="48">
        <f t="shared" si="13"/>
        <v>0</v>
      </c>
      <c r="AI88" s="49">
        <f t="shared" si="14"/>
        <v>0</v>
      </c>
    </row>
    <row r="89" spans="1:37" x14ac:dyDescent="0.25">
      <c r="A89" s="78" t="s">
        <v>91</v>
      </c>
      <c r="B89" s="76">
        <f t="shared" ref="B89:AF89" si="20">IF(B71&lt;0,B71*-1,0)</f>
        <v>0</v>
      </c>
      <c r="C89" s="76">
        <f t="shared" si="20"/>
        <v>0</v>
      </c>
      <c r="D89" s="76">
        <f t="shared" si="20"/>
        <v>0</v>
      </c>
      <c r="E89" s="76">
        <f t="shared" si="20"/>
        <v>0</v>
      </c>
      <c r="F89" s="76">
        <f t="shared" si="20"/>
        <v>0</v>
      </c>
      <c r="G89" s="76">
        <f t="shared" si="20"/>
        <v>0</v>
      </c>
      <c r="H89" s="76">
        <f t="shared" si="20"/>
        <v>0</v>
      </c>
      <c r="I89" s="76">
        <f t="shared" si="20"/>
        <v>0</v>
      </c>
      <c r="J89" s="76">
        <f t="shared" si="20"/>
        <v>0</v>
      </c>
      <c r="K89" s="76">
        <f t="shared" si="20"/>
        <v>0</v>
      </c>
      <c r="L89" s="76">
        <f t="shared" si="20"/>
        <v>0</v>
      </c>
      <c r="M89" s="76">
        <f t="shared" si="20"/>
        <v>0</v>
      </c>
      <c r="N89" s="76">
        <f t="shared" si="20"/>
        <v>0</v>
      </c>
      <c r="O89" s="76">
        <f t="shared" si="20"/>
        <v>0</v>
      </c>
      <c r="P89" s="76">
        <f t="shared" si="20"/>
        <v>0</v>
      </c>
      <c r="Q89" s="76">
        <f t="shared" si="20"/>
        <v>0</v>
      </c>
      <c r="R89" s="76">
        <f t="shared" si="20"/>
        <v>0</v>
      </c>
      <c r="S89" s="76">
        <f t="shared" si="20"/>
        <v>0</v>
      </c>
      <c r="T89" s="76">
        <f t="shared" si="20"/>
        <v>0</v>
      </c>
      <c r="U89" s="76">
        <f t="shared" si="20"/>
        <v>0</v>
      </c>
      <c r="V89" s="76">
        <f t="shared" si="20"/>
        <v>0</v>
      </c>
      <c r="W89" s="76">
        <f t="shared" si="20"/>
        <v>0</v>
      </c>
      <c r="X89" s="76">
        <f t="shared" si="20"/>
        <v>0</v>
      </c>
      <c r="Y89" s="76">
        <f t="shared" si="20"/>
        <v>0</v>
      </c>
      <c r="Z89" s="76">
        <f t="shared" si="20"/>
        <v>0</v>
      </c>
      <c r="AA89" s="76">
        <f t="shared" si="20"/>
        <v>0</v>
      </c>
      <c r="AB89" s="76">
        <f t="shared" si="20"/>
        <v>0</v>
      </c>
      <c r="AC89" s="76">
        <f t="shared" si="20"/>
        <v>0</v>
      </c>
      <c r="AD89" s="76">
        <f t="shared" si="20"/>
        <v>0</v>
      </c>
      <c r="AE89" s="76">
        <f t="shared" si="20"/>
        <v>0</v>
      </c>
      <c r="AF89" s="76">
        <f t="shared" si="20"/>
        <v>0</v>
      </c>
      <c r="AG89" s="86"/>
      <c r="AH89" s="48">
        <f t="shared" si="13"/>
        <v>0</v>
      </c>
      <c r="AI89" s="49">
        <f t="shared" si="14"/>
        <v>0</v>
      </c>
    </row>
    <row r="90" spans="1:37" x14ac:dyDescent="0.25">
      <c r="A90" s="78" t="s">
        <v>92</v>
      </c>
      <c r="B90" s="76">
        <f t="shared" ref="B90:AF90" si="21">IF(B69&lt;0,B69*-1,0)</f>
        <v>0</v>
      </c>
      <c r="C90" s="76">
        <f t="shared" si="21"/>
        <v>0</v>
      </c>
      <c r="D90" s="76">
        <f t="shared" si="21"/>
        <v>0</v>
      </c>
      <c r="E90" s="76">
        <f t="shared" si="21"/>
        <v>0</v>
      </c>
      <c r="F90" s="76">
        <f t="shared" si="21"/>
        <v>0</v>
      </c>
      <c r="G90" s="76">
        <f t="shared" si="21"/>
        <v>0</v>
      </c>
      <c r="H90" s="76">
        <f t="shared" si="21"/>
        <v>0</v>
      </c>
      <c r="I90" s="76">
        <f t="shared" si="21"/>
        <v>0</v>
      </c>
      <c r="J90" s="76">
        <f t="shared" si="21"/>
        <v>0</v>
      </c>
      <c r="K90" s="76">
        <f t="shared" si="21"/>
        <v>0</v>
      </c>
      <c r="L90" s="76">
        <f t="shared" si="21"/>
        <v>0</v>
      </c>
      <c r="M90" s="76">
        <f t="shared" si="21"/>
        <v>0</v>
      </c>
      <c r="N90" s="76">
        <f t="shared" si="21"/>
        <v>0</v>
      </c>
      <c r="O90" s="76">
        <f t="shared" si="21"/>
        <v>0</v>
      </c>
      <c r="P90" s="76">
        <f t="shared" si="21"/>
        <v>0</v>
      </c>
      <c r="Q90" s="76">
        <f t="shared" si="21"/>
        <v>0</v>
      </c>
      <c r="R90" s="76">
        <f t="shared" si="21"/>
        <v>0</v>
      </c>
      <c r="S90" s="76">
        <f t="shared" si="21"/>
        <v>0</v>
      </c>
      <c r="T90" s="76">
        <f t="shared" si="21"/>
        <v>0</v>
      </c>
      <c r="U90" s="76">
        <f t="shared" si="21"/>
        <v>0</v>
      </c>
      <c r="V90" s="76">
        <f t="shared" si="21"/>
        <v>0</v>
      </c>
      <c r="W90" s="76">
        <f t="shared" si="21"/>
        <v>0</v>
      </c>
      <c r="X90" s="76">
        <f t="shared" si="21"/>
        <v>0</v>
      </c>
      <c r="Y90" s="76">
        <f t="shared" si="21"/>
        <v>0</v>
      </c>
      <c r="Z90" s="76">
        <f t="shared" si="21"/>
        <v>0</v>
      </c>
      <c r="AA90" s="76">
        <f t="shared" si="21"/>
        <v>0</v>
      </c>
      <c r="AB90" s="76">
        <f t="shared" si="21"/>
        <v>0</v>
      </c>
      <c r="AC90" s="76">
        <f t="shared" si="21"/>
        <v>0</v>
      </c>
      <c r="AD90" s="76">
        <f t="shared" si="21"/>
        <v>0</v>
      </c>
      <c r="AE90" s="76">
        <f t="shared" si="21"/>
        <v>0</v>
      </c>
      <c r="AF90" s="76">
        <f t="shared" si="21"/>
        <v>0</v>
      </c>
      <c r="AG90" s="86"/>
      <c r="AH90" s="48">
        <f t="shared" si="13"/>
        <v>0</v>
      </c>
      <c r="AI90" s="49">
        <f t="shared" si="14"/>
        <v>0</v>
      </c>
    </row>
    <row r="91" spans="1:37" x14ac:dyDescent="0.25">
      <c r="A91" s="78" t="s">
        <v>71</v>
      </c>
      <c r="B91" s="76">
        <f t="shared" ref="B91:AF91" si="22">IF(B67&lt;0,B67*-1,0)</f>
        <v>0</v>
      </c>
      <c r="C91" s="76">
        <f t="shared" si="22"/>
        <v>0</v>
      </c>
      <c r="D91" s="76">
        <f t="shared" si="22"/>
        <v>0</v>
      </c>
      <c r="E91" s="76">
        <f t="shared" si="22"/>
        <v>0</v>
      </c>
      <c r="F91" s="76">
        <f t="shared" si="22"/>
        <v>0</v>
      </c>
      <c r="G91" s="76">
        <f t="shared" si="22"/>
        <v>0</v>
      </c>
      <c r="H91" s="76">
        <f t="shared" si="22"/>
        <v>0</v>
      </c>
      <c r="I91" s="76">
        <f t="shared" si="22"/>
        <v>0</v>
      </c>
      <c r="J91" s="76">
        <f t="shared" si="22"/>
        <v>0</v>
      </c>
      <c r="K91" s="76">
        <f t="shared" si="22"/>
        <v>0</v>
      </c>
      <c r="L91" s="76">
        <f t="shared" si="22"/>
        <v>0</v>
      </c>
      <c r="M91" s="76">
        <f t="shared" si="22"/>
        <v>0</v>
      </c>
      <c r="N91" s="76">
        <f t="shared" si="22"/>
        <v>0</v>
      </c>
      <c r="O91" s="76">
        <f t="shared" si="22"/>
        <v>0</v>
      </c>
      <c r="P91" s="76">
        <f t="shared" si="22"/>
        <v>0</v>
      </c>
      <c r="Q91" s="76">
        <f t="shared" si="22"/>
        <v>0</v>
      </c>
      <c r="R91" s="76">
        <f t="shared" si="22"/>
        <v>0</v>
      </c>
      <c r="S91" s="76">
        <f t="shared" si="22"/>
        <v>0</v>
      </c>
      <c r="T91" s="76">
        <f t="shared" si="22"/>
        <v>0</v>
      </c>
      <c r="U91" s="76">
        <f t="shared" si="22"/>
        <v>0</v>
      </c>
      <c r="V91" s="76">
        <f t="shared" si="22"/>
        <v>0</v>
      </c>
      <c r="W91" s="76">
        <f t="shared" si="22"/>
        <v>0</v>
      </c>
      <c r="X91" s="76">
        <f t="shared" si="22"/>
        <v>0</v>
      </c>
      <c r="Y91" s="76">
        <f t="shared" si="22"/>
        <v>0</v>
      </c>
      <c r="Z91" s="76">
        <f t="shared" si="22"/>
        <v>0</v>
      </c>
      <c r="AA91" s="76">
        <f t="shared" si="22"/>
        <v>0</v>
      </c>
      <c r="AB91" s="76">
        <f t="shared" si="22"/>
        <v>0</v>
      </c>
      <c r="AC91" s="76">
        <f t="shared" si="22"/>
        <v>0</v>
      </c>
      <c r="AD91" s="76">
        <f t="shared" si="22"/>
        <v>0</v>
      </c>
      <c r="AE91" s="76">
        <f t="shared" si="22"/>
        <v>0</v>
      </c>
      <c r="AF91" s="76">
        <f t="shared" si="22"/>
        <v>0</v>
      </c>
      <c r="AG91" s="86"/>
      <c r="AH91" s="48">
        <f t="shared" si="13"/>
        <v>0</v>
      </c>
      <c r="AI91" s="49">
        <f t="shared" si="14"/>
        <v>0</v>
      </c>
    </row>
    <row r="92" spans="1:37" ht="15.75" thickBot="1" x14ac:dyDescent="0.3">
      <c r="A92" s="78" t="s">
        <v>93</v>
      </c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>
        <v>0</v>
      </c>
      <c r="AA92" s="79">
        <v>0</v>
      </c>
      <c r="AB92" s="79">
        <v>0</v>
      </c>
      <c r="AC92" s="79"/>
      <c r="AD92" s="79"/>
      <c r="AE92" s="79"/>
      <c r="AF92" s="79"/>
      <c r="AG92" s="80"/>
      <c r="AH92" s="48">
        <f t="shared" si="13"/>
        <v>0</v>
      </c>
      <c r="AI92" s="49">
        <f t="shared" si="14"/>
        <v>0</v>
      </c>
    </row>
    <row r="93" spans="1:37" ht="15.75" thickBot="1" x14ac:dyDescent="0.3">
      <c r="A93" s="87" t="s">
        <v>94</v>
      </c>
      <c r="B93" s="61">
        <f t="shared" ref="B93:AF93" si="23">SUM(B87:B92)</f>
        <v>0</v>
      </c>
      <c r="C93" s="61">
        <f t="shared" si="23"/>
        <v>0</v>
      </c>
      <c r="D93" s="61">
        <f t="shared" si="23"/>
        <v>0</v>
      </c>
      <c r="E93" s="61">
        <f t="shared" si="23"/>
        <v>0</v>
      </c>
      <c r="F93" s="61">
        <f t="shared" si="23"/>
        <v>0</v>
      </c>
      <c r="G93" s="61">
        <f t="shared" si="23"/>
        <v>0</v>
      </c>
      <c r="H93" s="61">
        <f t="shared" si="23"/>
        <v>0</v>
      </c>
      <c r="I93" s="61">
        <f t="shared" si="23"/>
        <v>0</v>
      </c>
      <c r="J93" s="61">
        <f t="shared" si="23"/>
        <v>0</v>
      </c>
      <c r="K93" s="61">
        <f t="shared" si="23"/>
        <v>0</v>
      </c>
      <c r="L93" s="61">
        <f t="shared" si="23"/>
        <v>0</v>
      </c>
      <c r="M93" s="61">
        <f t="shared" si="23"/>
        <v>0</v>
      </c>
      <c r="N93" s="61">
        <f t="shared" si="23"/>
        <v>0</v>
      </c>
      <c r="O93" s="61">
        <f t="shared" si="23"/>
        <v>0</v>
      </c>
      <c r="P93" s="61">
        <f t="shared" si="23"/>
        <v>0</v>
      </c>
      <c r="Q93" s="61">
        <f t="shared" si="23"/>
        <v>0</v>
      </c>
      <c r="R93" s="61">
        <f t="shared" si="23"/>
        <v>0</v>
      </c>
      <c r="S93" s="61">
        <f t="shared" si="23"/>
        <v>0</v>
      </c>
      <c r="T93" s="61">
        <f t="shared" si="23"/>
        <v>0</v>
      </c>
      <c r="U93" s="61">
        <f t="shared" si="23"/>
        <v>0</v>
      </c>
      <c r="V93" s="61">
        <f t="shared" si="23"/>
        <v>0</v>
      </c>
      <c r="W93" s="61">
        <f t="shared" si="23"/>
        <v>0</v>
      </c>
      <c r="X93" s="61">
        <f t="shared" si="23"/>
        <v>0</v>
      </c>
      <c r="Y93" s="61">
        <f t="shared" si="23"/>
        <v>0</v>
      </c>
      <c r="Z93" s="61">
        <f t="shared" si="23"/>
        <v>0</v>
      </c>
      <c r="AA93" s="61">
        <f t="shared" si="23"/>
        <v>0</v>
      </c>
      <c r="AB93" s="61">
        <f t="shared" si="23"/>
        <v>0</v>
      </c>
      <c r="AC93" s="61">
        <f t="shared" si="23"/>
        <v>0</v>
      </c>
      <c r="AD93" s="61">
        <f t="shared" si="23"/>
        <v>0</v>
      </c>
      <c r="AE93" s="61">
        <f t="shared" si="23"/>
        <v>0</v>
      </c>
      <c r="AF93" s="61">
        <f t="shared" si="23"/>
        <v>0</v>
      </c>
      <c r="AG93" s="81"/>
      <c r="AH93" s="48">
        <f t="shared" si="13"/>
        <v>0</v>
      </c>
      <c r="AI93" s="49">
        <f t="shared" si="14"/>
        <v>0</v>
      </c>
      <c r="AK93" s="50"/>
    </row>
    <row r="94" spans="1:37" ht="15.75" thickBot="1" x14ac:dyDescent="0.3">
      <c r="A94" s="74" t="s">
        <v>95</v>
      </c>
      <c r="B94" s="61">
        <f t="shared" ref="B94:AF94" si="24">B78-B93</f>
        <v>0</v>
      </c>
      <c r="C94" s="61">
        <f t="shared" si="24"/>
        <v>0</v>
      </c>
      <c r="D94" s="61">
        <f t="shared" si="24"/>
        <v>0</v>
      </c>
      <c r="E94" s="61">
        <f t="shared" si="24"/>
        <v>0</v>
      </c>
      <c r="F94" s="61">
        <f t="shared" si="24"/>
        <v>0</v>
      </c>
      <c r="G94" s="61">
        <f t="shared" si="24"/>
        <v>0</v>
      </c>
      <c r="H94" s="61">
        <f t="shared" si="24"/>
        <v>0</v>
      </c>
      <c r="I94" s="61">
        <f t="shared" si="24"/>
        <v>0</v>
      </c>
      <c r="J94" s="61">
        <f t="shared" si="24"/>
        <v>0</v>
      </c>
      <c r="K94" s="61">
        <f t="shared" si="24"/>
        <v>0</v>
      </c>
      <c r="L94" s="61">
        <f t="shared" si="24"/>
        <v>0</v>
      </c>
      <c r="M94" s="61">
        <f t="shared" si="24"/>
        <v>0</v>
      </c>
      <c r="N94" s="61">
        <f t="shared" si="24"/>
        <v>0</v>
      </c>
      <c r="O94" s="61">
        <f t="shared" si="24"/>
        <v>0</v>
      </c>
      <c r="P94" s="61">
        <f t="shared" si="24"/>
        <v>0</v>
      </c>
      <c r="Q94" s="61">
        <f t="shared" si="24"/>
        <v>0</v>
      </c>
      <c r="R94" s="61">
        <f t="shared" si="24"/>
        <v>0</v>
      </c>
      <c r="S94" s="61">
        <f t="shared" si="24"/>
        <v>0</v>
      </c>
      <c r="T94" s="61">
        <f t="shared" si="24"/>
        <v>0</v>
      </c>
      <c r="U94" s="61">
        <f t="shared" si="24"/>
        <v>0</v>
      </c>
      <c r="V94" s="61">
        <f t="shared" si="24"/>
        <v>0</v>
      </c>
      <c r="W94" s="61">
        <f t="shared" si="24"/>
        <v>0</v>
      </c>
      <c r="X94" s="61">
        <f t="shared" si="24"/>
        <v>0</v>
      </c>
      <c r="Y94" s="61">
        <f t="shared" si="24"/>
        <v>0</v>
      </c>
      <c r="Z94" s="61">
        <f t="shared" si="24"/>
        <v>0</v>
      </c>
      <c r="AA94" s="61">
        <f t="shared" si="24"/>
        <v>0</v>
      </c>
      <c r="AB94" s="61">
        <f t="shared" si="24"/>
        <v>0</v>
      </c>
      <c r="AC94" s="61">
        <f t="shared" si="24"/>
        <v>0</v>
      </c>
      <c r="AD94" s="61">
        <f t="shared" si="24"/>
        <v>0</v>
      </c>
      <c r="AE94" s="61">
        <f t="shared" si="24"/>
        <v>0</v>
      </c>
      <c r="AF94" s="61">
        <f t="shared" si="24"/>
        <v>0</v>
      </c>
      <c r="AG94" s="81"/>
      <c r="AH94" s="48">
        <f t="shared" si="13"/>
        <v>0</v>
      </c>
      <c r="AI94" s="49">
        <f t="shared" si="14"/>
        <v>0</v>
      </c>
    </row>
    <row r="95" spans="1:37" x14ac:dyDescent="0.25">
      <c r="A95" s="88" t="s">
        <v>96</v>
      </c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90"/>
      <c r="AH95" s="48">
        <f t="shared" si="13"/>
        <v>0</v>
      </c>
      <c r="AI95" s="49">
        <f t="shared" si="14"/>
        <v>0</v>
      </c>
    </row>
    <row r="96" spans="1:37" x14ac:dyDescent="0.25">
      <c r="A96" s="91" t="s">
        <v>97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92"/>
      <c r="AH96" s="48">
        <f t="shared" si="13"/>
        <v>0</v>
      </c>
      <c r="AI96" s="49">
        <f t="shared" si="14"/>
        <v>0</v>
      </c>
    </row>
    <row r="97" spans="1:35" x14ac:dyDescent="0.25">
      <c r="A97" s="91" t="s">
        <v>98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92"/>
      <c r="AH97" s="48">
        <f t="shared" si="13"/>
        <v>0</v>
      </c>
      <c r="AI97" s="49">
        <f t="shared" si="14"/>
        <v>0</v>
      </c>
    </row>
    <row r="98" spans="1:35" x14ac:dyDescent="0.25">
      <c r="A98" s="91" t="s">
        <v>99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92"/>
      <c r="AH98" s="48">
        <f t="shared" si="13"/>
        <v>0</v>
      </c>
      <c r="AI98" s="49">
        <f t="shared" si="14"/>
        <v>0</v>
      </c>
    </row>
    <row r="99" spans="1:35" x14ac:dyDescent="0.25">
      <c r="A99" s="93" t="s">
        <v>100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92"/>
      <c r="AH99" s="48">
        <f t="shared" si="13"/>
        <v>0</v>
      </c>
      <c r="AI99" s="49">
        <f t="shared" si="14"/>
        <v>0</v>
      </c>
    </row>
    <row r="100" spans="1:35" x14ac:dyDescent="0.25">
      <c r="A100" s="93" t="s">
        <v>101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5"/>
      <c r="AH100" s="48">
        <f t="shared" si="13"/>
        <v>0</v>
      </c>
      <c r="AI100" s="49">
        <f t="shared" si="14"/>
        <v>0</v>
      </c>
    </row>
    <row r="101" spans="1:35" x14ac:dyDescent="0.25">
      <c r="A101" s="91" t="s">
        <v>102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92"/>
      <c r="AH101" s="48">
        <f t="shared" si="13"/>
        <v>0</v>
      </c>
      <c r="AI101" s="49">
        <f t="shared" si="14"/>
        <v>0</v>
      </c>
    </row>
    <row r="102" spans="1:35" ht="15.75" thickBot="1" x14ac:dyDescent="0.3">
      <c r="A102" s="91" t="s">
        <v>104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7"/>
      <c r="AH102" s="48">
        <f t="shared" si="13"/>
        <v>0</v>
      </c>
      <c r="AI102" s="49">
        <f t="shared" si="14"/>
        <v>0</v>
      </c>
    </row>
    <row r="103" spans="1:35" ht="15.75" thickBot="1" x14ac:dyDescent="0.3">
      <c r="A103" s="98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7"/>
      <c r="AH103" s="48">
        <f t="shared" si="13"/>
        <v>0</v>
      </c>
      <c r="AI103" s="49">
        <f t="shared" si="14"/>
        <v>0</v>
      </c>
    </row>
    <row r="104" spans="1:35" ht="15.75" thickBot="1" x14ac:dyDescent="0.3">
      <c r="A104" s="99" t="s">
        <v>105</v>
      </c>
      <c r="B104" s="100">
        <f t="shared" ref="B104:AF104" si="25">SUM(B16,B22,B25:B26,B52,B54:B55,B57,B59,B105:B109,B131,B137,B143,B152,B154,B166,B173,B176:B177,B184,B186,B188,B192:B194,B196:B198,B203,B209:B210,B212:B214,B222,B227)</f>
        <v>0</v>
      </c>
      <c r="C104" s="100">
        <f t="shared" si="25"/>
        <v>0.94</v>
      </c>
      <c r="D104" s="100">
        <f t="shared" si="25"/>
        <v>0.94</v>
      </c>
      <c r="E104" s="100">
        <f t="shared" si="25"/>
        <v>0.94</v>
      </c>
      <c r="F104" s="100">
        <f t="shared" si="25"/>
        <v>0.94</v>
      </c>
      <c r="G104" s="100">
        <f t="shared" si="25"/>
        <v>0.94</v>
      </c>
      <c r="H104" s="100">
        <f t="shared" si="25"/>
        <v>0.94</v>
      </c>
      <c r="I104" s="100">
        <f t="shared" si="25"/>
        <v>0.94</v>
      </c>
      <c r="J104" s="100">
        <f t="shared" si="25"/>
        <v>0.94</v>
      </c>
      <c r="K104" s="100">
        <f t="shared" si="25"/>
        <v>0.94</v>
      </c>
      <c r="L104" s="100">
        <f t="shared" si="25"/>
        <v>0.94</v>
      </c>
      <c r="M104" s="100">
        <f t="shared" si="25"/>
        <v>0.94</v>
      </c>
      <c r="N104" s="100">
        <f t="shared" si="25"/>
        <v>0.94</v>
      </c>
      <c r="O104" s="100">
        <f t="shared" si="25"/>
        <v>0.94</v>
      </c>
      <c r="P104" s="100">
        <f t="shared" si="25"/>
        <v>0.94</v>
      </c>
      <c r="Q104" s="100">
        <f t="shared" si="25"/>
        <v>0</v>
      </c>
      <c r="R104" s="100">
        <f t="shared" si="25"/>
        <v>0</v>
      </c>
      <c r="S104" s="100">
        <f t="shared" si="25"/>
        <v>0</v>
      </c>
      <c r="T104" s="100">
        <f t="shared" si="25"/>
        <v>0</v>
      </c>
      <c r="U104" s="100">
        <f t="shared" si="25"/>
        <v>0</v>
      </c>
      <c r="V104" s="100">
        <f t="shared" si="25"/>
        <v>0</v>
      </c>
      <c r="W104" s="100">
        <f t="shared" si="25"/>
        <v>0</v>
      </c>
      <c r="X104" s="100">
        <f t="shared" si="25"/>
        <v>0</v>
      </c>
      <c r="Y104" s="100">
        <f t="shared" si="25"/>
        <v>0</v>
      </c>
      <c r="Z104" s="100">
        <f t="shared" si="25"/>
        <v>0</v>
      </c>
      <c r="AA104" s="100">
        <f t="shared" si="25"/>
        <v>0</v>
      </c>
      <c r="AB104" s="100">
        <f t="shared" si="25"/>
        <v>0</v>
      </c>
      <c r="AC104" s="100">
        <f t="shared" si="25"/>
        <v>0</v>
      </c>
      <c r="AD104" s="100">
        <f t="shared" si="25"/>
        <v>0</v>
      </c>
      <c r="AE104" s="100">
        <f t="shared" si="25"/>
        <v>0</v>
      </c>
      <c r="AF104" s="100">
        <f t="shared" si="25"/>
        <v>0</v>
      </c>
      <c r="AG104" s="101"/>
      <c r="AH104" s="48">
        <f t="shared" si="13"/>
        <v>0.94</v>
      </c>
      <c r="AI104" s="49">
        <f t="shared" si="14"/>
        <v>0</v>
      </c>
    </row>
    <row r="105" spans="1:35" x14ac:dyDescent="0.25">
      <c r="A105" s="88" t="s">
        <v>106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3">
        <v>75</v>
      </c>
      <c r="AH105" s="48">
        <f t="shared" si="13"/>
        <v>0</v>
      </c>
      <c r="AI105" s="49">
        <f t="shared" si="14"/>
        <v>0</v>
      </c>
    </row>
    <row r="106" spans="1:35" x14ac:dyDescent="0.25">
      <c r="A106" s="91" t="s">
        <v>107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3">
        <v>240</v>
      </c>
      <c r="AH106" s="48">
        <f t="shared" si="13"/>
        <v>0</v>
      </c>
      <c r="AI106" s="49">
        <f t="shared" si="14"/>
        <v>0</v>
      </c>
    </row>
    <row r="107" spans="1:35" x14ac:dyDescent="0.25">
      <c r="A107" s="91" t="s">
        <v>108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3">
        <v>240</v>
      </c>
      <c r="AH107" s="48">
        <f t="shared" si="13"/>
        <v>0</v>
      </c>
      <c r="AI107" s="49">
        <f t="shared" si="14"/>
        <v>0</v>
      </c>
    </row>
    <row r="108" spans="1:35" x14ac:dyDescent="0.25">
      <c r="A108" s="91" t="s">
        <v>109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3">
        <v>60</v>
      </c>
      <c r="AH108" s="48">
        <f t="shared" si="13"/>
        <v>0</v>
      </c>
      <c r="AI108" s="49">
        <f t="shared" si="14"/>
        <v>0</v>
      </c>
    </row>
    <row r="109" spans="1:35" x14ac:dyDescent="0.25">
      <c r="A109" s="105" t="s">
        <v>110</v>
      </c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  <c r="AB109" s="106"/>
      <c r="AC109" s="106"/>
      <c r="AD109" s="106"/>
      <c r="AE109" s="106"/>
      <c r="AF109" s="106"/>
      <c r="AG109" s="107">
        <v>120</v>
      </c>
      <c r="AH109" s="48">
        <f t="shared" si="13"/>
        <v>0</v>
      </c>
      <c r="AI109" s="49">
        <f t="shared" si="14"/>
        <v>0</v>
      </c>
    </row>
    <row r="110" spans="1:35" x14ac:dyDescent="0.25">
      <c r="A110" s="105" t="s">
        <v>111</v>
      </c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  <c r="AB110" s="106"/>
      <c r="AC110" s="106"/>
      <c r="AD110" s="106"/>
      <c r="AE110" s="106"/>
      <c r="AF110" s="106"/>
      <c r="AG110" s="107"/>
      <c r="AH110" s="48">
        <f t="shared" si="13"/>
        <v>0</v>
      </c>
      <c r="AI110" s="49">
        <f t="shared" si="14"/>
        <v>0</v>
      </c>
    </row>
    <row r="111" spans="1:35" x14ac:dyDescent="0.25">
      <c r="A111" s="105" t="s">
        <v>112</v>
      </c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  <c r="AB111" s="106"/>
      <c r="AC111" s="106"/>
      <c r="AD111" s="106"/>
      <c r="AE111" s="106"/>
      <c r="AF111" s="106"/>
      <c r="AG111" s="108"/>
      <c r="AH111" s="48">
        <f t="shared" si="13"/>
        <v>0</v>
      </c>
      <c r="AI111" s="49">
        <f t="shared" si="14"/>
        <v>0</v>
      </c>
    </row>
    <row r="112" spans="1:35" x14ac:dyDescent="0.25">
      <c r="A112" s="109" t="s">
        <v>113</v>
      </c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108"/>
      <c r="AH112" s="48">
        <f t="shared" si="13"/>
        <v>0</v>
      </c>
      <c r="AI112" s="49">
        <f t="shared" si="14"/>
        <v>0</v>
      </c>
    </row>
    <row r="113" spans="1:37" ht="15.75" thickBot="1" x14ac:dyDescent="0.3">
      <c r="A113" s="109" t="s">
        <v>114</v>
      </c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108"/>
      <c r="AH113" s="48">
        <f t="shared" si="13"/>
        <v>0</v>
      </c>
      <c r="AI113" s="49">
        <f t="shared" si="14"/>
        <v>0</v>
      </c>
    </row>
    <row r="114" spans="1:37" ht="15.75" thickBot="1" x14ac:dyDescent="0.3">
      <c r="A114" s="110" t="s">
        <v>115</v>
      </c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2"/>
      <c r="AH114" s="48"/>
      <c r="AI114" s="49"/>
      <c r="AK114" s="50"/>
    </row>
    <row r="115" spans="1:37" x14ac:dyDescent="0.25">
      <c r="A115" s="113" t="s">
        <v>116</v>
      </c>
      <c r="B115" s="114"/>
      <c r="C115" s="115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6">
        <v>9.94</v>
      </c>
      <c r="AH115" s="48"/>
      <c r="AI115" s="49"/>
      <c r="AK115" s="50"/>
    </row>
    <row r="116" spans="1:37" x14ac:dyDescent="0.25">
      <c r="A116" s="91" t="s">
        <v>117</v>
      </c>
      <c r="B116" s="114"/>
      <c r="C116" s="115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6"/>
      <c r="AH116" s="48"/>
      <c r="AI116" s="49"/>
      <c r="AK116" s="50"/>
    </row>
    <row r="117" spans="1:37" x14ac:dyDescent="0.25">
      <c r="A117" s="91" t="s">
        <v>118</v>
      </c>
      <c r="B117" s="114"/>
      <c r="C117" s="115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6"/>
      <c r="AH117" s="48"/>
      <c r="AI117" s="49"/>
      <c r="AK117" s="50"/>
    </row>
    <row r="118" spans="1:37" x14ac:dyDescent="0.25">
      <c r="A118" s="91" t="s">
        <v>119</v>
      </c>
      <c r="B118" s="114"/>
      <c r="C118" s="115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6"/>
      <c r="AH118" s="48"/>
      <c r="AI118" s="49"/>
      <c r="AK118" s="50"/>
    </row>
    <row r="119" spans="1:37" x14ac:dyDescent="0.25">
      <c r="A119" s="91" t="s">
        <v>120</v>
      </c>
      <c r="B119" s="114"/>
      <c r="C119" s="115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6"/>
      <c r="AH119" s="48"/>
      <c r="AI119" s="49"/>
      <c r="AK119" s="50"/>
    </row>
    <row r="120" spans="1:37" x14ac:dyDescent="0.25">
      <c r="A120" s="91" t="s">
        <v>121</v>
      </c>
      <c r="B120" s="114"/>
      <c r="C120" s="115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6"/>
      <c r="AH120" s="48"/>
      <c r="AI120" s="49"/>
      <c r="AK120" s="50"/>
    </row>
    <row r="121" spans="1:37" x14ac:dyDescent="0.25">
      <c r="A121" s="91" t="s">
        <v>122</v>
      </c>
      <c r="B121" s="114"/>
      <c r="C121" s="115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6"/>
      <c r="AH121" s="48"/>
      <c r="AI121" s="49"/>
      <c r="AK121" s="50"/>
    </row>
    <row r="122" spans="1:37" x14ac:dyDescent="0.25">
      <c r="A122" s="91" t="s">
        <v>123</v>
      </c>
      <c r="B122" s="114"/>
      <c r="C122" s="115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6"/>
      <c r="AH122" s="48"/>
      <c r="AI122" s="49"/>
      <c r="AK122" s="50"/>
    </row>
    <row r="123" spans="1:37" x14ac:dyDescent="0.25">
      <c r="A123" s="91" t="s">
        <v>124</v>
      </c>
      <c r="B123" s="114"/>
      <c r="C123" s="115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6"/>
      <c r="AH123" s="48"/>
      <c r="AI123" s="49"/>
      <c r="AK123" s="50"/>
    </row>
    <row r="124" spans="1:37" x14ac:dyDescent="0.25">
      <c r="A124" s="91" t="s">
        <v>125</v>
      </c>
      <c r="B124" s="114"/>
      <c r="C124" s="115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6"/>
      <c r="AH124" s="48"/>
      <c r="AI124" s="49"/>
      <c r="AK124" s="50"/>
    </row>
    <row r="125" spans="1:37" x14ac:dyDescent="0.25">
      <c r="A125" s="91" t="s">
        <v>126</v>
      </c>
      <c r="B125" s="114"/>
      <c r="C125" s="115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6"/>
      <c r="AH125" s="48"/>
      <c r="AI125" s="49"/>
      <c r="AK125" s="50"/>
    </row>
    <row r="126" spans="1:37" x14ac:dyDescent="0.25">
      <c r="A126" s="91" t="s">
        <v>127</v>
      </c>
      <c r="B126" s="114"/>
      <c r="C126" s="115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6"/>
      <c r="AH126" s="48"/>
      <c r="AI126" s="49"/>
      <c r="AK126" s="50"/>
    </row>
    <row r="127" spans="1:37" x14ac:dyDescent="0.25">
      <c r="A127" s="91" t="s">
        <v>128</v>
      </c>
      <c r="B127" s="114"/>
      <c r="C127" s="115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6"/>
      <c r="AH127" s="48"/>
      <c r="AI127" s="49"/>
      <c r="AK127" s="50"/>
    </row>
    <row r="128" spans="1:37" x14ac:dyDescent="0.25">
      <c r="A128" s="91" t="s">
        <v>129</v>
      </c>
      <c r="B128" s="114"/>
      <c r="C128" s="115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6"/>
      <c r="AH128" s="48"/>
      <c r="AI128" s="49"/>
      <c r="AK128" s="50"/>
    </row>
    <row r="129" spans="1:37" x14ac:dyDescent="0.25">
      <c r="A129" s="91" t="s">
        <v>130</v>
      </c>
      <c r="B129" s="114"/>
      <c r="C129" s="115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6"/>
      <c r="AH129" s="48"/>
      <c r="AI129" s="49"/>
      <c r="AK129" s="50"/>
    </row>
    <row r="130" spans="1:37" x14ac:dyDescent="0.25">
      <c r="A130" s="91" t="s">
        <v>131</v>
      </c>
      <c r="B130" s="114"/>
      <c r="C130" s="115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6"/>
      <c r="AH130" s="48"/>
      <c r="AI130" s="49"/>
      <c r="AK130" s="50"/>
    </row>
    <row r="131" spans="1:37" x14ac:dyDescent="0.25">
      <c r="A131" s="91" t="s">
        <v>132</v>
      </c>
      <c r="B131" s="117"/>
      <c r="C131" s="118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9">
        <v>9.9</v>
      </c>
      <c r="AH131" s="48"/>
      <c r="AI131" s="49"/>
      <c r="AK131" s="50"/>
    </row>
    <row r="132" spans="1:37" x14ac:dyDescent="0.25">
      <c r="A132" s="105" t="s">
        <v>133</v>
      </c>
      <c r="B132" s="117"/>
      <c r="C132" s="118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20">
        <v>9.6579999999999995</v>
      </c>
      <c r="AH132" s="48"/>
      <c r="AI132" s="49"/>
      <c r="AK132" s="50"/>
    </row>
    <row r="133" spans="1:37" x14ac:dyDescent="0.25">
      <c r="A133" s="105" t="s">
        <v>134</v>
      </c>
      <c r="B133" s="117"/>
      <c r="C133" s="118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20">
        <v>9.6</v>
      </c>
      <c r="AH133" s="48"/>
      <c r="AI133" s="49"/>
      <c r="AK133" s="50"/>
    </row>
    <row r="134" spans="1:37" x14ac:dyDescent="0.25">
      <c r="A134" s="105" t="s">
        <v>135</v>
      </c>
      <c r="B134" s="117"/>
      <c r="C134" s="118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20">
        <v>9.51</v>
      </c>
      <c r="AH134" s="48"/>
      <c r="AI134" s="49"/>
      <c r="AK134" s="50"/>
    </row>
    <row r="135" spans="1:37" x14ac:dyDescent="0.25">
      <c r="A135" s="105" t="s">
        <v>136</v>
      </c>
      <c r="B135" s="117"/>
      <c r="C135" s="118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20">
        <v>9.4</v>
      </c>
      <c r="AH135" s="48"/>
      <c r="AI135" s="49"/>
      <c r="AK135" s="50"/>
    </row>
    <row r="136" spans="1:37" x14ac:dyDescent="0.25">
      <c r="A136" s="105" t="s">
        <v>137</v>
      </c>
      <c r="B136" s="117"/>
      <c r="C136" s="118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20">
        <v>8.8000000000000007</v>
      </c>
      <c r="AH136" s="48"/>
      <c r="AI136" s="49"/>
      <c r="AK136" s="50"/>
    </row>
    <row r="137" spans="1:37" x14ac:dyDescent="0.25">
      <c r="A137" s="105" t="s">
        <v>138</v>
      </c>
      <c r="B137" s="117"/>
      <c r="C137" s="118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20">
        <v>8.5</v>
      </c>
      <c r="AH137" s="48"/>
      <c r="AI137" s="49"/>
      <c r="AK137" s="50"/>
    </row>
    <row r="138" spans="1:37" x14ac:dyDescent="0.25">
      <c r="A138" s="105" t="s">
        <v>139</v>
      </c>
      <c r="B138" s="117"/>
      <c r="C138" s="118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20">
        <v>8.5</v>
      </c>
      <c r="AH138" s="48"/>
      <c r="AI138" s="49"/>
      <c r="AK138" s="50"/>
    </row>
    <row r="139" spans="1:37" x14ac:dyDescent="0.25">
      <c r="A139" s="105" t="s">
        <v>140</v>
      </c>
      <c r="B139" s="117"/>
      <c r="C139" s="118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20">
        <v>8.4</v>
      </c>
      <c r="AH139" s="48"/>
      <c r="AI139" s="49"/>
      <c r="AK139" s="50"/>
    </row>
    <row r="140" spans="1:37" ht="13.5" customHeight="1" x14ac:dyDescent="0.25">
      <c r="A140" s="105" t="s">
        <v>141</v>
      </c>
      <c r="B140" s="117"/>
      <c r="C140" s="118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20">
        <v>8</v>
      </c>
      <c r="AH140" s="48"/>
      <c r="AI140" s="49"/>
      <c r="AK140" s="50"/>
    </row>
    <row r="141" spans="1:37" x14ac:dyDescent="0.25">
      <c r="A141" s="105" t="s">
        <v>142</v>
      </c>
      <c r="B141" s="117"/>
      <c r="C141" s="118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20">
        <v>8</v>
      </c>
      <c r="AH141" s="48"/>
      <c r="AI141" s="49"/>
      <c r="AK141" s="50"/>
    </row>
    <row r="142" spans="1:37" x14ac:dyDescent="0.25">
      <c r="A142" s="105" t="s">
        <v>143</v>
      </c>
      <c r="B142" s="117"/>
      <c r="C142" s="118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20">
        <v>8</v>
      </c>
      <c r="AH142" s="48"/>
      <c r="AI142" s="49"/>
      <c r="AK142" s="50"/>
    </row>
    <row r="143" spans="1:37" x14ac:dyDescent="0.25">
      <c r="A143" s="105" t="s">
        <v>144</v>
      </c>
      <c r="B143" s="117"/>
      <c r="C143" s="118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20">
        <v>7.8</v>
      </c>
      <c r="AH143" s="48"/>
      <c r="AI143" s="49"/>
      <c r="AK143" s="50"/>
    </row>
    <row r="144" spans="1:37" x14ac:dyDescent="0.25">
      <c r="A144" s="105" t="s">
        <v>145</v>
      </c>
      <c r="B144" s="117"/>
      <c r="C144" s="118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20">
        <v>7.6</v>
      </c>
      <c r="AH144" s="48"/>
      <c r="AI144" s="49"/>
      <c r="AK144" s="50"/>
    </row>
    <row r="145" spans="1:37" x14ac:dyDescent="0.25">
      <c r="A145" s="105" t="s">
        <v>146</v>
      </c>
      <c r="B145" s="117"/>
      <c r="C145" s="118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20">
        <v>7.5</v>
      </c>
      <c r="AH145" s="48"/>
      <c r="AI145" s="49"/>
      <c r="AK145" s="50"/>
    </row>
    <row r="146" spans="1:37" x14ac:dyDescent="0.25">
      <c r="A146" s="105" t="s">
        <v>147</v>
      </c>
      <c r="B146" s="117"/>
      <c r="C146" s="118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20">
        <v>7.5</v>
      </c>
      <c r="AH146" s="48"/>
      <c r="AI146" s="49"/>
      <c r="AK146" s="50"/>
    </row>
    <row r="147" spans="1:37" x14ac:dyDescent="0.25">
      <c r="A147" s="105" t="s">
        <v>148</v>
      </c>
      <c r="B147" s="117"/>
      <c r="C147" s="118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20">
        <v>7</v>
      </c>
      <c r="AH147" s="48"/>
      <c r="AI147" s="49"/>
      <c r="AK147" s="50"/>
    </row>
    <row r="148" spans="1:37" x14ac:dyDescent="0.25">
      <c r="A148" s="105" t="s">
        <v>149</v>
      </c>
      <c r="B148" s="117"/>
      <c r="C148" s="118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20">
        <v>7</v>
      </c>
      <c r="AH148" s="48"/>
      <c r="AI148" s="49"/>
      <c r="AK148" s="50"/>
    </row>
    <row r="149" spans="1:37" x14ac:dyDescent="0.25">
      <c r="A149" s="105" t="s">
        <v>150</v>
      </c>
      <c r="B149" s="117"/>
      <c r="C149" s="118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20">
        <v>7</v>
      </c>
      <c r="AH149" s="48"/>
      <c r="AI149" s="49"/>
      <c r="AK149" s="50"/>
    </row>
    <row r="150" spans="1:37" x14ac:dyDescent="0.25">
      <c r="A150" s="105" t="s">
        <v>151</v>
      </c>
      <c r="B150" s="117"/>
      <c r="C150" s="118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20">
        <v>7</v>
      </c>
      <c r="AH150" s="48"/>
      <c r="AI150" s="49"/>
      <c r="AK150" s="50"/>
    </row>
    <row r="151" spans="1:37" x14ac:dyDescent="0.25">
      <c r="A151" s="105" t="s">
        <v>152</v>
      </c>
      <c r="B151" s="117"/>
      <c r="C151" s="118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20">
        <v>6.6</v>
      </c>
      <c r="AH151" s="48"/>
      <c r="AI151" s="49"/>
      <c r="AK151" s="50"/>
    </row>
    <row r="152" spans="1:37" x14ac:dyDescent="0.25">
      <c r="A152" s="105" t="s">
        <v>153</v>
      </c>
      <c r="B152" s="117"/>
      <c r="C152" s="118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20">
        <v>6.6</v>
      </c>
      <c r="AH152" s="48"/>
      <c r="AI152" s="49"/>
      <c r="AK152" s="50"/>
    </row>
    <row r="153" spans="1:37" x14ac:dyDescent="0.25">
      <c r="A153" s="105" t="s">
        <v>154</v>
      </c>
      <c r="B153" s="117"/>
      <c r="C153" s="118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20">
        <v>6.4</v>
      </c>
      <c r="AH153" s="48"/>
      <c r="AI153" s="49"/>
      <c r="AK153" s="50"/>
    </row>
    <row r="154" spans="1:37" x14ac:dyDescent="0.25">
      <c r="A154" s="105" t="s">
        <v>155</v>
      </c>
      <c r="B154" s="117"/>
      <c r="C154" s="118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20">
        <v>6</v>
      </c>
      <c r="AH154" s="48"/>
      <c r="AI154" s="49"/>
      <c r="AK154" s="50"/>
    </row>
    <row r="155" spans="1:37" x14ac:dyDescent="0.25">
      <c r="A155" s="105" t="s">
        <v>156</v>
      </c>
      <c r="B155" s="117"/>
      <c r="C155" s="118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20">
        <v>5.0999999999999996</v>
      </c>
      <c r="AH155" s="48"/>
      <c r="AI155" s="49"/>
      <c r="AK155" s="50"/>
    </row>
    <row r="156" spans="1:37" x14ac:dyDescent="0.25">
      <c r="A156" s="105" t="s">
        <v>157</v>
      </c>
      <c r="B156" s="117"/>
      <c r="C156" s="118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20">
        <v>5</v>
      </c>
      <c r="AH156" s="48"/>
      <c r="AI156" s="49"/>
      <c r="AK156" s="50"/>
    </row>
    <row r="157" spans="1:37" x14ac:dyDescent="0.25">
      <c r="A157" s="91" t="s">
        <v>158</v>
      </c>
      <c r="B157" s="117"/>
      <c r="C157" s="118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9">
        <v>5</v>
      </c>
      <c r="AH157" s="48"/>
      <c r="AI157" s="49"/>
      <c r="AK157" s="50"/>
    </row>
    <row r="158" spans="1:37" x14ac:dyDescent="0.25">
      <c r="A158" s="105" t="s">
        <v>159</v>
      </c>
      <c r="B158" s="117"/>
      <c r="C158" s="118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20">
        <v>5</v>
      </c>
      <c r="AH158" s="48"/>
      <c r="AI158" s="49"/>
      <c r="AK158" s="50"/>
    </row>
    <row r="159" spans="1:37" x14ac:dyDescent="0.25">
      <c r="A159" s="105" t="s">
        <v>160</v>
      </c>
      <c r="B159" s="117"/>
      <c r="C159" s="118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20">
        <v>5</v>
      </c>
      <c r="AH159" s="48"/>
      <c r="AI159" s="49"/>
      <c r="AK159" s="50"/>
    </row>
    <row r="160" spans="1:37" x14ac:dyDescent="0.25">
      <c r="A160" s="105" t="s">
        <v>161</v>
      </c>
      <c r="B160" s="117"/>
      <c r="C160" s="118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20">
        <v>5</v>
      </c>
      <c r="AH160" s="48"/>
      <c r="AI160" s="49"/>
      <c r="AK160" s="50"/>
    </row>
    <row r="161" spans="1:37" x14ac:dyDescent="0.25">
      <c r="A161" s="105" t="s">
        <v>162</v>
      </c>
      <c r="B161" s="117"/>
      <c r="C161" s="118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20">
        <v>5</v>
      </c>
      <c r="AH161" s="48"/>
      <c r="AI161" s="49"/>
      <c r="AK161" s="50"/>
    </row>
    <row r="162" spans="1:37" x14ac:dyDescent="0.25">
      <c r="A162" s="105" t="s">
        <v>163</v>
      </c>
      <c r="B162" s="117"/>
      <c r="C162" s="118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20">
        <v>5</v>
      </c>
      <c r="AH162" s="48"/>
      <c r="AI162" s="49"/>
      <c r="AK162" s="50"/>
    </row>
    <row r="163" spans="1:37" x14ac:dyDescent="0.25">
      <c r="A163" s="105" t="s">
        <v>164</v>
      </c>
      <c r="B163" s="117"/>
      <c r="C163" s="118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20">
        <v>4.9930000000000003</v>
      </c>
      <c r="AH163" s="48"/>
      <c r="AI163" s="49"/>
      <c r="AK163" s="50"/>
    </row>
    <row r="164" spans="1:37" x14ac:dyDescent="0.25">
      <c r="A164" s="105" t="s">
        <v>165</v>
      </c>
      <c r="B164" s="117"/>
      <c r="C164" s="118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20">
        <v>4.9800000000000004</v>
      </c>
      <c r="AH164" s="48"/>
      <c r="AI164" s="49"/>
      <c r="AK164" s="50"/>
    </row>
    <row r="165" spans="1:37" x14ac:dyDescent="0.25">
      <c r="A165" s="105" t="s">
        <v>166</v>
      </c>
      <c r="B165" s="117"/>
      <c r="C165" s="118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20">
        <v>4.95</v>
      </c>
      <c r="AH165" s="48"/>
      <c r="AI165" s="49"/>
      <c r="AK165" s="50"/>
    </row>
    <row r="166" spans="1:37" x14ac:dyDescent="0.25">
      <c r="A166" s="105" t="s">
        <v>167</v>
      </c>
      <c r="B166" s="117"/>
      <c r="C166" s="118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20">
        <v>4.95</v>
      </c>
      <c r="AH166" s="48"/>
      <c r="AI166" s="49"/>
      <c r="AK166" s="50"/>
    </row>
    <row r="167" spans="1:37" x14ac:dyDescent="0.25">
      <c r="A167" s="105" t="s">
        <v>168</v>
      </c>
      <c r="B167" s="117"/>
      <c r="C167" s="118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20">
        <v>4.8</v>
      </c>
      <c r="AH167" s="48"/>
      <c r="AI167" s="49"/>
      <c r="AK167" s="50"/>
    </row>
    <row r="168" spans="1:37" x14ac:dyDescent="0.25">
      <c r="A168" s="105" t="s">
        <v>169</v>
      </c>
      <c r="B168" s="117"/>
      <c r="C168" s="118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20">
        <v>4.8</v>
      </c>
      <c r="AH168" s="48"/>
      <c r="AI168" s="49"/>
      <c r="AK168" s="50"/>
    </row>
    <row r="169" spans="1:37" x14ac:dyDescent="0.25">
      <c r="A169" s="105" t="s">
        <v>170</v>
      </c>
      <c r="B169" s="117"/>
      <c r="C169" s="118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20">
        <v>4.8</v>
      </c>
      <c r="AH169" s="48"/>
      <c r="AI169" s="49"/>
      <c r="AK169" s="50"/>
    </row>
    <row r="170" spans="1:37" x14ac:dyDescent="0.25">
      <c r="A170" s="105" t="s">
        <v>171</v>
      </c>
      <c r="B170" s="117"/>
      <c r="C170" s="118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20">
        <v>4.5</v>
      </c>
      <c r="AH170" s="48"/>
      <c r="AI170" s="49"/>
      <c r="AK170" s="50"/>
    </row>
    <row r="171" spans="1:37" x14ac:dyDescent="0.25">
      <c r="A171" s="105" t="s">
        <v>172</v>
      </c>
      <c r="B171" s="117"/>
      <c r="C171" s="118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20">
        <v>4.5</v>
      </c>
      <c r="AH171" s="48"/>
      <c r="AI171" s="49"/>
      <c r="AK171" s="50"/>
    </row>
    <row r="172" spans="1:37" x14ac:dyDescent="0.25">
      <c r="A172" s="105" t="s">
        <v>173</v>
      </c>
      <c r="B172" s="117"/>
      <c r="C172" s="118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20">
        <v>4.4550000000000001</v>
      </c>
      <c r="AH172" s="48"/>
      <c r="AI172" s="49"/>
      <c r="AK172" s="50"/>
    </row>
    <row r="173" spans="1:37" x14ac:dyDescent="0.25">
      <c r="A173" s="105" t="s">
        <v>174</v>
      </c>
      <c r="B173" s="117"/>
      <c r="C173" s="118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20">
        <v>4.41</v>
      </c>
      <c r="AH173" s="48"/>
      <c r="AI173" s="49"/>
      <c r="AK173" s="50"/>
    </row>
    <row r="174" spans="1:37" x14ac:dyDescent="0.25">
      <c r="A174" s="105" t="s">
        <v>175</v>
      </c>
      <c r="B174" s="117"/>
      <c r="C174" s="118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20">
        <v>4.4000000000000004</v>
      </c>
      <c r="AH174" s="48"/>
      <c r="AI174" s="49"/>
      <c r="AK174" s="50"/>
    </row>
    <row r="175" spans="1:37" x14ac:dyDescent="0.25">
      <c r="A175" s="105" t="s">
        <v>176</v>
      </c>
      <c r="B175" s="117"/>
      <c r="C175" s="118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20">
        <v>4.3600000000000003</v>
      </c>
      <c r="AH175" s="48"/>
      <c r="AI175" s="49"/>
      <c r="AK175" s="50"/>
    </row>
    <row r="176" spans="1:37" x14ac:dyDescent="0.25">
      <c r="A176" s="105" t="s">
        <v>177</v>
      </c>
      <c r="B176" s="117"/>
      <c r="C176" s="118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20">
        <v>4.2</v>
      </c>
      <c r="AH176" s="48"/>
      <c r="AI176" s="49"/>
      <c r="AK176" s="50"/>
    </row>
    <row r="177" spans="1:37" x14ac:dyDescent="0.25">
      <c r="A177" s="105" t="s">
        <v>178</v>
      </c>
      <c r="B177" s="117"/>
      <c r="C177" s="118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20">
        <v>4</v>
      </c>
      <c r="AH177" s="48"/>
      <c r="AI177" s="49"/>
      <c r="AK177" s="50"/>
    </row>
    <row r="178" spans="1:37" x14ac:dyDescent="0.25">
      <c r="A178" s="105" t="s">
        <v>179</v>
      </c>
      <c r="B178" s="117"/>
      <c r="C178" s="118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20">
        <v>4</v>
      </c>
      <c r="AH178" s="48"/>
      <c r="AI178" s="49"/>
      <c r="AK178" s="50"/>
    </row>
    <row r="179" spans="1:37" x14ac:dyDescent="0.25">
      <c r="A179" s="105" t="s">
        <v>180</v>
      </c>
      <c r="B179" s="117"/>
      <c r="C179" s="118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20">
        <v>4</v>
      </c>
      <c r="AH179" s="48"/>
      <c r="AI179" s="49"/>
      <c r="AK179" s="50"/>
    </row>
    <row r="180" spans="1:37" x14ac:dyDescent="0.25">
      <c r="A180" s="105" t="s">
        <v>181</v>
      </c>
      <c r="B180" s="117"/>
      <c r="C180" s="118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20">
        <v>4</v>
      </c>
      <c r="AH180" s="48"/>
      <c r="AI180" s="49"/>
      <c r="AK180" s="50"/>
    </row>
    <row r="181" spans="1:37" x14ac:dyDescent="0.25">
      <c r="A181" s="105" t="s">
        <v>182</v>
      </c>
      <c r="B181" s="117"/>
      <c r="C181" s="118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20">
        <v>4</v>
      </c>
      <c r="AH181" s="48"/>
      <c r="AI181" s="49"/>
      <c r="AK181" s="50"/>
    </row>
    <row r="182" spans="1:37" x14ac:dyDescent="0.25">
      <c r="A182" s="105" t="s">
        <v>183</v>
      </c>
      <c r="B182" s="117"/>
      <c r="C182" s="118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20">
        <v>4</v>
      </c>
      <c r="AH182" s="48"/>
      <c r="AI182" s="49"/>
      <c r="AK182" s="50"/>
    </row>
    <row r="183" spans="1:37" x14ac:dyDescent="0.25">
      <c r="A183" s="105" t="s">
        <v>184</v>
      </c>
      <c r="B183" s="117"/>
      <c r="C183" s="118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20">
        <v>4</v>
      </c>
      <c r="AH183" s="48"/>
      <c r="AI183" s="49"/>
      <c r="AK183" s="50"/>
    </row>
    <row r="184" spans="1:37" x14ac:dyDescent="0.25">
      <c r="A184" s="105" t="s">
        <v>185</v>
      </c>
      <c r="B184" s="117"/>
      <c r="C184" s="118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20">
        <v>4</v>
      </c>
      <c r="AH184" s="48"/>
      <c r="AI184" s="49"/>
      <c r="AK184" s="50"/>
    </row>
    <row r="185" spans="1:37" x14ac:dyDescent="0.25">
      <c r="A185" s="105" t="s">
        <v>186</v>
      </c>
      <c r="B185" s="117"/>
      <c r="C185" s="118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20">
        <v>3.75</v>
      </c>
      <c r="AH185" s="48"/>
      <c r="AI185" s="49"/>
      <c r="AK185" s="50"/>
    </row>
    <row r="186" spans="1:37" x14ac:dyDescent="0.25">
      <c r="A186" s="105" t="s">
        <v>187</v>
      </c>
      <c r="B186" s="117"/>
      <c r="C186" s="118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20">
        <v>3.52</v>
      </c>
      <c r="AH186" s="48"/>
      <c r="AI186" s="49"/>
      <c r="AK186" s="50"/>
    </row>
    <row r="187" spans="1:37" x14ac:dyDescent="0.25">
      <c r="A187" s="105" t="s">
        <v>188</v>
      </c>
      <c r="B187" s="117"/>
      <c r="C187" s="118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20">
        <v>3.33</v>
      </c>
      <c r="AH187" s="48"/>
      <c r="AI187" s="49"/>
      <c r="AK187" s="50"/>
    </row>
    <row r="188" spans="1:37" x14ac:dyDescent="0.25">
      <c r="A188" s="105" t="s">
        <v>189</v>
      </c>
      <c r="B188" s="117"/>
      <c r="C188" s="118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20">
        <v>3.2</v>
      </c>
      <c r="AH188" s="48"/>
      <c r="AI188" s="49"/>
      <c r="AK188" s="50"/>
    </row>
    <row r="189" spans="1:37" x14ac:dyDescent="0.25">
      <c r="A189" s="105" t="s">
        <v>190</v>
      </c>
      <c r="B189" s="117"/>
      <c r="C189" s="118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20">
        <v>3</v>
      </c>
      <c r="AH189" s="48"/>
      <c r="AI189" s="49"/>
      <c r="AK189" s="50"/>
    </row>
    <row r="190" spans="1:37" x14ac:dyDescent="0.25">
      <c r="A190" s="105" t="s">
        <v>191</v>
      </c>
      <c r="B190" s="117"/>
      <c r="C190" s="118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20">
        <v>3</v>
      </c>
      <c r="AH190" s="48"/>
      <c r="AI190" s="49"/>
      <c r="AK190" s="50"/>
    </row>
    <row r="191" spans="1:37" x14ac:dyDescent="0.25">
      <c r="A191" s="105" t="s">
        <v>192</v>
      </c>
      <c r="B191" s="117"/>
      <c r="C191" s="118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20">
        <v>3</v>
      </c>
      <c r="AH191" s="48"/>
      <c r="AI191" s="49"/>
      <c r="AK191" s="50"/>
    </row>
    <row r="192" spans="1:37" x14ac:dyDescent="0.25">
      <c r="A192" s="105" t="s">
        <v>193</v>
      </c>
      <c r="B192" s="117"/>
      <c r="C192" s="118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20">
        <v>3</v>
      </c>
      <c r="AH192" s="48"/>
      <c r="AI192" s="49"/>
      <c r="AK192" s="50"/>
    </row>
    <row r="193" spans="1:37" x14ac:dyDescent="0.25">
      <c r="A193" s="105" t="s">
        <v>194</v>
      </c>
      <c r="B193" s="117"/>
      <c r="C193" s="118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20">
        <v>3</v>
      </c>
      <c r="AH193" s="48"/>
      <c r="AI193" s="49"/>
      <c r="AK193" s="50"/>
    </row>
    <row r="194" spans="1:37" x14ac:dyDescent="0.25">
      <c r="A194" s="105" t="s">
        <v>195</v>
      </c>
      <c r="B194" s="117"/>
      <c r="C194" s="118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20">
        <v>3</v>
      </c>
      <c r="AH194" s="48"/>
      <c r="AI194" s="49"/>
      <c r="AK194" s="50"/>
    </row>
    <row r="195" spans="1:37" x14ac:dyDescent="0.25">
      <c r="A195" s="105" t="s">
        <v>196</v>
      </c>
      <c r="B195" s="117"/>
      <c r="C195" s="118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20">
        <v>3</v>
      </c>
      <c r="AH195" s="48"/>
      <c r="AI195" s="49"/>
      <c r="AK195" s="50"/>
    </row>
    <row r="196" spans="1:37" x14ac:dyDescent="0.25">
      <c r="A196" s="105" t="s">
        <v>197</v>
      </c>
      <c r="B196" s="117"/>
      <c r="C196" s="118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20">
        <v>3</v>
      </c>
      <c r="AH196" s="48"/>
      <c r="AI196" s="49"/>
      <c r="AK196" s="50"/>
    </row>
    <row r="197" spans="1:37" x14ac:dyDescent="0.25">
      <c r="A197" s="105" t="s">
        <v>198</v>
      </c>
      <c r="B197" s="117"/>
      <c r="C197" s="118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20">
        <v>2.83</v>
      </c>
      <c r="AH197" s="48"/>
      <c r="AI197" s="49"/>
      <c r="AK197" s="50"/>
    </row>
    <row r="198" spans="1:37" x14ac:dyDescent="0.25">
      <c r="A198" s="105" t="s">
        <v>199</v>
      </c>
      <c r="B198" s="117"/>
      <c r="C198" s="118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20">
        <v>2.5</v>
      </c>
      <c r="AH198" s="48"/>
      <c r="AI198" s="49"/>
      <c r="AK198" s="50"/>
    </row>
    <row r="199" spans="1:37" x14ac:dyDescent="0.25">
      <c r="A199" s="105" t="s">
        <v>200</v>
      </c>
      <c r="B199" s="117"/>
      <c r="C199" s="118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20">
        <v>2.5</v>
      </c>
      <c r="AH199" s="48"/>
      <c r="AI199" s="49"/>
      <c r="AK199" s="50"/>
    </row>
    <row r="200" spans="1:37" x14ac:dyDescent="0.25">
      <c r="A200" s="105" t="s">
        <v>201</v>
      </c>
      <c r="B200" s="117"/>
      <c r="C200" s="118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20">
        <v>2.4</v>
      </c>
      <c r="AH200" s="48"/>
      <c r="AI200" s="49"/>
      <c r="AK200" s="50"/>
    </row>
    <row r="201" spans="1:37" x14ac:dyDescent="0.25">
      <c r="A201" s="105" t="s">
        <v>202</v>
      </c>
      <c r="B201" s="117"/>
      <c r="C201" s="118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20">
        <v>2.4</v>
      </c>
      <c r="AH201" s="48"/>
      <c r="AI201" s="49"/>
      <c r="AK201" s="50"/>
    </row>
    <row r="202" spans="1:37" x14ac:dyDescent="0.25">
      <c r="A202" s="105" t="s">
        <v>203</v>
      </c>
      <c r="B202" s="117"/>
      <c r="C202" s="118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20">
        <v>2.2000000000000002</v>
      </c>
      <c r="AH202" s="48"/>
      <c r="AI202" s="49"/>
      <c r="AK202" s="50"/>
    </row>
    <row r="203" spans="1:37" x14ac:dyDescent="0.25">
      <c r="A203" s="105" t="s">
        <v>204</v>
      </c>
      <c r="B203" s="117"/>
      <c r="C203" s="118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20">
        <v>2</v>
      </c>
      <c r="AH203" s="48"/>
      <c r="AI203" s="49"/>
      <c r="AK203" s="50"/>
    </row>
    <row r="204" spans="1:37" x14ac:dyDescent="0.25">
      <c r="A204" s="105" t="s">
        <v>205</v>
      </c>
      <c r="B204" s="117"/>
      <c r="C204" s="118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20">
        <v>2</v>
      </c>
      <c r="AH204" s="48"/>
      <c r="AI204" s="49"/>
      <c r="AK204" s="50"/>
    </row>
    <row r="205" spans="1:37" x14ac:dyDescent="0.25">
      <c r="A205" s="105" t="s">
        <v>206</v>
      </c>
      <c r="B205" s="117"/>
      <c r="C205" s="118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20">
        <v>2</v>
      </c>
      <c r="AH205" s="48"/>
      <c r="AI205" s="49"/>
      <c r="AK205" s="50"/>
    </row>
    <row r="206" spans="1:37" x14ac:dyDescent="0.25">
      <c r="A206" s="105" t="s">
        <v>207</v>
      </c>
      <c r="B206" s="117"/>
      <c r="C206" s="118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20">
        <v>1.8</v>
      </c>
      <c r="AH206" s="48"/>
      <c r="AI206" s="49"/>
      <c r="AK206" s="50"/>
    </row>
    <row r="207" spans="1:37" x14ac:dyDescent="0.25">
      <c r="A207" s="105" t="s">
        <v>208</v>
      </c>
      <c r="B207" s="117"/>
      <c r="C207" s="118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20">
        <v>1.8</v>
      </c>
      <c r="AH207" s="48"/>
      <c r="AI207" s="49"/>
      <c r="AK207" s="50"/>
    </row>
    <row r="208" spans="1:37" x14ac:dyDescent="0.25">
      <c r="A208" s="105" t="s">
        <v>209</v>
      </c>
      <c r="B208" s="117"/>
      <c r="C208" s="118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20">
        <v>1.65</v>
      </c>
      <c r="AH208" s="48"/>
      <c r="AI208" s="49"/>
      <c r="AK208" s="50"/>
    </row>
    <row r="209" spans="1:37" x14ac:dyDescent="0.25">
      <c r="A209" s="105" t="s">
        <v>210</v>
      </c>
      <c r="B209" s="117"/>
      <c r="C209" s="118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20">
        <v>1.5</v>
      </c>
      <c r="AH209" s="48"/>
      <c r="AI209" s="49"/>
      <c r="AK209" s="50"/>
    </row>
    <row r="210" spans="1:37" x14ac:dyDescent="0.25">
      <c r="A210" s="105" t="s">
        <v>211</v>
      </c>
      <c r="B210" s="117"/>
      <c r="C210" s="118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20">
        <v>0.998</v>
      </c>
      <c r="AH210" s="48"/>
      <c r="AI210" s="49"/>
      <c r="AK210" s="50"/>
    </row>
    <row r="211" spans="1:37" x14ac:dyDescent="0.25">
      <c r="A211" s="105" t="s">
        <v>212</v>
      </c>
      <c r="B211" s="117"/>
      <c r="C211" s="118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20">
        <v>0.997</v>
      </c>
      <c r="AH211" s="48"/>
      <c r="AI211" s="49"/>
      <c r="AK211" s="50"/>
    </row>
    <row r="212" spans="1:37" x14ac:dyDescent="0.25">
      <c r="A212" s="105" t="s">
        <v>213</v>
      </c>
      <c r="B212" s="117"/>
      <c r="C212" s="118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20">
        <v>0.997</v>
      </c>
      <c r="AH212" s="48"/>
      <c r="AI212" s="49"/>
      <c r="AK212" s="50"/>
    </row>
    <row r="213" spans="1:37" x14ac:dyDescent="0.25">
      <c r="A213" s="105" t="s">
        <v>214</v>
      </c>
      <c r="B213" s="117"/>
      <c r="C213" s="118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20">
        <v>0.996</v>
      </c>
      <c r="AH213" s="48"/>
      <c r="AI213" s="49"/>
      <c r="AK213" s="50"/>
    </row>
    <row r="214" spans="1:37" x14ac:dyDescent="0.25">
      <c r="A214" s="105" t="s">
        <v>215</v>
      </c>
      <c r="B214" s="117"/>
      <c r="C214" s="118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20">
        <v>0.996</v>
      </c>
      <c r="AH214" s="48"/>
      <c r="AI214" s="49"/>
      <c r="AK214" s="50"/>
    </row>
    <row r="215" spans="1:37" x14ac:dyDescent="0.25">
      <c r="A215" s="105" t="s">
        <v>216</v>
      </c>
      <c r="B215" s="117"/>
      <c r="C215" s="118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20">
        <v>0.996</v>
      </c>
      <c r="AH215" s="48"/>
      <c r="AI215" s="49"/>
      <c r="AK215" s="50"/>
    </row>
    <row r="216" spans="1:37" x14ac:dyDescent="0.25">
      <c r="A216" s="105" t="s">
        <v>217</v>
      </c>
      <c r="B216" s="117"/>
      <c r="C216" s="118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20">
        <v>0.995</v>
      </c>
      <c r="AH216" s="48"/>
      <c r="AI216" s="49"/>
      <c r="AK216" s="50"/>
    </row>
    <row r="217" spans="1:37" x14ac:dyDescent="0.25">
      <c r="A217" s="105" t="s">
        <v>218</v>
      </c>
      <c r="B217" s="117"/>
      <c r="C217" s="118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20">
        <v>0.99299999999999999</v>
      </c>
      <c r="AH217" s="48"/>
      <c r="AI217" s="49"/>
      <c r="AK217" s="50"/>
    </row>
    <row r="218" spans="1:37" x14ac:dyDescent="0.25">
      <c r="A218" s="105" t="s">
        <v>219</v>
      </c>
      <c r="B218" s="117"/>
      <c r="C218" s="115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20">
        <v>0.99</v>
      </c>
      <c r="AH218" s="48"/>
      <c r="AI218" s="49"/>
      <c r="AK218" s="50"/>
    </row>
    <row r="219" spans="1:37" ht="15.75" thickBot="1" x14ac:dyDescent="0.3">
      <c r="A219" s="105" t="s">
        <v>220</v>
      </c>
      <c r="B219" s="121"/>
      <c r="C219" s="122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0">
        <v>0.97899999999999998</v>
      </c>
      <c r="AH219" s="48"/>
      <c r="AI219" s="49"/>
      <c r="AK219" s="50"/>
    </row>
    <row r="220" spans="1:37" ht="15.75" thickBot="1" x14ac:dyDescent="0.3">
      <c r="A220" s="123" t="s">
        <v>221</v>
      </c>
      <c r="B220" s="124">
        <f t="shared" ref="B220:AG220" si="26">SUM(B115:B219)</f>
        <v>0</v>
      </c>
      <c r="C220" s="125">
        <f t="shared" si="26"/>
        <v>0</v>
      </c>
      <c r="D220" s="125">
        <f t="shared" si="26"/>
        <v>0</v>
      </c>
      <c r="E220" s="125">
        <f t="shared" si="26"/>
        <v>0</v>
      </c>
      <c r="F220" s="125">
        <f t="shared" si="26"/>
        <v>0</v>
      </c>
      <c r="G220" s="125">
        <f t="shared" si="26"/>
        <v>0</v>
      </c>
      <c r="H220" s="125">
        <f t="shared" si="26"/>
        <v>0</v>
      </c>
      <c r="I220" s="125">
        <f t="shared" si="26"/>
        <v>0</v>
      </c>
      <c r="J220" s="125">
        <f t="shared" si="26"/>
        <v>0</v>
      </c>
      <c r="K220" s="125">
        <f t="shared" si="26"/>
        <v>0</v>
      </c>
      <c r="L220" s="125">
        <f t="shared" si="26"/>
        <v>0</v>
      </c>
      <c r="M220" s="125">
        <f t="shared" si="26"/>
        <v>0</v>
      </c>
      <c r="N220" s="125">
        <f t="shared" si="26"/>
        <v>0</v>
      </c>
      <c r="O220" s="125">
        <f t="shared" si="26"/>
        <v>0</v>
      </c>
      <c r="P220" s="125">
        <f t="shared" si="26"/>
        <v>0</v>
      </c>
      <c r="Q220" s="125">
        <f t="shared" si="26"/>
        <v>0</v>
      </c>
      <c r="R220" s="125">
        <f t="shared" si="26"/>
        <v>0</v>
      </c>
      <c r="S220" s="125">
        <f t="shared" si="26"/>
        <v>0</v>
      </c>
      <c r="T220" s="125">
        <f t="shared" si="26"/>
        <v>0</v>
      </c>
      <c r="U220" s="125">
        <f t="shared" si="26"/>
        <v>0</v>
      </c>
      <c r="V220" s="125">
        <f t="shared" si="26"/>
        <v>0</v>
      </c>
      <c r="W220" s="125">
        <f t="shared" si="26"/>
        <v>0</v>
      </c>
      <c r="X220" s="125">
        <f t="shared" si="26"/>
        <v>0</v>
      </c>
      <c r="Y220" s="125">
        <f t="shared" si="26"/>
        <v>0</v>
      </c>
      <c r="Z220" s="125">
        <f t="shared" si="26"/>
        <v>0</v>
      </c>
      <c r="AA220" s="125">
        <f t="shared" si="26"/>
        <v>0</v>
      </c>
      <c r="AB220" s="125">
        <f t="shared" si="26"/>
        <v>0</v>
      </c>
      <c r="AC220" s="125">
        <f t="shared" si="26"/>
        <v>0</v>
      </c>
      <c r="AD220" s="125">
        <f t="shared" si="26"/>
        <v>0</v>
      </c>
      <c r="AE220" s="125">
        <f t="shared" si="26"/>
        <v>0</v>
      </c>
      <c r="AF220" s="126">
        <f t="shared" si="26"/>
        <v>0</v>
      </c>
      <c r="AG220" s="127">
        <f t="shared" si="26"/>
        <v>412.72299999999984</v>
      </c>
      <c r="AH220" s="48"/>
      <c r="AI220" s="49"/>
      <c r="AK220" s="50"/>
    </row>
    <row r="221" spans="1:37" ht="15.75" thickBot="1" x14ac:dyDescent="0.3">
      <c r="A221" s="26" t="s">
        <v>65</v>
      </c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08"/>
      <c r="AH221" s="48"/>
      <c r="AI221" s="49"/>
      <c r="AK221" s="50"/>
    </row>
    <row r="222" spans="1:37" x14ac:dyDescent="0.25">
      <c r="A222" s="88" t="s">
        <v>222</v>
      </c>
      <c r="B222" s="129">
        <f t="shared" ref="B222:B227" si="27">AF222</f>
        <v>0</v>
      </c>
      <c r="C222" s="129">
        <v>0.3</v>
      </c>
      <c r="D222" s="129">
        <f t="shared" ref="D222:P227" si="28">C222</f>
        <v>0.3</v>
      </c>
      <c r="E222" s="129">
        <f t="shared" si="28"/>
        <v>0.3</v>
      </c>
      <c r="F222" s="129">
        <f t="shared" si="28"/>
        <v>0.3</v>
      </c>
      <c r="G222" s="129">
        <f t="shared" si="28"/>
        <v>0.3</v>
      </c>
      <c r="H222" s="129">
        <f t="shared" si="28"/>
        <v>0.3</v>
      </c>
      <c r="I222" s="129">
        <f t="shared" si="28"/>
        <v>0.3</v>
      </c>
      <c r="J222" s="129">
        <f t="shared" si="28"/>
        <v>0.3</v>
      </c>
      <c r="K222" s="129">
        <f t="shared" si="28"/>
        <v>0.3</v>
      </c>
      <c r="L222" s="129">
        <f t="shared" si="28"/>
        <v>0.3</v>
      </c>
      <c r="M222" s="129">
        <f t="shared" si="28"/>
        <v>0.3</v>
      </c>
      <c r="N222" s="129">
        <f t="shared" si="28"/>
        <v>0.3</v>
      </c>
      <c r="O222" s="129">
        <f t="shared" si="28"/>
        <v>0.3</v>
      </c>
      <c r="P222" s="129">
        <f t="shared" si="28"/>
        <v>0.3</v>
      </c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30">
        <v>2.4</v>
      </c>
      <c r="AH222" s="48"/>
      <c r="AI222" s="49"/>
      <c r="AK222" s="50"/>
    </row>
    <row r="223" spans="1:37" x14ac:dyDescent="0.25">
      <c r="A223" s="91" t="s">
        <v>223</v>
      </c>
      <c r="B223" s="117">
        <f t="shared" si="27"/>
        <v>0</v>
      </c>
      <c r="C223" s="117">
        <v>0.4</v>
      </c>
      <c r="D223" s="117">
        <f t="shared" si="28"/>
        <v>0.4</v>
      </c>
      <c r="E223" s="117">
        <f t="shared" si="28"/>
        <v>0.4</v>
      </c>
      <c r="F223" s="117">
        <f t="shared" si="28"/>
        <v>0.4</v>
      </c>
      <c r="G223" s="117">
        <f t="shared" si="28"/>
        <v>0.4</v>
      </c>
      <c r="H223" s="117">
        <f t="shared" si="28"/>
        <v>0.4</v>
      </c>
      <c r="I223" s="117">
        <f t="shared" si="28"/>
        <v>0.4</v>
      </c>
      <c r="J223" s="117">
        <f t="shared" si="28"/>
        <v>0.4</v>
      </c>
      <c r="K223" s="117">
        <f t="shared" si="28"/>
        <v>0.4</v>
      </c>
      <c r="L223" s="117">
        <f t="shared" si="28"/>
        <v>0.4</v>
      </c>
      <c r="M223" s="117">
        <f t="shared" si="28"/>
        <v>0.4</v>
      </c>
      <c r="N223" s="117">
        <f t="shared" si="28"/>
        <v>0.4</v>
      </c>
      <c r="O223" s="117">
        <f t="shared" si="28"/>
        <v>0.4</v>
      </c>
      <c r="P223" s="117">
        <f t="shared" si="28"/>
        <v>0.4</v>
      </c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31">
        <v>2</v>
      </c>
      <c r="AH223" s="48"/>
      <c r="AI223" s="49"/>
      <c r="AK223" s="50"/>
    </row>
    <row r="224" spans="1:37" x14ac:dyDescent="0.25">
      <c r="A224" s="91" t="s">
        <v>224</v>
      </c>
      <c r="B224" s="117">
        <f t="shared" si="27"/>
        <v>0</v>
      </c>
      <c r="C224" s="117">
        <v>1.5</v>
      </c>
      <c r="D224" s="117">
        <f t="shared" si="28"/>
        <v>1.5</v>
      </c>
      <c r="E224" s="117">
        <f t="shared" si="28"/>
        <v>1.5</v>
      </c>
      <c r="F224" s="117">
        <f t="shared" si="28"/>
        <v>1.5</v>
      </c>
      <c r="G224" s="117">
        <f t="shared" si="28"/>
        <v>1.5</v>
      </c>
      <c r="H224" s="117">
        <f t="shared" si="28"/>
        <v>1.5</v>
      </c>
      <c r="I224" s="117">
        <f t="shared" si="28"/>
        <v>1.5</v>
      </c>
      <c r="J224" s="117">
        <f t="shared" si="28"/>
        <v>1.5</v>
      </c>
      <c r="K224" s="117">
        <f t="shared" si="28"/>
        <v>1.5</v>
      </c>
      <c r="L224" s="117">
        <f t="shared" si="28"/>
        <v>1.5</v>
      </c>
      <c r="M224" s="117">
        <f t="shared" si="28"/>
        <v>1.5</v>
      </c>
      <c r="N224" s="117">
        <f t="shared" si="28"/>
        <v>1.5</v>
      </c>
      <c r="O224" s="117">
        <f t="shared" si="28"/>
        <v>1.5</v>
      </c>
      <c r="P224" s="117">
        <f t="shared" si="28"/>
        <v>1.5</v>
      </c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31">
        <v>1.5</v>
      </c>
      <c r="AH224" s="48"/>
      <c r="AI224" s="49"/>
      <c r="AK224" s="50"/>
    </row>
    <row r="225" spans="1:37" x14ac:dyDescent="0.25">
      <c r="A225" s="91" t="s">
        <v>225</v>
      </c>
      <c r="B225" s="117">
        <f t="shared" si="27"/>
        <v>0</v>
      </c>
      <c r="C225" s="117">
        <v>0.3</v>
      </c>
      <c r="D225" s="117">
        <f t="shared" si="28"/>
        <v>0.3</v>
      </c>
      <c r="E225" s="117">
        <f t="shared" si="28"/>
        <v>0.3</v>
      </c>
      <c r="F225" s="117">
        <f t="shared" si="28"/>
        <v>0.3</v>
      </c>
      <c r="G225" s="117">
        <f t="shared" si="28"/>
        <v>0.3</v>
      </c>
      <c r="H225" s="117">
        <f t="shared" si="28"/>
        <v>0.3</v>
      </c>
      <c r="I225" s="117">
        <f t="shared" si="28"/>
        <v>0.3</v>
      </c>
      <c r="J225" s="117">
        <f t="shared" si="28"/>
        <v>0.3</v>
      </c>
      <c r="K225" s="117">
        <f t="shared" si="28"/>
        <v>0.3</v>
      </c>
      <c r="L225" s="117">
        <f t="shared" si="28"/>
        <v>0.3</v>
      </c>
      <c r="M225" s="117">
        <f t="shared" si="28"/>
        <v>0.3</v>
      </c>
      <c r="N225" s="117">
        <f t="shared" si="28"/>
        <v>0.3</v>
      </c>
      <c r="O225" s="117">
        <f t="shared" si="28"/>
        <v>0.3</v>
      </c>
      <c r="P225" s="117">
        <f t="shared" si="28"/>
        <v>0.3</v>
      </c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31">
        <v>1</v>
      </c>
      <c r="AH225" s="48"/>
      <c r="AI225" s="49"/>
      <c r="AK225" s="50"/>
    </row>
    <row r="226" spans="1:37" x14ac:dyDescent="0.25">
      <c r="A226" s="91" t="s">
        <v>226</v>
      </c>
      <c r="B226" s="117">
        <f t="shared" si="27"/>
        <v>0</v>
      </c>
      <c r="C226" s="117">
        <v>0.4</v>
      </c>
      <c r="D226" s="117">
        <f t="shared" si="28"/>
        <v>0.4</v>
      </c>
      <c r="E226" s="117">
        <f t="shared" si="28"/>
        <v>0.4</v>
      </c>
      <c r="F226" s="117">
        <f t="shared" si="28"/>
        <v>0.4</v>
      </c>
      <c r="G226" s="117">
        <f t="shared" si="28"/>
        <v>0.4</v>
      </c>
      <c r="H226" s="117">
        <f t="shared" si="28"/>
        <v>0.4</v>
      </c>
      <c r="I226" s="117">
        <f t="shared" si="28"/>
        <v>0.4</v>
      </c>
      <c r="J226" s="117">
        <f t="shared" si="28"/>
        <v>0.4</v>
      </c>
      <c r="K226" s="117">
        <f t="shared" si="28"/>
        <v>0.4</v>
      </c>
      <c r="L226" s="117">
        <f t="shared" si="28"/>
        <v>0.4</v>
      </c>
      <c r="M226" s="117">
        <f t="shared" si="28"/>
        <v>0.4</v>
      </c>
      <c r="N226" s="117">
        <f t="shared" si="28"/>
        <v>0.4</v>
      </c>
      <c r="O226" s="117">
        <f t="shared" si="28"/>
        <v>0.4</v>
      </c>
      <c r="P226" s="117">
        <f t="shared" si="28"/>
        <v>0.4</v>
      </c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31">
        <v>1</v>
      </c>
      <c r="AH226" s="48"/>
      <c r="AI226" s="49"/>
      <c r="AK226" s="50"/>
    </row>
    <row r="227" spans="1:37" ht="15.75" thickBot="1" x14ac:dyDescent="0.3">
      <c r="A227" s="105" t="s">
        <v>227</v>
      </c>
      <c r="B227" s="121">
        <f t="shared" si="27"/>
        <v>0</v>
      </c>
      <c r="C227" s="121">
        <v>0.64</v>
      </c>
      <c r="D227" s="121">
        <f t="shared" si="28"/>
        <v>0.64</v>
      </c>
      <c r="E227" s="121">
        <f t="shared" si="28"/>
        <v>0.64</v>
      </c>
      <c r="F227" s="121">
        <f t="shared" si="28"/>
        <v>0.64</v>
      </c>
      <c r="G227" s="121">
        <f t="shared" si="28"/>
        <v>0.64</v>
      </c>
      <c r="H227" s="121">
        <f t="shared" si="28"/>
        <v>0.64</v>
      </c>
      <c r="I227" s="121">
        <f t="shared" si="28"/>
        <v>0.64</v>
      </c>
      <c r="J227" s="121">
        <f t="shared" si="28"/>
        <v>0.64</v>
      </c>
      <c r="K227" s="121">
        <f t="shared" si="28"/>
        <v>0.64</v>
      </c>
      <c r="L227" s="121">
        <f t="shared" si="28"/>
        <v>0.64</v>
      </c>
      <c r="M227" s="121">
        <f t="shared" si="28"/>
        <v>0.64</v>
      </c>
      <c r="N227" s="121">
        <f t="shared" si="28"/>
        <v>0.64</v>
      </c>
      <c r="O227" s="121">
        <f t="shared" si="28"/>
        <v>0.64</v>
      </c>
      <c r="P227" s="121">
        <f t="shared" si="28"/>
        <v>0.64</v>
      </c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32">
        <v>0.66</v>
      </c>
      <c r="AH227" s="48"/>
      <c r="AI227" s="49"/>
    </row>
    <row r="228" spans="1:37" ht="15.75" thickBot="1" x14ac:dyDescent="0.3">
      <c r="A228" s="133" t="s">
        <v>65</v>
      </c>
      <c r="B228" s="125">
        <f t="shared" ref="B228:AG228" si="29">SUM(B222:B227)</f>
        <v>0</v>
      </c>
      <c r="C228" s="125">
        <f t="shared" si="29"/>
        <v>3.54</v>
      </c>
      <c r="D228" s="125">
        <f t="shared" si="29"/>
        <v>3.54</v>
      </c>
      <c r="E228" s="125">
        <f t="shared" si="29"/>
        <v>3.54</v>
      </c>
      <c r="F228" s="125">
        <f t="shared" si="29"/>
        <v>3.54</v>
      </c>
      <c r="G228" s="125">
        <f t="shared" si="29"/>
        <v>3.54</v>
      </c>
      <c r="H228" s="125">
        <f t="shared" si="29"/>
        <v>3.54</v>
      </c>
      <c r="I228" s="125">
        <f t="shared" si="29"/>
        <v>3.54</v>
      </c>
      <c r="J228" s="125">
        <f t="shared" si="29"/>
        <v>3.54</v>
      </c>
      <c r="K228" s="125">
        <f t="shared" si="29"/>
        <v>3.54</v>
      </c>
      <c r="L228" s="125">
        <f t="shared" si="29"/>
        <v>3.54</v>
      </c>
      <c r="M228" s="125">
        <f t="shared" si="29"/>
        <v>3.54</v>
      </c>
      <c r="N228" s="125">
        <f t="shared" si="29"/>
        <v>3.54</v>
      </c>
      <c r="O228" s="125">
        <f t="shared" si="29"/>
        <v>3.54</v>
      </c>
      <c r="P228" s="125">
        <f t="shared" si="29"/>
        <v>3.54</v>
      </c>
      <c r="Q228" s="125">
        <f t="shared" si="29"/>
        <v>0</v>
      </c>
      <c r="R228" s="125">
        <f t="shared" si="29"/>
        <v>0</v>
      </c>
      <c r="S228" s="125">
        <f t="shared" si="29"/>
        <v>0</v>
      </c>
      <c r="T228" s="125">
        <f t="shared" si="29"/>
        <v>0</v>
      </c>
      <c r="U228" s="125">
        <f t="shared" si="29"/>
        <v>0</v>
      </c>
      <c r="V228" s="125">
        <f t="shared" si="29"/>
        <v>0</v>
      </c>
      <c r="W228" s="125">
        <f t="shared" si="29"/>
        <v>0</v>
      </c>
      <c r="X228" s="125">
        <f t="shared" si="29"/>
        <v>0</v>
      </c>
      <c r="Y228" s="125">
        <f t="shared" si="29"/>
        <v>0</v>
      </c>
      <c r="Z228" s="125">
        <f t="shared" si="29"/>
        <v>0</v>
      </c>
      <c r="AA228" s="125">
        <f t="shared" si="29"/>
        <v>0</v>
      </c>
      <c r="AB228" s="125">
        <f t="shared" si="29"/>
        <v>0</v>
      </c>
      <c r="AC228" s="125">
        <f t="shared" si="29"/>
        <v>0</v>
      </c>
      <c r="AD228" s="125">
        <f t="shared" si="29"/>
        <v>0</v>
      </c>
      <c r="AE228" s="125">
        <f t="shared" si="29"/>
        <v>0</v>
      </c>
      <c r="AF228" s="125">
        <f t="shared" si="29"/>
        <v>0</v>
      </c>
      <c r="AG228" s="134">
        <f t="shared" si="29"/>
        <v>8.56</v>
      </c>
      <c r="AH228" s="48"/>
      <c r="AI228" s="49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28"/>
      <c r="AH229" s="43"/>
    </row>
    <row r="230" spans="1:37" x14ac:dyDescent="0.25">
      <c r="A230" s="135" t="s">
        <v>228</v>
      </c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7"/>
      <c r="AG230" s="43"/>
      <c r="AH230" s="48"/>
      <c r="AI230" s="49"/>
    </row>
    <row r="231" spans="1:37" x14ac:dyDescent="0.25">
      <c r="A231" s="138" t="s">
        <v>229</v>
      </c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  <c r="Z231" s="139"/>
      <c r="AA231" s="139"/>
      <c r="AB231" s="139"/>
      <c r="AC231" s="139"/>
      <c r="AD231" s="139"/>
      <c r="AE231" s="139"/>
      <c r="AF231" s="140"/>
      <c r="AG231" s="141"/>
      <c r="AH231" s="48"/>
      <c r="AI231" s="49"/>
    </row>
    <row r="232" spans="1:37" x14ac:dyDescent="0.25">
      <c r="A232" s="142" t="s">
        <v>230</v>
      </c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4"/>
      <c r="AG232" s="141"/>
      <c r="AH232" s="48"/>
      <c r="AI232" s="49"/>
    </row>
    <row r="233" spans="1:37" x14ac:dyDescent="0.25">
      <c r="A233" s="142" t="s">
        <v>231</v>
      </c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4"/>
      <c r="AG233" s="141"/>
      <c r="AH233" s="48"/>
      <c r="AI233" s="49"/>
    </row>
    <row r="234" spans="1:37" ht="15.75" thickBot="1" x14ac:dyDescent="0.3">
      <c r="A234" s="145" t="s">
        <v>232</v>
      </c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7"/>
      <c r="AG234" s="141"/>
      <c r="AH234" s="48"/>
      <c r="AI234" s="49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48" t="s">
        <v>233</v>
      </c>
      <c r="B237" s="149">
        <f>MAX(G85:N85)</f>
        <v>203.54</v>
      </c>
      <c r="C237" s="150">
        <f>INDEX(G9:N9,1,MATCH(MAX(G85:N85),G85:N85,0))</f>
        <v>0.20833333333333301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51" t="str">
        <f ca="1">MID(CELL("filename",C7),FIND("]",CELL("filename",C7))+1,600)</f>
        <v>Sample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235" t="s">
        <v>234</v>
      </c>
      <c r="B239" s="235"/>
      <c r="C239" s="43"/>
      <c r="D239" s="151" t="e">
        <f ca="1">"Pie Chart of Daily Peak Demand(Inclusive of Export) of Nepal ("&amp;A4&amp;" "&amp;B4&amp;")"</f>
        <v>#VALUE!</v>
      </c>
      <c r="E239" s="43"/>
      <c r="F239" s="43"/>
      <c r="G239" s="151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51" t="e">
        <f ca="1">"Daily Load Curve(Excluding of Export) of Nepal ("&amp;A4&amp;" "&amp;B4&amp;")"</f>
        <v>#VALUE!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52" t="s">
        <v>7</v>
      </c>
      <c r="B240" s="153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52" t="s">
        <v>235</v>
      </c>
      <c r="B241" s="15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54" t="s">
        <v>236</v>
      </c>
      <c r="T241" s="155">
        <v>0</v>
      </c>
      <c r="U241" s="156">
        <v>4.1666666666666664E-2</v>
      </c>
      <c r="V241" s="157">
        <v>8.3333333333333301E-2</v>
      </c>
      <c r="W241" s="157">
        <v>0.125</v>
      </c>
      <c r="X241" s="157">
        <v>0.16666666666666699</v>
      </c>
      <c r="Y241" s="157">
        <v>0.20833333333333301</v>
      </c>
      <c r="Z241" s="157">
        <v>0.22916666666666666</v>
      </c>
      <c r="AA241" s="157">
        <v>0.25</v>
      </c>
      <c r="AB241" s="157">
        <v>0.27083333333333331</v>
      </c>
      <c r="AC241" s="157">
        <v>0.29166666666666669</v>
      </c>
      <c r="AD241" s="157">
        <v>0.3125</v>
      </c>
      <c r="AE241" s="158">
        <v>0.33333333333333331</v>
      </c>
      <c r="AF241" s="158">
        <v>0.375</v>
      </c>
      <c r="AG241" s="158">
        <v>0.41666666666666702</v>
      </c>
      <c r="AH241" s="158">
        <v>0.45833333333333298</v>
      </c>
      <c r="AI241" s="158">
        <v>0.5</v>
      </c>
      <c r="AJ241" s="158">
        <v>0.54166666666666696</v>
      </c>
      <c r="AK241" s="158">
        <v>0.58333333333333304</v>
      </c>
      <c r="AL241" s="158">
        <v>0.625</v>
      </c>
      <c r="AM241" s="158">
        <v>0.66666666666666696</v>
      </c>
      <c r="AN241" s="158">
        <v>0.70833333333333304</v>
      </c>
      <c r="AO241" s="158">
        <v>0.72916666666666663</v>
      </c>
      <c r="AP241" s="158">
        <v>0.75</v>
      </c>
      <c r="AQ241" s="158">
        <v>0.77083333333333337</v>
      </c>
      <c r="AR241" s="158">
        <v>0.79166666666666663</v>
      </c>
      <c r="AS241" s="158">
        <v>0.8125</v>
      </c>
      <c r="AT241" s="157">
        <v>0.83333333333333337</v>
      </c>
      <c r="AU241" s="157">
        <v>0.85416666666666663</v>
      </c>
      <c r="AV241" s="157">
        <v>0.875</v>
      </c>
      <c r="AW241" s="157">
        <v>0.91666666666666696</v>
      </c>
      <c r="AX241" s="157">
        <v>0.95833333333333304</v>
      </c>
    </row>
    <row r="242" spans="1:50" x14ac:dyDescent="0.25">
      <c r="A242" s="152" t="s">
        <v>237</v>
      </c>
      <c r="B242" s="15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238</v>
      </c>
      <c r="T242" s="159">
        <f t="shared" ref="T242:AX242" si="30">B85</f>
        <v>203.54</v>
      </c>
      <c r="U242" s="159">
        <f t="shared" si="30"/>
        <v>203.54</v>
      </c>
      <c r="V242" s="159">
        <f t="shared" si="30"/>
        <v>203.54</v>
      </c>
      <c r="W242" s="159">
        <f t="shared" si="30"/>
        <v>203.54</v>
      </c>
      <c r="X242" s="159">
        <f t="shared" si="30"/>
        <v>203.54</v>
      </c>
      <c r="Y242" s="159">
        <f t="shared" si="30"/>
        <v>203.54</v>
      </c>
      <c r="Z242" s="159">
        <f t="shared" si="30"/>
        <v>203.54</v>
      </c>
      <c r="AA242" s="159">
        <f t="shared" si="30"/>
        <v>203.54</v>
      </c>
      <c r="AB242" s="159">
        <f t="shared" si="30"/>
        <v>203.54</v>
      </c>
      <c r="AC242" s="159">
        <f t="shared" si="30"/>
        <v>203.54</v>
      </c>
      <c r="AD242" s="159">
        <f t="shared" si="30"/>
        <v>203.54</v>
      </c>
      <c r="AE242" s="159">
        <f t="shared" si="30"/>
        <v>203.54</v>
      </c>
      <c r="AF242" s="159">
        <f t="shared" si="30"/>
        <v>203.54</v>
      </c>
      <c r="AG242" s="159">
        <f t="shared" si="30"/>
        <v>203.54</v>
      </c>
      <c r="AH242" s="159">
        <f t="shared" si="30"/>
        <v>203.54</v>
      </c>
      <c r="AI242" s="159">
        <f t="shared" si="30"/>
        <v>203.54</v>
      </c>
      <c r="AJ242" s="159">
        <f t="shared" si="30"/>
        <v>203.54</v>
      </c>
      <c r="AK242" s="159">
        <f t="shared" si="30"/>
        <v>203.54</v>
      </c>
      <c r="AL242" s="159">
        <f t="shared" si="30"/>
        <v>203.54</v>
      </c>
      <c r="AM242" s="159">
        <f t="shared" si="30"/>
        <v>203.54</v>
      </c>
      <c r="AN242" s="159">
        <f t="shared" si="30"/>
        <v>203.54</v>
      </c>
      <c r="AO242" s="159">
        <f t="shared" si="30"/>
        <v>203.54</v>
      </c>
      <c r="AP242" s="159">
        <f t="shared" si="30"/>
        <v>203.54</v>
      </c>
      <c r="AQ242" s="159">
        <f t="shared" si="30"/>
        <v>203.54</v>
      </c>
      <c r="AR242" s="159">
        <f t="shared" si="30"/>
        <v>203.54</v>
      </c>
      <c r="AS242" s="159">
        <f t="shared" si="30"/>
        <v>203.54</v>
      </c>
      <c r="AT242" s="159">
        <f t="shared" si="30"/>
        <v>203.54</v>
      </c>
      <c r="AU242" s="159">
        <f t="shared" si="30"/>
        <v>203.54</v>
      </c>
      <c r="AV242" s="159">
        <f t="shared" si="30"/>
        <v>203.54</v>
      </c>
      <c r="AW242" s="159">
        <f t="shared" si="30"/>
        <v>203.54</v>
      </c>
      <c r="AX242" s="159">
        <f t="shared" si="30"/>
        <v>203.54</v>
      </c>
    </row>
    <row r="243" spans="1:50" x14ac:dyDescent="0.25">
      <c r="A243" s="152" t="s">
        <v>239</v>
      </c>
      <c r="B243" s="15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52" t="s">
        <v>240</v>
      </c>
      <c r="B244" s="15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52" t="s">
        <v>241</v>
      </c>
      <c r="B245" s="15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52" t="s">
        <v>242</v>
      </c>
      <c r="B246" s="160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52" t="s">
        <v>243</v>
      </c>
      <c r="B247" s="15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61" t="s">
        <v>228</v>
      </c>
      <c r="B263" s="162">
        <f t="shared" ref="B263:AE263" si="31">C227</f>
        <v>0.64</v>
      </c>
      <c r="C263" s="162">
        <f t="shared" si="31"/>
        <v>0.64</v>
      </c>
      <c r="D263" s="162">
        <f t="shared" si="31"/>
        <v>0.64</v>
      </c>
      <c r="E263" s="162">
        <f t="shared" si="31"/>
        <v>0.64</v>
      </c>
      <c r="F263" s="162">
        <f t="shared" si="31"/>
        <v>0.64</v>
      </c>
      <c r="G263" s="162">
        <f t="shared" si="31"/>
        <v>0.64</v>
      </c>
      <c r="H263" s="162">
        <f t="shared" si="31"/>
        <v>0.64</v>
      </c>
      <c r="I263" s="162">
        <f t="shared" si="31"/>
        <v>0.64</v>
      </c>
      <c r="J263" s="162">
        <f t="shared" si="31"/>
        <v>0.64</v>
      </c>
      <c r="K263" s="162">
        <f t="shared" si="31"/>
        <v>0.64</v>
      </c>
      <c r="L263" s="162">
        <f t="shared" si="31"/>
        <v>0.64</v>
      </c>
      <c r="M263" s="162">
        <f t="shared" si="31"/>
        <v>0.64</v>
      </c>
      <c r="N263" s="162">
        <f t="shared" si="31"/>
        <v>0.64</v>
      </c>
      <c r="O263" s="162">
        <f t="shared" si="31"/>
        <v>0.64</v>
      </c>
      <c r="P263" s="162">
        <f t="shared" si="31"/>
        <v>0</v>
      </c>
      <c r="Q263" s="162">
        <f t="shared" si="31"/>
        <v>0</v>
      </c>
      <c r="R263" s="162">
        <f t="shared" si="31"/>
        <v>0</v>
      </c>
      <c r="S263" s="162">
        <f t="shared" si="31"/>
        <v>0</v>
      </c>
      <c r="T263" s="162">
        <f t="shared" si="31"/>
        <v>0</v>
      </c>
      <c r="U263" s="162">
        <f t="shared" si="31"/>
        <v>0</v>
      </c>
      <c r="V263" s="162">
        <f t="shared" si="31"/>
        <v>0</v>
      </c>
      <c r="W263" s="162">
        <f t="shared" si="31"/>
        <v>0</v>
      </c>
      <c r="X263" s="162">
        <f t="shared" si="31"/>
        <v>0</v>
      </c>
      <c r="Y263" s="162">
        <f t="shared" si="31"/>
        <v>0</v>
      </c>
      <c r="Z263" s="162">
        <f t="shared" si="31"/>
        <v>0</v>
      </c>
      <c r="AA263" s="162">
        <f t="shared" si="31"/>
        <v>0</v>
      </c>
      <c r="AB263" s="162">
        <f t="shared" si="31"/>
        <v>0</v>
      </c>
      <c r="AC263" s="162">
        <f t="shared" si="31"/>
        <v>0</v>
      </c>
      <c r="AD263" s="162">
        <f t="shared" si="31"/>
        <v>0</v>
      </c>
      <c r="AE263" s="162">
        <f t="shared" si="31"/>
        <v>0</v>
      </c>
      <c r="AF263" s="162">
        <f>B227</f>
        <v>0</v>
      </c>
      <c r="AG263" s="43"/>
      <c r="AH263" s="43"/>
    </row>
    <row r="264" spans="1:34" x14ac:dyDescent="0.25">
      <c r="A264" s="163" t="str">
        <f>A231</f>
        <v>KGA</v>
      </c>
      <c r="B264" s="163" t="str">
        <f t="shared" ref="B264:AF264" si="32">IF(B231&lt;100,"",B231-520)</f>
        <v/>
      </c>
      <c r="C264" s="163" t="str">
        <f t="shared" si="32"/>
        <v/>
      </c>
      <c r="D264" s="163" t="str">
        <f t="shared" si="32"/>
        <v/>
      </c>
      <c r="E264" s="163" t="str">
        <f t="shared" si="32"/>
        <v/>
      </c>
      <c r="F264" s="163" t="str">
        <f t="shared" si="32"/>
        <v/>
      </c>
      <c r="G264" s="163" t="str">
        <f t="shared" si="32"/>
        <v/>
      </c>
      <c r="H264" s="163" t="str">
        <f t="shared" si="32"/>
        <v/>
      </c>
      <c r="I264" s="163" t="str">
        <f t="shared" si="32"/>
        <v/>
      </c>
      <c r="J264" s="163" t="str">
        <f t="shared" si="32"/>
        <v/>
      </c>
      <c r="K264" s="163" t="str">
        <f t="shared" si="32"/>
        <v/>
      </c>
      <c r="L264" s="163" t="str">
        <f t="shared" si="32"/>
        <v/>
      </c>
      <c r="M264" s="163" t="str">
        <f t="shared" si="32"/>
        <v/>
      </c>
      <c r="N264" s="163" t="str">
        <f t="shared" si="32"/>
        <v/>
      </c>
      <c r="O264" s="163" t="str">
        <f t="shared" si="32"/>
        <v/>
      </c>
      <c r="P264" s="163" t="str">
        <f t="shared" si="32"/>
        <v/>
      </c>
      <c r="Q264" s="163" t="str">
        <f t="shared" si="32"/>
        <v/>
      </c>
      <c r="R264" s="163" t="str">
        <f t="shared" si="32"/>
        <v/>
      </c>
      <c r="S264" s="163" t="str">
        <f t="shared" si="32"/>
        <v/>
      </c>
      <c r="T264" s="163" t="str">
        <f t="shared" si="32"/>
        <v/>
      </c>
      <c r="U264" s="163" t="str">
        <f t="shared" si="32"/>
        <v/>
      </c>
      <c r="V264" s="163" t="str">
        <f t="shared" si="32"/>
        <v/>
      </c>
      <c r="W264" s="163" t="str">
        <f t="shared" si="32"/>
        <v/>
      </c>
      <c r="X264" s="163" t="str">
        <f t="shared" si="32"/>
        <v/>
      </c>
      <c r="Y264" s="163" t="str">
        <f t="shared" si="32"/>
        <v/>
      </c>
      <c r="Z264" s="163" t="str">
        <f t="shared" si="32"/>
        <v/>
      </c>
      <c r="AA264" s="163" t="str">
        <f t="shared" si="32"/>
        <v/>
      </c>
      <c r="AB264" s="163" t="str">
        <f t="shared" si="32"/>
        <v/>
      </c>
      <c r="AC264" s="163" t="str">
        <f t="shared" si="32"/>
        <v/>
      </c>
      <c r="AD264" s="163" t="str">
        <f t="shared" si="32"/>
        <v/>
      </c>
      <c r="AE264" s="163" t="str">
        <f t="shared" si="32"/>
        <v/>
      </c>
      <c r="AF264" s="163" t="str">
        <f t="shared" si="32"/>
        <v/>
      </c>
      <c r="AG264" s="43"/>
      <c r="AH264" s="43"/>
    </row>
    <row r="265" spans="1:34" x14ac:dyDescent="0.25">
      <c r="A265" s="163" t="str">
        <f>A232</f>
        <v>MMRS</v>
      </c>
      <c r="B265" s="163" t="str">
        <f t="shared" ref="B265:AF265" si="33">IF(B232&lt;100,"",B232-620)</f>
        <v/>
      </c>
      <c r="C265" s="163" t="str">
        <f t="shared" si="33"/>
        <v/>
      </c>
      <c r="D265" s="163" t="str">
        <f t="shared" si="33"/>
        <v/>
      </c>
      <c r="E265" s="163" t="str">
        <f t="shared" si="33"/>
        <v/>
      </c>
      <c r="F265" s="163" t="str">
        <f t="shared" si="33"/>
        <v/>
      </c>
      <c r="G265" s="163" t="str">
        <f t="shared" si="33"/>
        <v/>
      </c>
      <c r="H265" s="163" t="str">
        <f t="shared" si="33"/>
        <v/>
      </c>
      <c r="I265" s="163" t="str">
        <f t="shared" si="33"/>
        <v/>
      </c>
      <c r="J265" s="163" t="str">
        <f t="shared" si="33"/>
        <v/>
      </c>
      <c r="K265" s="163" t="str">
        <f t="shared" si="33"/>
        <v/>
      </c>
      <c r="L265" s="163" t="str">
        <f t="shared" si="33"/>
        <v/>
      </c>
      <c r="M265" s="163" t="str">
        <f t="shared" si="33"/>
        <v/>
      </c>
      <c r="N265" s="163" t="str">
        <f t="shared" si="33"/>
        <v/>
      </c>
      <c r="O265" s="163" t="str">
        <f t="shared" si="33"/>
        <v/>
      </c>
      <c r="P265" s="163" t="str">
        <f t="shared" si="33"/>
        <v/>
      </c>
      <c r="Q265" s="163" t="str">
        <f t="shared" si="33"/>
        <v/>
      </c>
      <c r="R265" s="163" t="str">
        <f t="shared" si="33"/>
        <v/>
      </c>
      <c r="S265" s="163" t="str">
        <f t="shared" si="33"/>
        <v/>
      </c>
      <c r="T265" s="163" t="str">
        <f t="shared" si="33"/>
        <v/>
      </c>
      <c r="U265" s="163" t="str">
        <f t="shared" si="33"/>
        <v/>
      </c>
      <c r="V265" s="163" t="str">
        <f t="shared" si="33"/>
        <v/>
      </c>
      <c r="W265" s="163" t="str">
        <f t="shared" si="33"/>
        <v/>
      </c>
      <c r="X265" s="163" t="str">
        <f t="shared" si="33"/>
        <v/>
      </c>
      <c r="Y265" s="163" t="str">
        <f t="shared" si="33"/>
        <v/>
      </c>
      <c r="Z265" s="163" t="str">
        <f t="shared" si="33"/>
        <v/>
      </c>
      <c r="AA265" s="163" t="str">
        <f t="shared" si="33"/>
        <v/>
      </c>
      <c r="AB265" s="163" t="str">
        <f t="shared" si="33"/>
        <v/>
      </c>
      <c r="AC265" s="163" t="str">
        <f t="shared" si="33"/>
        <v/>
      </c>
      <c r="AD265" s="163" t="str">
        <f t="shared" si="33"/>
        <v/>
      </c>
      <c r="AE265" s="163" t="str">
        <f t="shared" si="33"/>
        <v/>
      </c>
      <c r="AF265" s="163" t="str">
        <f t="shared" si="33"/>
        <v/>
      </c>
      <c r="AG265" s="43"/>
      <c r="AH265" s="43"/>
    </row>
    <row r="266" spans="1:34" x14ac:dyDescent="0.25">
      <c r="A266" s="163" t="str">
        <f>A233</f>
        <v>MRS</v>
      </c>
      <c r="B266" s="163" t="str">
        <f t="shared" ref="B266:AF266" si="34">IF(B233&lt;100,"",B233-330)</f>
        <v/>
      </c>
      <c r="C266" s="163" t="str">
        <f t="shared" si="34"/>
        <v/>
      </c>
      <c r="D266" s="163" t="str">
        <f t="shared" si="34"/>
        <v/>
      </c>
      <c r="E266" s="163" t="str">
        <f t="shared" si="34"/>
        <v/>
      </c>
      <c r="F266" s="163" t="str">
        <f t="shared" si="34"/>
        <v/>
      </c>
      <c r="G266" s="163" t="str">
        <f t="shared" si="34"/>
        <v/>
      </c>
      <c r="H266" s="163" t="str">
        <f t="shared" si="34"/>
        <v/>
      </c>
      <c r="I266" s="163" t="str">
        <f t="shared" si="34"/>
        <v/>
      </c>
      <c r="J266" s="163" t="str">
        <f t="shared" si="34"/>
        <v/>
      </c>
      <c r="K266" s="163" t="str">
        <f t="shared" si="34"/>
        <v/>
      </c>
      <c r="L266" s="163" t="str">
        <f t="shared" si="34"/>
        <v/>
      </c>
      <c r="M266" s="163" t="str">
        <f t="shared" si="34"/>
        <v/>
      </c>
      <c r="N266" s="163" t="str">
        <f t="shared" si="34"/>
        <v/>
      </c>
      <c r="O266" s="163" t="str">
        <f t="shared" si="34"/>
        <v/>
      </c>
      <c r="P266" s="163" t="str">
        <f t="shared" si="34"/>
        <v/>
      </c>
      <c r="Q266" s="163" t="str">
        <f t="shared" si="34"/>
        <v/>
      </c>
      <c r="R266" s="163" t="str">
        <f t="shared" si="34"/>
        <v/>
      </c>
      <c r="S266" s="163" t="str">
        <f t="shared" si="34"/>
        <v/>
      </c>
      <c r="T266" s="163" t="str">
        <f t="shared" si="34"/>
        <v/>
      </c>
      <c r="U266" s="163" t="str">
        <f t="shared" si="34"/>
        <v/>
      </c>
      <c r="V266" s="163" t="str">
        <f t="shared" si="34"/>
        <v/>
      </c>
      <c r="W266" s="163" t="str">
        <f t="shared" si="34"/>
        <v/>
      </c>
      <c r="X266" s="163" t="str">
        <f t="shared" si="34"/>
        <v/>
      </c>
      <c r="Y266" s="163" t="str">
        <f t="shared" si="34"/>
        <v/>
      </c>
      <c r="Z266" s="163" t="str">
        <f t="shared" si="34"/>
        <v/>
      </c>
      <c r="AA266" s="163" t="str">
        <f t="shared" si="34"/>
        <v/>
      </c>
      <c r="AB266" s="163" t="str">
        <f t="shared" si="34"/>
        <v/>
      </c>
      <c r="AC266" s="163" t="str">
        <f t="shared" si="34"/>
        <v/>
      </c>
      <c r="AD266" s="163" t="str">
        <f t="shared" si="34"/>
        <v/>
      </c>
      <c r="AE266" s="163" t="str">
        <f t="shared" si="34"/>
        <v/>
      </c>
      <c r="AF266" s="163" t="str">
        <f t="shared" si="34"/>
        <v/>
      </c>
      <c r="AG266" s="43"/>
      <c r="AH266" s="43"/>
    </row>
    <row r="267" spans="1:34" x14ac:dyDescent="0.25">
      <c r="A267" s="163" t="str">
        <f>A234</f>
        <v>KL 1</v>
      </c>
      <c r="B267" s="163" t="str">
        <f t="shared" ref="B267:AF267" si="35">IF(B234&lt;100,"",B234-1500)</f>
        <v/>
      </c>
      <c r="C267" s="163" t="str">
        <f t="shared" si="35"/>
        <v/>
      </c>
      <c r="D267" s="163" t="str">
        <f t="shared" si="35"/>
        <v/>
      </c>
      <c r="E267" s="163" t="str">
        <f t="shared" si="35"/>
        <v/>
      </c>
      <c r="F267" s="163" t="str">
        <f t="shared" si="35"/>
        <v/>
      </c>
      <c r="G267" s="163" t="str">
        <f t="shared" si="35"/>
        <v/>
      </c>
      <c r="H267" s="163" t="str">
        <f t="shared" si="35"/>
        <v/>
      </c>
      <c r="I267" s="163" t="str">
        <f t="shared" si="35"/>
        <v/>
      </c>
      <c r="J267" s="163" t="str">
        <f t="shared" si="35"/>
        <v/>
      </c>
      <c r="K267" s="163" t="str">
        <f t="shared" si="35"/>
        <v/>
      </c>
      <c r="L267" s="163" t="str">
        <f t="shared" si="35"/>
        <v/>
      </c>
      <c r="M267" s="163" t="str">
        <f t="shared" si="35"/>
        <v/>
      </c>
      <c r="N267" s="163" t="str">
        <f t="shared" si="35"/>
        <v/>
      </c>
      <c r="O267" s="163" t="str">
        <f t="shared" si="35"/>
        <v/>
      </c>
      <c r="P267" s="163" t="str">
        <f t="shared" si="35"/>
        <v/>
      </c>
      <c r="Q267" s="163" t="str">
        <f t="shared" si="35"/>
        <v/>
      </c>
      <c r="R267" s="163" t="str">
        <f t="shared" si="35"/>
        <v/>
      </c>
      <c r="S267" s="163" t="str">
        <f t="shared" si="35"/>
        <v/>
      </c>
      <c r="T267" s="163" t="str">
        <f t="shared" si="35"/>
        <v/>
      </c>
      <c r="U267" s="163" t="str">
        <f t="shared" si="35"/>
        <v/>
      </c>
      <c r="V267" s="163" t="str">
        <f t="shared" si="35"/>
        <v/>
      </c>
      <c r="W267" s="163" t="str">
        <f t="shared" si="35"/>
        <v/>
      </c>
      <c r="X267" s="163" t="str">
        <f t="shared" si="35"/>
        <v/>
      </c>
      <c r="Y267" s="163" t="str">
        <f t="shared" si="35"/>
        <v/>
      </c>
      <c r="Z267" s="163" t="str">
        <f t="shared" si="35"/>
        <v/>
      </c>
      <c r="AA267" s="163" t="str">
        <f t="shared" si="35"/>
        <v/>
      </c>
      <c r="AB267" s="163" t="str">
        <f t="shared" si="35"/>
        <v/>
      </c>
      <c r="AC267" s="163" t="str">
        <f t="shared" si="35"/>
        <v/>
      </c>
      <c r="AD267" s="163" t="str">
        <f t="shared" si="35"/>
        <v/>
      </c>
      <c r="AE267" s="163" t="str">
        <f t="shared" si="35"/>
        <v/>
      </c>
      <c r="AF267" s="163" t="str">
        <f t="shared" si="3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9:B239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8 B222:B228 B220:AF220 U241:AF241 B9:AF10 T11:AF11 C105:AF105 C107:AF112 B22:AF26 B17:AF18 B15:AF15">
    <cfRule type="expression" dxfId="1285" priority="239">
      <formula>B$9&gt;=20/24</formula>
    </cfRule>
    <cfRule type="expression" dxfId="1284" priority="240">
      <formula>AND(B$9&gt;=14/24,B$9&lt;20/24)</formula>
    </cfRule>
    <cfRule type="expression" dxfId="1283" priority="241">
      <formula>AND(B$9&gt;=8/24,B$9&lt;14/24)</formula>
    </cfRule>
    <cfRule type="expression" dxfId="1282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43:AF43">
    <cfRule type="expression" dxfId="1281" priority="234">
      <formula>S$9&gt;=20/24</formula>
    </cfRule>
    <cfRule type="expression" dxfId="1280" priority="235">
      <formula>AND(S$9&gt;=14/24,S$9&lt;20/24)</formula>
    </cfRule>
    <cfRule type="expression" dxfId="1279" priority="236">
      <formula>AND(S$9&gt;=8/24,S$9&lt;14/24)</formula>
    </cfRule>
    <cfRule type="expression" dxfId="1278" priority="237">
      <formula>S$9&lt;8/24</formula>
    </cfRule>
  </conditionalFormatting>
  <conditionalFormatting sqref="AG61 B12:Q14 S43:AF43 R11:AF14 B41:AF41 B20:AF20 B22:AF26 B15:AF18">
    <cfRule type="expression" dxfId="1277" priority="233">
      <formula>B11&gt;$AG11</formula>
    </cfRule>
  </conditionalFormatting>
  <conditionalFormatting sqref="A95:A105 A55:A82 A91:A93 A198:A228 A42:A53 A114:A185 A38:A39 A87:A89 A84:A85 A107:A109 A35:A36 A17:A18 A11:A15 A20:A33">
    <cfRule type="expression" dxfId="1276" priority="232">
      <formula>$AH11=0</formula>
    </cfRule>
  </conditionalFormatting>
  <conditionalFormatting sqref="A110">
    <cfRule type="expression" dxfId="1275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1274" priority="229">
      <formula>$AH41=0</formula>
    </cfRule>
  </conditionalFormatting>
  <conditionalFormatting sqref="A94">
    <cfRule type="expression" dxfId="1273" priority="228">
      <formula>$AH94=0</formula>
    </cfRule>
  </conditionalFormatting>
  <conditionalFormatting sqref="A16">
    <cfRule type="expression" dxfId="1272" priority="227">
      <formula>$AH16=0</formula>
    </cfRule>
  </conditionalFormatting>
  <conditionalFormatting sqref="A192:A197">
    <cfRule type="expression" dxfId="1271" priority="226">
      <formula>$AH192=0</formula>
    </cfRule>
  </conditionalFormatting>
  <conditionalFormatting sqref="A186:A191">
    <cfRule type="expression" dxfId="1270" priority="225">
      <formula>$AH186=0</formula>
    </cfRule>
  </conditionalFormatting>
  <conditionalFormatting sqref="A54">
    <cfRule type="expression" dxfId="1269" priority="224">
      <formula>$AH54=0</formula>
    </cfRule>
  </conditionalFormatting>
  <conditionalFormatting sqref="A90">
    <cfRule type="expression" dxfId="1268" priority="223">
      <formula>$AH90=0</formula>
    </cfRule>
  </conditionalFormatting>
  <conditionalFormatting sqref="C95:AF95">
    <cfRule type="expression" dxfId="1267" priority="219">
      <formula>C$9&gt;=20/24</formula>
    </cfRule>
    <cfRule type="expression" dxfId="1266" priority="220">
      <formula>AND(C$9&gt;=14/24,C$9&lt;20/24)</formula>
    </cfRule>
    <cfRule type="expression" dxfId="1265" priority="221">
      <formula>AND(C$9&gt;=8/24,C$9&lt;14/24)</formula>
    </cfRule>
    <cfRule type="expression" dxfId="1264" priority="222">
      <formula>C$9&lt;8/24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263" priority="245">
      <formula>C$9&gt;=20/24</formula>
    </cfRule>
    <cfRule type="expression" dxfId="1262" priority="246">
      <formula>AND(C$9&gt;=14/24,C$9&lt;20/24)</formula>
    </cfRule>
    <cfRule type="expression" dxfId="1261" priority="247">
      <formula>AND(C$9&gt;=8/24,C$9&lt;14/24)</formula>
    </cfRule>
    <cfRule type="expression" dxfId="1260" priority="248">
      <formula>C$9&lt;8/24</formula>
    </cfRule>
  </conditionalFormatting>
  <conditionalFormatting sqref="A229">
    <cfRule type="expression" dxfId="1259" priority="249">
      <formula>$AH229=0</formula>
    </cfRule>
  </conditionalFormatting>
  <conditionalFormatting sqref="AG241">
    <cfRule type="expression" dxfId="1258" priority="250">
      <formula>B$9&gt;=20/24</formula>
    </cfRule>
    <cfRule type="expression" dxfId="1257" priority="251">
      <formula>AND(B$9&gt;=14/24,B$9&lt;20/24)</formula>
    </cfRule>
    <cfRule type="expression" dxfId="1256" priority="252">
      <formula>AND(B$9&gt;=8/24,B$9&lt;14/24)</formula>
    </cfRule>
    <cfRule type="expression" dxfId="1255" priority="253">
      <formula>B$9&lt;8/24</formula>
    </cfRule>
  </conditionalFormatting>
  <conditionalFormatting sqref="S8">
    <cfRule type="expression" dxfId="1254" priority="214">
      <formula>U$9&gt;=20/24</formula>
    </cfRule>
    <cfRule type="expression" dxfId="1253" priority="215">
      <formula>AND(U$9&gt;=14/24,U$9&lt;20/24)</formula>
    </cfRule>
    <cfRule type="expression" dxfId="1252" priority="216">
      <formula>AND(U$9&gt;=8/24,U$9&lt;14/24)</formula>
    </cfRule>
    <cfRule type="expression" dxfId="1251" priority="217">
      <formula>U$9&lt;8/24</formula>
    </cfRule>
  </conditionalFormatting>
  <conditionalFormatting sqref="AB8">
    <cfRule type="expression" dxfId="1250" priority="210">
      <formula>AD$9&gt;=20/24</formula>
    </cfRule>
    <cfRule type="expression" dxfId="1249" priority="211">
      <formula>AND(AD$9&gt;=14/24,AD$9&lt;20/24)</formula>
    </cfRule>
    <cfRule type="expression" dxfId="1248" priority="212">
      <formula>AND(AD$9&gt;=8/24,AD$9&lt;14/24)</formula>
    </cfRule>
    <cfRule type="expression" dxfId="1247" priority="213">
      <formula>AD$9&lt;8/24</formula>
    </cfRule>
  </conditionalFormatting>
  <conditionalFormatting sqref="AH241:AX241">
    <cfRule type="expression" dxfId="1246" priority="254">
      <formula>AG$9&gt;=20/24</formula>
    </cfRule>
    <cfRule type="expression" dxfId="1245" priority="255">
      <formula>AND(AG$9&gt;=14/24,AG$9&lt;20/24)</formula>
    </cfRule>
    <cfRule type="expression" dxfId="1244" priority="256">
      <formula>AND(AG$9&gt;=8/24,AG$9&lt;14/24)</formula>
    </cfRule>
    <cfRule type="expression" dxfId="1243" priority="257">
      <formula>AG$9&lt;8/24</formula>
    </cfRule>
  </conditionalFormatting>
  <conditionalFormatting sqref="T241">
    <cfRule type="expression" dxfId="1242" priority="258">
      <formula>AX$9&gt;=20/24</formula>
    </cfRule>
    <cfRule type="expression" dxfId="1241" priority="259">
      <formula>AND(AX$9&gt;=14/24,AX$9&lt;20/24)</formula>
    </cfRule>
    <cfRule type="expression" dxfId="1240" priority="260">
      <formula>AND(AX$9&gt;=8/24,AX$9&lt;14/24)</formula>
    </cfRule>
    <cfRule type="expression" dxfId="1239" priority="261">
      <formula>AX$9&lt;8/24</formula>
    </cfRule>
  </conditionalFormatting>
  <conditionalFormatting sqref="A111:A112">
    <cfRule type="expression" dxfId="1238" priority="209">
      <formula>$AH111=0</formula>
    </cfRule>
  </conditionalFormatting>
  <conditionalFormatting sqref="S50:W51 E50:M51 Y50:AF51 E67:AF67 M52:M53">
    <cfRule type="expression" dxfId="1237" priority="205">
      <formula>E$9&gt;=20/24</formula>
    </cfRule>
    <cfRule type="expression" dxfId="1236" priority="206">
      <formula>AND(E$9&gt;=14/24,E$9&lt;20/24)</formula>
    </cfRule>
    <cfRule type="expression" dxfId="1235" priority="207">
      <formula>AND(E$9&gt;=8/24,E$9&lt;14/24)</formula>
    </cfRule>
    <cfRule type="expression" dxfId="1234" priority="208">
      <formula>E$9&lt;8/24</formula>
    </cfRule>
  </conditionalFormatting>
  <conditionalFormatting sqref="S49:W49 E49:L49 Y49:AF49">
    <cfRule type="expression" dxfId="1233" priority="201">
      <formula>E$9&gt;=20/24</formula>
    </cfRule>
    <cfRule type="expression" dxfId="1232" priority="202">
      <formula>AND(E$9&gt;=14/24,E$9&lt;20/24)</formula>
    </cfRule>
    <cfRule type="expression" dxfId="1231" priority="203">
      <formula>AND(E$9&gt;=8/24,E$9&lt;14/24)</formula>
    </cfRule>
    <cfRule type="expression" dxfId="1230" priority="204">
      <formula>E$9&lt;8/24</formula>
    </cfRule>
  </conditionalFormatting>
  <conditionalFormatting sqref="S49:W51 E49:L49 E50:M51 Y49:AF51 M52:M53">
    <cfRule type="expression" dxfId="1229" priority="200">
      <formula>E49&gt;$AG49</formula>
    </cfRule>
  </conditionalFormatting>
  <conditionalFormatting sqref="C92:AF92 C79:AF82 L43:R43 R11:S14 E68:S69 D96:AF102 T28:AF31 T33:AF33 T12:AF14 R20:AF20 S63:AF65 T68:AF77 T35:AF38">
    <cfRule type="expression" dxfId="1228" priority="196">
      <formula>C$9&gt;=20/24</formula>
    </cfRule>
    <cfRule type="expression" dxfId="1227" priority="197">
      <formula>AND(C$9&gt;=14/24,C$9&lt;20/24)</formula>
    </cfRule>
    <cfRule type="expression" dxfId="1226" priority="198">
      <formula>AND(C$9&gt;=8/24,C$9&lt;14/24)</formula>
    </cfRule>
    <cfRule type="expression" dxfId="1225" priority="199">
      <formula>C$9&lt;8/24</formula>
    </cfRule>
  </conditionalFormatting>
  <conditionalFormatting sqref="T39:AF39">
    <cfRule type="expression" dxfId="1224" priority="192">
      <formula>T$9&gt;=20/24</formula>
    </cfRule>
    <cfRule type="expression" dxfId="1223" priority="193">
      <formula>AND(T$9&gt;=14/24,T$9&lt;20/24)</formula>
    </cfRule>
    <cfRule type="expression" dxfId="1222" priority="194">
      <formula>AND(T$9&gt;=8/24,T$9&lt;14/24)</formula>
    </cfRule>
    <cfRule type="expression" dxfId="1221" priority="195">
      <formula>T$9&lt;8/24</formula>
    </cfRule>
  </conditionalFormatting>
  <conditionalFormatting sqref="AB52:AF53 C61:AF61 L43:R43 E52:L52 R11:S11 T28:AF33 S63:AF65 T35:AF39">
    <cfRule type="expression" dxfId="1220" priority="191">
      <formula>C11&gt;$AG11</formula>
    </cfRule>
  </conditionalFormatting>
  <conditionalFormatting sqref="T41:AF41">
    <cfRule type="expression" dxfId="1219" priority="187">
      <formula>T$9&gt;=20/24</formula>
    </cfRule>
    <cfRule type="expression" dxfId="1218" priority="188">
      <formula>AND(T$9&gt;=14/24,T$9&lt;20/24)</formula>
    </cfRule>
    <cfRule type="expression" dxfId="1217" priority="189">
      <formula>AND(T$9&gt;=8/24,T$9&lt;14/24)</formula>
    </cfRule>
    <cfRule type="expression" dxfId="1216" priority="190">
      <formula>T$9&lt;8/24</formula>
    </cfRule>
  </conditionalFormatting>
  <conditionalFormatting sqref="R16:AF16">
    <cfRule type="expression" dxfId="1215" priority="183">
      <formula>R$9&gt;=20/24</formula>
    </cfRule>
    <cfRule type="expression" dxfId="1214" priority="184">
      <formula>AND(R$9&gt;=14/24,R$9&lt;20/24)</formula>
    </cfRule>
    <cfRule type="expression" dxfId="1213" priority="185">
      <formula>AND(R$9&gt;=8/24,R$9&lt;14/24)</formula>
    </cfRule>
    <cfRule type="expression" dxfId="1212" priority="186">
      <formula>R$9&lt;8/24</formula>
    </cfRule>
  </conditionalFormatting>
  <conditionalFormatting sqref="T40:AF40">
    <cfRule type="expression" dxfId="1211" priority="179">
      <formula>T$9&gt;=20/24</formula>
    </cfRule>
    <cfRule type="expression" dxfId="1210" priority="180">
      <formula>AND(T$9&gt;=14/24,T$9&lt;20/24)</formula>
    </cfRule>
    <cfRule type="expression" dxfId="1209" priority="181">
      <formula>AND(T$9&gt;=8/24,T$9&lt;14/24)</formula>
    </cfRule>
    <cfRule type="expression" dxfId="1208" priority="182">
      <formula>T$9&lt;8/24</formula>
    </cfRule>
  </conditionalFormatting>
  <conditionalFormatting sqref="T40:AF40">
    <cfRule type="expression" dxfId="1207" priority="178">
      <formula>T40&gt;$AG40</formula>
    </cfRule>
  </conditionalFormatting>
  <conditionalFormatting sqref="AB54:AF60 V52:AA53">
    <cfRule type="expression" dxfId="1206" priority="174">
      <formula>V$9&gt;=20/24</formula>
    </cfRule>
    <cfRule type="expression" dxfId="1205" priority="175">
      <formula>AND(V$9&gt;=14/24,V$9&lt;20/24)</formula>
    </cfRule>
    <cfRule type="expression" dxfId="1204" priority="176">
      <formula>AND(V$9&gt;=8/24,V$9&lt;14/24)</formula>
    </cfRule>
    <cfRule type="expression" dxfId="1203" priority="177">
      <formula>V$9&lt;8/24</formula>
    </cfRule>
  </conditionalFormatting>
  <conditionalFormatting sqref="AB54:AF60 V52:AA53">
    <cfRule type="expression" dxfId="1202" priority="173">
      <formula>V52&gt;$AG52</formula>
    </cfRule>
  </conditionalFormatting>
  <conditionalFormatting sqref="M49:N49 N50:N51 O49:R51 T56:T60 R54:AA55 N52:U53">
    <cfRule type="expression" dxfId="1201" priority="169">
      <formula>M$9&gt;=20/24</formula>
    </cfRule>
    <cfRule type="expression" dxfId="1200" priority="170">
      <formula>AND(M$9&gt;=14/24,M$9&lt;20/24)</formula>
    </cfRule>
    <cfRule type="expression" dxfId="1199" priority="171">
      <formula>AND(M$9&gt;=8/24,M$9&lt;14/24)</formula>
    </cfRule>
    <cfRule type="expression" dxfId="1198" priority="172">
      <formula>M$9&lt;8/24</formula>
    </cfRule>
  </conditionalFormatting>
  <conditionalFormatting sqref="M49:N49 N50:N51 O49:R51 T56:T60 R54:AA55 N52:U53">
    <cfRule type="expression" dxfId="1197" priority="168">
      <formula>M49&gt;$AG49</formula>
    </cfRule>
  </conditionalFormatting>
  <conditionalFormatting sqref="T32:AF32">
    <cfRule type="expression" dxfId="1196" priority="164">
      <formula>T$9&gt;=20/24</formula>
    </cfRule>
    <cfRule type="expression" dxfId="1195" priority="165">
      <formula>AND(T$9&gt;=14/24,T$9&lt;20/24)</formula>
    </cfRule>
    <cfRule type="expression" dxfId="1194" priority="166">
      <formula>AND(T$9&gt;=8/24,T$9&lt;14/24)</formula>
    </cfRule>
    <cfRule type="expression" dxfId="1193" priority="167">
      <formula>T$9&lt;8/24</formula>
    </cfRule>
  </conditionalFormatting>
  <conditionalFormatting sqref="C35:S35 T21:AF21 T27:AF27">
    <cfRule type="expression" dxfId="1192" priority="160">
      <formula>C$9&gt;=20/24</formula>
    </cfRule>
    <cfRule type="expression" dxfId="1191" priority="161">
      <formula>AND(C$9&gt;=14/24,C$9&lt;20/24)</formula>
    </cfRule>
    <cfRule type="expression" dxfId="1190" priority="162">
      <formula>AND(C$9&gt;=8/24,C$9&lt;14/24)</formula>
    </cfRule>
    <cfRule type="expression" dxfId="1189" priority="163">
      <formula>C$9&lt;8/24</formula>
    </cfRule>
  </conditionalFormatting>
  <conditionalFormatting sqref="C35:S35 T21:AF21 T27:AF27">
    <cfRule type="expression" dxfId="1188" priority="159">
      <formula>C21&gt;$AG21</formula>
    </cfRule>
  </conditionalFormatting>
  <conditionalFormatting sqref="D49">
    <cfRule type="expression" dxfId="1187" priority="155">
      <formula>D$9&gt;=20/24</formula>
    </cfRule>
    <cfRule type="expression" dxfId="1186" priority="156">
      <formula>AND(D$9&gt;=14/24,D$9&lt;20/24)</formula>
    </cfRule>
    <cfRule type="expression" dxfId="1185" priority="157">
      <formula>AND(D$9&gt;=8/24,D$9&lt;14/24)</formula>
    </cfRule>
    <cfRule type="expression" dxfId="1184" priority="158">
      <formula>D$9&lt;8/24</formula>
    </cfRule>
  </conditionalFormatting>
  <conditionalFormatting sqref="D49">
    <cfRule type="expression" dxfId="1183" priority="154">
      <formula>D49&gt;$AG49</formula>
    </cfRule>
  </conditionalFormatting>
  <conditionalFormatting sqref="X50:X51">
    <cfRule type="expression" dxfId="1182" priority="150">
      <formula>X$9&gt;=20/24</formula>
    </cfRule>
    <cfRule type="expression" dxfId="1181" priority="151">
      <formula>AND(X$9&gt;=14/24,X$9&lt;20/24)</formula>
    </cfRule>
    <cfRule type="expression" dxfId="1180" priority="152">
      <formula>AND(X$9&gt;=8/24,X$9&lt;14/24)</formula>
    </cfRule>
    <cfRule type="expression" dxfId="1179" priority="153">
      <formula>X$9&lt;8/24</formula>
    </cfRule>
  </conditionalFormatting>
  <conditionalFormatting sqref="X49">
    <cfRule type="expression" dxfId="1178" priority="146">
      <formula>X$9&gt;=20/24</formula>
    </cfRule>
    <cfRule type="expression" dxfId="1177" priority="147">
      <formula>AND(X$9&gt;=14/24,X$9&lt;20/24)</formula>
    </cfRule>
    <cfRule type="expression" dxfId="1176" priority="148">
      <formula>AND(X$9&gt;=8/24,X$9&lt;14/24)</formula>
    </cfRule>
    <cfRule type="expression" dxfId="1175" priority="149">
      <formula>X$9&lt;8/24</formula>
    </cfRule>
  </conditionalFormatting>
  <conditionalFormatting sqref="X49:X51">
    <cfRule type="expression" dxfId="1174" priority="145">
      <formula>X49&gt;$AG49</formula>
    </cfRule>
  </conditionalFormatting>
  <conditionalFormatting sqref="B105 B84:AF84 B93:AF93 B107:B112 B11:Q11">
    <cfRule type="expression" dxfId="1173" priority="141">
      <formula>B$9&gt;=20/24</formula>
    </cfRule>
    <cfRule type="expression" dxfId="1172" priority="142">
      <formula>AND(B$9&gt;=14/24,B$9&lt;20/24)</formula>
    </cfRule>
    <cfRule type="expression" dxfId="1171" priority="143">
      <formula>AND(B$9&gt;=8/24,B$9&lt;14/24)</formula>
    </cfRule>
    <cfRule type="expression" dxfId="1170" priority="144">
      <formula>B$9&lt;8/24</formula>
    </cfRule>
  </conditionalFormatting>
  <conditionalFormatting sqref="B43:K43">
    <cfRule type="expression" dxfId="1169" priority="137">
      <formula>B$9&gt;=20/24</formula>
    </cfRule>
    <cfRule type="expression" dxfId="1168" priority="138">
      <formula>AND(B$9&gt;=14/24,B$9&lt;20/24)</formula>
    </cfRule>
    <cfRule type="expression" dxfId="1167" priority="139">
      <formula>AND(B$9&gt;=8/24,B$9&lt;14/24)</formula>
    </cfRule>
    <cfRule type="expression" dxfId="1166" priority="140">
      <formula>B$9&lt;8/24</formula>
    </cfRule>
  </conditionalFormatting>
  <conditionalFormatting sqref="B43:K43 B11:Q11">
    <cfRule type="expression" dxfId="1165" priority="136">
      <formula>B11&gt;$AG11</formula>
    </cfRule>
  </conditionalFormatting>
  <conditionalFormatting sqref="B95">
    <cfRule type="expression" dxfId="1164" priority="132">
      <formula>B$9&gt;=20/24</formula>
    </cfRule>
    <cfRule type="expression" dxfId="1163" priority="133">
      <formula>AND(B$9&gt;=14/24,B$9&lt;20/24)</formula>
    </cfRule>
    <cfRule type="expression" dxfId="1162" priority="134">
      <formula>AND(B$9&gt;=8/24,B$9&lt;14/24)</formula>
    </cfRule>
    <cfRule type="expression" dxfId="1161" priority="135">
      <formula>B$9&lt;8/24</formula>
    </cfRule>
  </conditionalFormatting>
  <conditionalFormatting sqref="B50:D51 B67:D67 B42:AF42">
    <cfRule type="expression" dxfId="1160" priority="128">
      <formula>B$9&gt;=20/24</formula>
    </cfRule>
    <cfRule type="expression" dxfId="1159" priority="129">
      <formula>AND(B$9&gt;=14/24,B$9&lt;20/24)</formula>
    </cfRule>
    <cfRule type="expression" dxfId="1158" priority="130">
      <formula>AND(B$9&gt;=8/24,B$9&lt;14/24)</formula>
    </cfRule>
    <cfRule type="expression" dxfId="1157" priority="131">
      <formula>B$9&lt;8/24</formula>
    </cfRule>
  </conditionalFormatting>
  <conditionalFormatting sqref="B49:C49">
    <cfRule type="expression" dxfId="1156" priority="124">
      <formula>B$9&gt;=20/24</formula>
    </cfRule>
    <cfRule type="expression" dxfId="1155" priority="125">
      <formula>AND(B$9&gt;=14/24,B$9&lt;20/24)</formula>
    </cfRule>
    <cfRule type="expression" dxfId="1154" priority="126">
      <formula>AND(B$9&gt;=8/24,B$9&lt;14/24)</formula>
    </cfRule>
    <cfRule type="expression" dxfId="1153" priority="127">
      <formula>B$9&lt;8/24</formula>
    </cfRule>
  </conditionalFormatting>
  <conditionalFormatting sqref="B49:C51 D50:D51 B42:AF42">
    <cfRule type="expression" dxfId="1152" priority="123">
      <formula>B42&gt;$AG42</formula>
    </cfRule>
  </conditionalFormatting>
  <conditionalFormatting sqref="B63:B66 B79:B83 B85:AF85 B92 C66:AG66 C83:AG83 B94:AF94 B96:C102 B68:D77 B12:Q14 B20:Q20 C63:R65 B28:S31 B33:S33 C36:S38 E70:S77 B35:B38">
    <cfRule type="expression" dxfId="1151" priority="119">
      <formula>B$9&gt;=20/24</formula>
    </cfRule>
    <cfRule type="expression" dxfId="1150" priority="120">
      <formula>AND(B$9&gt;=14/24,B$9&lt;20/24)</formula>
    </cfRule>
    <cfRule type="expression" dxfId="1149" priority="121">
      <formula>AND(B$9&gt;=8/24,B$9&lt;14/24)</formula>
    </cfRule>
    <cfRule type="expression" dxfId="1148" priority="122">
      <formula>B$9&lt;8/24</formula>
    </cfRule>
  </conditionalFormatting>
  <conditionalFormatting sqref="B39:S39">
    <cfRule type="expression" dxfId="1147" priority="115">
      <formula>B$9&gt;=20/24</formula>
    </cfRule>
    <cfRule type="expression" dxfId="1146" priority="116">
      <formula>AND(B$9&gt;=14/24,B$9&lt;20/24)</formula>
    </cfRule>
    <cfRule type="expression" dxfId="1145" priority="117">
      <formula>AND(B$9&gt;=8/24,B$9&lt;14/24)</formula>
    </cfRule>
    <cfRule type="expression" dxfId="1144" priority="118">
      <formula>B$9&lt;8/24</formula>
    </cfRule>
  </conditionalFormatting>
  <conditionalFormatting sqref="B61:B66 B44:AG44 C62:AG62 C66:AG66 B52:D53 E53:L53 C63:R65 B28:S33 C36:S39 B35:B39">
    <cfRule type="expression" dxfId="1143" priority="114">
      <formula>B28&gt;$AG28</formula>
    </cfRule>
  </conditionalFormatting>
  <conditionalFormatting sqref="B41:S41">
    <cfRule type="expression" dxfId="1142" priority="110">
      <formula>B$9&gt;=20/24</formula>
    </cfRule>
    <cfRule type="expression" dxfId="1141" priority="111">
      <formula>AND(B$9&gt;=14/24,B$9&lt;20/24)</formula>
    </cfRule>
    <cfRule type="expression" dxfId="1140" priority="112">
      <formula>AND(B$9&gt;=8/24,B$9&lt;14/24)</formula>
    </cfRule>
    <cfRule type="expression" dxfId="1139" priority="113">
      <formula>B$9&lt;8/24</formula>
    </cfRule>
  </conditionalFormatting>
  <conditionalFormatting sqref="B16:Q16">
    <cfRule type="expression" dxfId="1138" priority="106">
      <formula>B$9&gt;=20/24</formula>
    </cfRule>
    <cfRule type="expression" dxfId="1137" priority="107">
      <formula>AND(B$9&gt;=14/24,B$9&lt;20/24)</formula>
    </cfRule>
    <cfRule type="expression" dxfId="1136" priority="108">
      <formula>AND(B$9&gt;=8/24,B$9&lt;14/24)</formula>
    </cfRule>
    <cfRule type="expression" dxfId="1135" priority="109">
      <formula>B$9&lt;8/24</formula>
    </cfRule>
  </conditionalFormatting>
  <conditionalFormatting sqref="B40:S40">
    <cfRule type="expression" dxfId="1134" priority="102">
      <formula>B$9&gt;=20/24</formula>
    </cfRule>
    <cfRule type="expression" dxfId="1133" priority="103">
      <formula>AND(B$9&gt;=14/24,B$9&lt;20/24)</formula>
    </cfRule>
    <cfRule type="expression" dxfId="1132" priority="104">
      <formula>AND(B$9&gt;=8/24,B$9&lt;14/24)</formula>
    </cfRule>
    <cfRule type="expression" dxfId="1131" priority="105">
      <formula>B$9&lt;8/24</formula>
    </cfRule>
  </conditionalFormatting>
  <conditionalFormatting sqref="B40:S40">
    <cfRule type="expression" dxfId="1130" priority="101">
      <formula>B40&gt;$AG40</formula>
    </cfRule>
  </conditionalFormatting>
  <conditionalFormatting sqref="B54:Q60 R56:S60">
    <cfRule type="expression" dxfId="1129" priority="97">
      <formula>B$9&gt;=20/24</formula>
    </cfRule>
    <cfRule type="expression" dxfId="1128" priority="98">
      <formula>AND(B$9&gt;=14/24,B$9&lt;20/24)</formula>
    </cfRule>
    <cfRule type="expression" dxfId="1127" priority="99">
      <formula>AND(B$9&gt;=8/24,B$9&lt;14/24)</formula>
    </cfRule>
    <cfRule type="expression" dxfId="1126" priority="100">
      <formula>B$9&lt;8/24</formula>
    </cfRule>
  </conditionalFormatting>
  <conditionalFormatting sqref="B54:Q60 R56:S60">
    <cfRule type="expression" dxfId="1125" priority="96">
      <formula>B54&gt;$AG54</formula>
    </cfRule>
  </conditionalFormatting>
  <conditionalFormatting sqref="B32:S32">
    <cfRule type="expression" dxfId="1124" priority="92">
      <formula>B$9&gt;=20/24</formula>
    </cfRule>
    <cfRule type="expression" dxfId="1123" priority="93">
      <formula>AND(B$9&gt;=14/24,B$9&lt;20/24)</formula>
    </cfRule>
    <cfRule type="expression" dxfId="1122" priority="94">
      <formula>AND(B$9&gt;=8/24,B$9&lt;14/24)</formula>
    </cfRule>
    <cfRule type="expression" dxfId="1121" priority="95">
      <formula>B$9&lt;8/24</formula>
    </cfRule>
  </conditionalFormatting>
  <conditionalFormatting sqref="B21:S21 B27:S27">
    <cfRule type="expression" dxfId="1120" priority="88">
      <formula>B$9&gt;=20/24</formula>
    </cfRule>
    <cfRule type="expression" dxfId="1119" priority="89">
      <formula>AND(B$9&gt;=14/24,B$9&lt;20/24)</formula>
    </cfRule>
    <cfRule type="expression" dxfId="1118" priority="90">
      <formula>AND(B$9&gt;=8/24,B$9&lt;14/24)</formula>
    </cfRule>
    <cfRule type="expression" dxfId="1117" priority="91">
      <formula>B$9&lt;8/24</formula>
    </cfRule>
  </conditionalFormatting>
  <conditionalFormatting sqref="B21:S21 B27:S27">
    <cfRule type="expression" dxfId="1116" priority="87">
      <formula>B21&gt;$AG21</formula>
    </cfRule>
  </conditionalFormatting>
  <conditionalFormatting sqref="A40">
    <cfRule type="expression" dxfId="1115" priority="86">
      <formula>$AH40=0</formula>
    </cfRule>
  </conditionalFormatting>
  <conditionalFormatting sqref="B78:AF78">
    <cfRule type="expression" dxfId="1114" priority="82">
      <formula>B$9&gt;=20/24</formula>
    </cfRule>
    <cfRule type="expression" dxfId="1113" priority="83">
      <formula>AND(B$9&gt;=14/24,B$9&lt;20/24)</formula>
    </cfRule>
    <cfRule type="expression" dxfId="1112" priority="84">
      <formula>AND(B$9&gt;=8/24,B$9&lt;14/24)</formula>
    </cfRule>
    <cfRule type="expression" dxfId="1111" priority="85">
      <formula>B$9&lt;8/24</formula>
    </cfRule>
  </conditionalFormatting>
  <conditionalFormatting sqref="B87:AF91">
    <cfRule type="expression" dxfId="1110" priority="78">
      <formula>B$9&gt;=20/24</formula>
    </cfRule>
    <cfRule type="expression" dxfId="1109" priority="79">
      <formula>AND(B$9&gt;=14/24,B$9&lt;20/24)</formula>
    </cfRule>
    <cfRule type="expression" dxfId="1108" priority="80">
      <formula>AND(B$9&gt;=8/24,B$9&lt;14/24)</formula>
    </cfRule>
    <cfRule type="expression" dxfId="1107" priority="81">
      <formula>B$9&lt;8/24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5:AF47">
    <cfRule type="expression" dxfId="1106" priority="74">
      <formula>C$9&gt;=20/24</formula>
    </cfRule>
    <cfRule type="expression" dxfId="1105" priority="75">
      <formula>AND(C$9&gt;=14/24,C$9&lt;20/24)</formula>
    </cfRule>
    <cfRule type="expression" dxfId="1104" priority="76">
      <formula>AND(C$9&gt;=8/24,C$9&lt;14/24)</formula>
    </cfRule>
    <cfRule type="expression" dxfId="1103" priority="77">
      <formula>C$9&lt;8/24</formula>
    </cfRule>
  </conditionalFormatting>
  <conditionalFormatting sqref="C45:AF47">
    <cfRule type="expression" dxfId="1102" priority="73">
      <formula>C45&gt;$AG45</formula>
    </cfRule>
  </conditionalFormatting>
  <conditionalFormatting sqref="B45:B48 C48:AG48">
    <cfRule type="expression" dxfId="1101" priority="69">
      <formula>B$9&gt;=20/24</formula>
    </cfRule>
    <cfRule type="expression" dxfId="1100" priority="70">
      <formula>AND(B$9&gt;=14/24,B$9&lt;20/24)</formula>
    </cfRule>
    <cfRule type="expression" dxfId="1099" priority="71">
      <formula>AND(B$9&gt;=8/24,B$9&lt;14/24)</formula>
    </cfRule>
    <cfRule type="expression" dxfId="1098" priority="72">
      <formula>B$9&lt;8/24</formula>
    </cfRule>
  </conditionalFormatting>
  <conditionalFormatting sqref="B45:B48 C48:AG48">
    <cfRule type="expression" dxfId="1097" priority="68">
      <formula>B45&gt;$AG45</formula>
    </cfRule>
  </conditionalFormatting>
  <conditionalFormatting sqref="C103:AF103">
    <cfRule type="expression" dxfId="1096" priority="64">
      <formula>C$9&gt;=20/24</formula>
    </cfRule>
    <cfRule type="expression" dxfId="1095" priority="65">
      <formula>AND(C$9&gt;=14/24,C$9&lt;20/24)</formula>
    </cfRule>
    <cfRule type="expression" dxfId="1094" priority="66">
      <formula>AND(C$9&gt;=8/24,C$9&lt;14/24)</formula>
    </cfRule>
    <cfRule type="expression" dxfId="1093" priority="67">
      <formula>C$9&lt;8/24</formula>
    </cfRule>
  </conditionalFormatting>
  <conditionalFormatting sqref="B103">
    <cfRule type="expression" dxfId="1092" priority="60">
      <formula>B$9&gt;=20/24</formula>
    </cfRule>
    <cfRule type="expression" dxfId="1091" priority="61">
      <formula>AND(B$9&gt;=14/24,B$9&lt;20/24)</formula>
    </cfRule>
    <cfRule type="expression" dxfId="1090" priority="62">
      <formula>AND(B$9&gt;=8/24,B$9&lt;14/24)</formula>
    </cfRule>
    <cfRule type="expression" dxfId="1089" priority="63">
      <formula>B$9&lt;8/24</formula>
    </cfRule>
  </conditionalFormatting>
  <conditionalFormatting sqref="AL37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088" priority="54">
      <formula>$AH37=0</formula>
    </cfRule>
  </conditionalFormatting>
  <conditionalFormatting sqref="A86">
    <cfRule type="expression" dxfId="1087" priority="52">
      <formula>$AH86=0</formula>
    </cfRule>
  </conditionalFormatting>
  <conditionalFormatting sqref="A83">
    <cfRule type="expression" dxfId="1086" priority="53">
      <formula>$AH83=0</formula>
    </cfRule>
  </conditionalFormatting>
  <conditionalFormatting sqref="A113">
    <cfRule type="expression" dxfId="1085" priority="43">
      <formula>$AH113=0</formula>
    </cfRule>
  </conditionalFormatting>
  <conditionalFormatting sqref="C106:AF106">
    <cfRule type="expression" dxfId="1084" priority="39">
      <formula>C$9&gt;=20/24</formula>
    </cfRule>
    <cfRule type="expression" dxfId="1083" priority="40">
      <formula>AND(C$9&gt;=14/24,C$9&lt;20/24)</formula>
    </cfRule>
    <cfRule type="expression" dxfId="1082" priority="41">
      <formula>AND(C$9&gt;=8/24,C$9&lt;14/24)</formula>
    </cfRule>
    <cfRule type="expression" dxfId="1081" priority="42">
      <formula>C$9&lt;8/24</formula>
    </cfRule>
  </conditionalFormatting>
  <conditionalFormatting sqref="A106">
    <cfRule type="expression" dxfId="1080" priority="38">
      <formula>$AH106=0</formula>
    </cfRule>
  </conditionalFormatting>
  <conditionalFormatting sqref="B106">
    <cfRule type="expression" dxfId="1079" priority="34">
      <formula>B$9&gt;=20/24</formula>
    </cfRule>
    <cfRule type="expression" dxfId="1078" priority="35">
      <formula>AND(B$9&gt;=14/24,B$9&lt;20/24)</formula>
    </cfRule>
    <cfRule type="expression" dxfId="1077" priority="36">
      <formula>AND(B$9&gt;=8/24,B$9&lt;14/24)</formula>
    </cfRule>
    <cfRule type="expression" dxfId="1076" priority="37">
      <formula>B$9&lt;8/24</formula>
    </cfRule>
  </conditionalFormatting>
  <conditionalFormatting sqref="U56:AA60">
    <cfRule type="expression" dxfId="1075" priority="30">
      <formula>U$9&gt;=20/24</formula>
    </cfRule>
    <cfRule type="expression" dxfId="1074" priority="31">
      <formula>AND(U$9&gt;=14/24,U$9&lt;20/24)</formula>
    </cfRule>
    <cfRule type="expression" dxfId="1073" priority="32">
      <formula>AND(U$9&gt;=8/24,U$9&lt;14/24)</formula>
    </cfRule>
    <cfRule type="expression" dxfId="1072" priority="33">
      <formula>U$9&lt;8/24</formula>
    </cfRule>
  </conditionalFormatting>
  <conditionalFormatting sqref="U56:AA60">
    <cfRule type="expression" dxfId="1071" priority="29">
      <formula>U56&gt;$AG56</formula>
    </cfRule>
  </conditionalFormatting>
  <conditionalFormatting sqref="B19:AF19">
    <cfRule type="expression" dxfId="1070" priority="27">
      <formula>B19&gt;$AG19</formula>
    </cfRule>
  </conditionalFormatting>
  <conditionalFormatting sqref="A19">
    <cfRule type="expression" dxfId="1069" priority="26">
      <formula>$AH19=0</formula>
    </cfRule>
  </conditionalFormatting>
  <conditionalFormatting sqref="R19:AF19">
    <cfRule type="expression" dxfId="1068" priority="22">
      <formula>R$9&gt;=20/24</formula>
    </cfRule>
    <cfRule type="expression" dxfId="1067" priority="23">
      <formula>AND(R$9&gt;=14/24,R$9&lt;20/24)</formula>
    </cfRule>
    <cfRule type="expression" dxfId="1066" priority="24">
      <formula>AND(R$9&gt;=8/24,R$9&lt;14/24)</formula>
    </cfRule>
    <cfRule type="expression" dxfId="1065" priority="25">
      <formula>R$9&lt;8/24</formula>
    </cfRule>
  </conditionalFormatting>
  <conditionalFormatting sqref="B19:Q19">
    <cfRule type="expression" dxfId="1064" priority="18">
      <formula>B$9&gt;=20/24</formula>
    </cfRule>
    <cfRule type="expression" dxfId="1063" priority="19">
      <formula>AND(B$9&gt;=14/24,B$9&lt;20/24)</formula>
    </cfRule>
    <cfRule type="expression" dxfId="1062" priority="20">
      <formula>AND(B$9&gt;=8/24,B$9&lt;14/24)</formula>
    </cfRule>
    <cfRule type="expression" dxfId="1061" priority="21">
      <formula>B$9&lt;8/24</formula>
    </cfRule>
  </conditionalFormatting>
  <conditionalFormatting sqref="AL19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060" priority="16">
      <formula>$AH34=0</formula>
    </cfRule>
  </conditionalFormatting>
  <conditionalFormatting sqref="T34:AF34">
    <cfRule type="expression" dxfId="1059" priority="12">
      <formula>T$9&gt;=20/24</formula>
    </cfRule>
    <cfRule type="expression" dxfId="1058" priority="13">
      <formula>AND(T$9&gt;=14/24,T$9&lt;20/24)</formula>
    </cfRule>
    <cfRule type="expression" dxfId="1057" priority="14">
      <formula>AND(T$9&gt;=8/24,T$9&lt;14/24)</formula>
    </cfRule>
    <cfRule type="expression" dxfId="1056" priority="15">
      <formula>T$9&lt;8/24</formula>
    </cfRule>
  </conditionalFormatting>
  <conditionalFormatting sqref="T34:AF34">
    <cfRule type="expression" dxfId="1055" priority="11">
      <formula>T34&gt;$AG34</formula>
    </cfRule>
  </conditionalFormatting>
  <conditionalFormatting sqref="C34:S34">
    <cfRule type="expression" dxfId="1054" priority="7">
      <formula>C$9&gt;=20/24</formula>
    </cfRule>
    <cfRule type="expression" dxfId="1053" priority="8">
      <formula>AND(C$9&gt;=14/24,C$9&lt;20/24)</formula>
    </cfRule>
    <cfRule type="expression" dxfId="1052" priority="9">
      <formula>AND(C$9&gt;=8/24,C$9&lt;14/24)</formula>
    </cfRule>
    <cfRule type="expression" dxfId="1051" priority="10">
      <formula>C$9&lt;8/24</formula>
    </cfRule>
  </conditionalFormatting>
  <conditionalFormatting sqref="C34:S34">
    <cfRule type="expression" dxfId="1050" priority="6">
      <formula>C34&gt;$AG34</formula>
    </cfRule>
  </conditionalFormatting>
  <conditionalFormatting sqref="B34">
    <cfRule type="expression" dxfId="1049" priority="2">
      <formula>B$9&gt;=20/24</formula>
    </cfRule>
    <cfRule type="expression" dxfId="1048" priority="3">
      <formula>AND(B$9&gt;=14/24,B$9&lt;20/24)</formula>
    </cfRule>
    <cfRule type="expression" dxfId="1047" priority="4">
      <formula>AND(B$9&gt;=8/24,B$9&lt;14/24)</formula>
    </cfRule>
    <cfRule type="expression" dxfId="1046" priority="5">
      <formula>B$9&lt;8/24</formula>
    </cfRule>
  </conditionalFormatting>
  <conditionalFormatting sqref="B34">
    <cfRule type="expression" dxfId="1045" priority="1">
      <formula>B34&gt;$AG34</formula>
    </cfRule>
  </conditionalFormatting>
  <conditionalFormatting sqref="AL34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18DC7ACC-84A6-45B3-AEBB-49011C7679D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7B48C563-BC34-42E8-B0F5-B24A78705AA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A0FA8841-1E49-4BD8-86C6-E19E3110B0B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38CB38CD-1BF2-4827-BCBD-9277E54A87B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8" id="{11D9EC8C-FB7E-48EC-A19B-C7E508F01AE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0F37F7C2-8F31-4E04-82BB-59DD893A743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4143E3C4-9F9A-4D0A-B12D-818E8010D79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8CC28FC2-8B61-43B4-A2A4-47EC77BC8CC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C113:AF113</xm:sqref>
        </x14:conditionalFormatting>
        <x14:conditionalFormatting xmlns:xm="http://schemas.microsoft.com/office/excel/2006/main">
          <x14:cfRule type="expression" priority="44" id="{529A6733-9625-4CB5-ABC7-B894328B3FD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01289F9D-329C-4F6F-A890-FC22295A990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7129ADB6-C0B8-4FF7-8B2B-8CC20DC840E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3763FF34-DD32-476E-91E6-11B29CA7048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paush1</vt:lpstr>
      <vt:lpstr>Sample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Control Room LDC  System Operation Department</cp:lastModifiedBy>
  <dcterms:created xsi:type="dcterms:W3CDTF">2022-11-17T00:37:49Z</dcterms:created>
  <dcterms:modified xsi:type="dcterms:W3CDTF">2023-09-21T04:04:40Z</dcterms:modified>
</cp:coreProperties>
</file>